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480" windowWidth="16380" windowHeight="7710" tabRatio="875" activeTab="6"/>
  </bookViews>
  <sheets>
    <sheet name="Snow" sheetId="25" r:id="rId1"/>
    <sheet name="DG&amp;Well" sheetId="24" r:id="rId2"/>
    <sheet name="Palouse PTF" sheetId="22" r:id="rId3"/>
    <sheet name="Soil_Moisture" sheetId="21" r:id="rId4"/>
    <sheet name="em_2013" sheetId="20" r:id="rId5"/>
    <sheet name="2013_crop_data" sheetId="13" r:id="rId6"/>
    <sheet name="SOIL PROPERTIES" sheetId="7" r:id="rId7"/>
    <sheet name="Yields" sheetId="11" r:id="rId8"/>
  </sheets>
  <externalReferences>
    <externalReference r:id="rId9"/>
  </externalReferences>
  <definedNames>
    <definedName name="clay" localSheetId="4">#REF!</definedName>
    <definedName name="clay" localSheetId="2">'[1]SOIL PROPERTIES'!$L$5:$L$64</definedName>
    <definedName name="clay">'SOIL PROPERTIES'!$L$5:$L$64</definedName>
    <definedName name="D_2" localSheetId="2">#REF!</definedName>
    <definedName name="D_2">#REF!</definedName>
    <definedName name="D_3" localSheetId="2">#REF!</definedName>
    <definedName name="D_3">#REF!</definedName>
    <definedName name="D_4" localSheetId="2">#REF!</definedName>
    <definedName name="D_4">#REF!</definedName>
    <definedName name="D_5" localSheetId="2">#REF!</definedName>
    <definedName name="D_5">#REF!</definedName>
    <definedName name="porosity" localSheetId="4">#REF!</definedName>
    <definedName name="porosity" localSheetId="2">'[1]SOIL PROPERTIES'!$AJ$5:$AJ$64</definedName>
    <definedName name="porosity">'SOIL PROPERTIES'!$AJ$5:$AJ$64</definedName>
    <definedName name="sand" localSheetId="4">#REF!</definedName>
    <definedName name="sand" localSheetId="2">'[1]SOIL PROPERTIES'!$J$5:$J$64</definedName>
    <definedName name="sand">'SOIL PROPERTIES'!$J$5:$J$64</definedName>
    <definedName name="silt" localSheetId="4">#REF!</definedName>
    <definedName name="silt">'SOIL PROPERTIES'!$K$5:$K$64</definedName>
  </definedNames>
  <calcPr calcId="145621"/>
  <pivotCaches>
    <pivotCache cacheId="23" r:id="rId10"/>
    <pivotCache cacheId="25" r:id="rId11"/>
    <pivotCache cacheId="26" r:id="rId12"/>
  </pivotCaches>
</workbook>
</file>

<file path=xl/calcChain.xml><?xml version="1.0" encoding="utf-8"?>
<calcChain xmlns="http://schemas.openxmlformats.org/spreadsheetml/2006/main">
  <c r="N26" i="11" l="1"/>
  <c r="P29" i="11" l="1"/>
  <c r="R29" i="11" l="1"/>
  <c r="O29" i="11"/>
  <c r="Q29" i="11"/>
  <c r="Q30" i="11" s="1"/>
  <c r="CN64" i="7"/>
  <c r="CM64" i="7"/>
  <c r="CL64" i="7"/>
  <c r="CK64" i="7"/>
  <c r="CN63" i="7"/>
  <c r="CM63" i="7"/>
  <c r="CL63" i="7"/>
  <c r="CK63" i="7"/>
  <c r="CN62" i="7"/>
  <c r="CM62" i="7"/>
  <c r="CL62" i="7"/>
  <c r="CK62" i="7"/>
  <c r="CN61" i="7"/>
  <c r="CM61" i="7"/>
  <c r="CL61" i="7"/>
  <c r="CK61" i="7"/>
  <c r="CN60" i="7"/>
  <c r="CM60" i="7"/>
  <c r="CL60" i="7"/>
  <c r="CK60" i="7"/>
  <c r="CN59" i="7"/>
  <c r="CM59" i="7"/>
  <c r="CL59" i="7"/>
  <c r="CK59" i="7"/>
  <c r="CN58" i="7"/>
  <c r="CM58" i="7"/>
  <c r="CL58" i="7"/>
  <c r="CK58" i="7"/>
  <c r="CN57" i="7"/>
  <c r="CM57" i="7"/>
  <c r="CL57" i="7"/>
  <c r="CK57" i="7"/>
  <c r="CN56" i="7"/>
  <c r="CM56" i="7"/>
  <c r="CL56" i="7"/>
  <c r="CK56" i="7"/>
  <c r="CN55" i="7"/>
  <c r="CM55" i="7"/>
  <c r="CL55" i="7"/>
  <c r="CK55" i="7"/>
  <c r="CN54" i="7"/>
  <c r="CM54" i="7"/>
  <c r="CL54" i="7"/>
  <c r="CK54" i="7"/>
  <c r="CN53" i="7"/>
  <c r="CM53" i="7"/>
  <c r="CL53" i="7"/>
  <c r="CK53" i="7"/>
  <c r="CN52" i="7"/>
  <c r="CM52" i="7"/>
  <c r="CL52" i="7"/>
  <c r="CK52" i="7"/>
  <c r="CN51" i="7"/>
  <c r="CM51" i="7"/>
  <c r="CL51" i="7"/>
  <c r="CK51" i="7"/>
  <c r="CN50" i="7"/>
  <c r="CM50" i="7"/>
  <c r="CL50" i="7"/>
  <c r="CK50" i="7"/>
  <c r="CN49" i="7"/>
  <c r="CM49" i="7"/>
  <c r="CL49" i="7"/>
  <c r="CK49" i="7"/>
  <c r="CN48" i="7"/>
  <c r="CM48" i="7"/>
  <c r="CL48" i="7"/>
  <c r="CK48" i="7"/>
  <c r="CN47" i="7"/>
  <c r="CM47" i="7"/>
  <c r="CL47" i="7"/>
  <c r="CK47" i="7"/>
  <c r="CN46" i="7"/>
  <c r="CM46" i="7"/>
  <c r="CL46" i="7"/>
  <c r="CK46" i="7"/>
  <c r="CN45" i="7"/>
  <c r="CM45" i="7"/>
  <c r="CL45" i="7"/>
  <c r="CK45" i="7"/>
  <c r="CN44" i="7"/>
  <c r="CM44" i="7"/>
  <c r="CL44" i="7"/>
  <c r="CK44" i="7"/>
  <c r="CN43" i="7"/>
  <c r="CM43" i="7"/>
  <c r="CL43" i="7"/>
  <c r="CK43" i="7"/>
  <c r="CN42" i="7"/>
  <c r="CM42" i="7"/>
  <c r="CL42" i="7"/>
  <c r="CK42" i="7"/>
  <c r="CN41" i="7"/>
  <c r="CM41" i="7"/>
  <c r="CL41" i="7"/>
  <c r="CK41" i="7"/>
  <c r="CN40" i="7"/>
  <c r="CM40" i="7"/>
  <c r="CL40" i="7"/>
  <c r="CK40" i="7"/>
  <c r="CN39" i="7"/>
  <c r="CM39" i="7"/>
  <c r="CL39" i="7"/>
  <c r="CK39" i="7"/>
  <c r="CN38" i="7"/>
  <c r="CM38" i="7"/>
  <c r="CL38" i="7"/>
  <c r="CK38" i="7"/>
  <c r="CN37" i="7"/>
  <c r="CM37" i="7"/>
  <c r="CL37" i="7"/>
  <c r="CK37" i="7"/>
  <c r="CN36" i="7"/>
  <c r="CM36" i="7"/>
  <c r="CL36" i="7"/>
  <c r="CK36" i="7"/>
  <c r="CN35" i="7"/>
  <c r="CM35" i="7"/>
  <c r="CL35" i="7"/>
  <c r="CK35" i="7"/>
  <c r="CN34" i="7"/>
  <c r="CM34" i="7"/>
  <c r="CL34" i="7"/>
  <c r="CK34" i="7"/>
  <c r="CN33" i="7"/>
  <c r="CM33" i="7"/>
  <c r="CL33" i="7"/>
  <c r="CK33" i="7"/>
  <c r="CN32" i="7"/>
  <c r="CM32" i="7"/>
  <c r="CL32" i="7"/>
  <c r="CK32" i="7"/>
  <c r="CN31" i="7"/>
  <c r="CM31" i="7"/>
  <c r="CL31" i="7"/>
  <c r="CK31" i="7"/>
  <c r="CN30" i="7"/>
  <c r="CM30" i="7"/>
  <c r="CL30" i="7"/>
  <c r="CK30" i="7"/>
  <c r="CN29" i="7"/>
  <c r="CM29" i="7"/>
  <c r="CL29" i="7"/>
  <c r="CK29" i="7"/>
  <c r="CN28" i="7"/>
  <c r="CM28" i="7"/>
  <c r="CL28" i="7"/>
  <c r="CK28" i="7"/>
  <c r="CN27" i="7"/>
  <c r="CM27" i="7"/>
  <c r="CL27" i="7"/>
  <c r="CK27" i="7"/>
  <c r="CN26" i="7"/>
  <c r="CM26" i="7"/>
  <c r="CL26" i="7"/>
  <c r="CK26" i="7"/>
  <c r="CN25" i="7"/>
  <c r="CM25" i="7"/>
  <c r="CL25" i="7"/>
  <c r="CK25" i="7"/>
  <c r="CN24" i="7"/>
  <c r="CM24" i="7"/>
  <c r="CL24" i="7"/>
  <c r="CK24" i="7"/>
  <c r="CN23" i="7"/>
  <c r="CM23" i="7"/>
  <c r="CL23" i="7"/>
  <c r="CK23" i="7"/>
  <c r="CN22" i="7"/>
  <c r="CM22" i="7"/>
  <c r="CL22" i="7"/>
  <c r="CK22" i="7"/>
  <c r="CN21" i="7"/>
  <c r="CM21" i="7"/>
  <c r="CL21" i="7"/>
  <c r="CK21" i="7"/>
  <c r="CN20" i="7"/>
  <c r="CM20" i="7"/>
  <c r="CL20" i="7"/>
  <c r="CK20" i="7"/>
  <c r="CN19" i="7"/>
  <c r="CM19" i="7"/>
  <c r="CL19" i="7"/>
  <c r="CK19" i="7"/>
  <c r="CN18" i="7"/>
  <c r="CM18" i="7"/>
  <c r="CL18" i="7"/>
  <c r="CK18" i="7"/>
  <c r="CN17" i="7"/>
  <c r="CM17" i="7"/>
  <c r="CL17" i="7"/>
  <c r="CK17" i="7"/>
  <c r="CN16" i="7"/>
  <c r="CM16" i="7"/>
  <c r="CL16" i="7"/>
  <c r="CK16" i="7"/>
  <c r="CN15" i="7"/>
  <c r="CM15" i="7"/>
  <c r="CL15" i="7"/>
  <c r="CK15" i="7"/>
  <c r="CN14" i="7"/>
  <c r="CM14" i="7"/>
  <c r="CL14" i="7"/>
  <c r="CK14" i="7"/>
  <c r="CN13" i="7"/>
  <c r="CM13" i="7"/>
  <c r="CL13" i="7"/>
  <c r="CK13" i="7"/>
  <c r="CN12" i="7"/>
  <c r="CM12" i="7"/>
  <c r="CL12" i="7"/>
  <c r="CK12" i="7"/>
  <c r="CN11" i="7"/>
  <c r="CM11" i="7"/>
  <c r="CL11" i="7"/>
  <c r="CK11" i="7"/>
  <c r="CN10" i="7"/>
  <c r="CM10" i="7"/>
  <c r="CL10" i="7"/>
  <c r="CK10" i="7"/>
  <c r="CN9" i="7"/>
  <c r="CM9" i="7"/>
  <c r="CL9" i="7"/>
  <c r="CK9" i="7"/>
  <c r="CN8" i="7"/>
  <c r="CM8" i="7"/>
  <c r="CL8" i="7"/>
  <c r="CK8" i="7"/>
  <c r="CN7" i="7"/>
  <c r="CM7" i="7"/>
  <c r="CL7" i="7"/>
  <c r="CK7" i="7"/>
  <c r="CN6" i="7"/>
  <c r="CM6" i="7"/>
  <c r="CL6" i="7"/>
  <c r="CK6" i="7"/>
  <c r="CN5" i="7"/>
  <c r="CM5" i="7"/>
  <c r="CL5" i="7"/>
  <c r="CK5" i="7"/>
  <c r="CJ64" i="7"/>
  <c r="CI64" i="7"/>
  <c r="CJ63" i="7"/>
  <c r="CI63" i="7"/>
  <c r="CJ62" i="7"/>
  <c r="CI62" i="7"/>
  <c r="CJ61" i="7"/>
  <c r="CI61" i="7"/>
  <c r="CJ60" i="7"/>
  <c r="CI60" i="7"/>
  <c r="CJ59" i="7"/>
  <c r="CI59" i="7"/>
  <c r="CJ58" i="7"/>
  <c r="CI58" i="7"/>
  <c r="CJ57" i="7"/>
  <c r="CI57" i="7"/>
  <c r="CJ56" i="7"/>
  <c r="CI56" i="7"/>
  <c r="CJ55" i="7"/>
  <c r="CI55" i="7"/>
  <c r="CJ54" i="7"/>
  <c r="CI54" i="7"/>
  <c r="CJ53" i="7"/>
  <c r="CI53" i="7"/>
  <c r="CJ52" i="7"/>
  <c r="CI52" i="7"/>
  <c r="CJ51" i="7"/>
  <c r="CI51" i="7"/>
  <c r="CJ50" i="7"/>
  <c r="CI50" i="7"/>
  <c r="CJ49" i="7"/>
  <c r="CI49" i="7"/>
  <c r="CJ48" i="7"/>
  <c r="CI48" i="7"/>
  <c r="CJ47" i="7"/>
  <c r="CI47" i="7"/>
  <c r="CJ46" i="7"/>
  <c r="CI46" i="7"/>
  <c r="CJ45" i="7"/>
  <c r="CI45" i="7"/>
  <c r="CJ44" i="7"/>
  <c r="CI44" i="7"/>
  <c r="CJ43" i="7"/>
  <c r="CI43" i="7"/>
  <c r="CJ42" i="7"/>
  <c r="CI42" i="7"/>
  <c r="CJ41" i="7"/>
  <c r="CI41" i="7"/>
  <c r="CJ40" i="7"/>
  <c r="CI40" i="7"/>
  <c r="CJ39" i="7"/>
  <c r="CI39" i="7"/>
  <c r="CJ38" i="7"/>
  <c r="CI38" i="7"/>
  <c r="CJ37" i="7"/>
  <c r="CI37" i="7"/>
  <c r="CJ36" i="7"/>
  <c r="CI36" i="7"/>
  <c r="CJ35" i="7"/>
  <c r="CI35" i="7"/>
  <c r="CJ34" i="7"/>
  <c r="CI34" i="7"/>
  <c r="CJ33" i="7"/>
  <c r="CI33" i="7"/>
  <c r="CJ32" i="7"/>
  <c r="CI32" i="7"/>
  <c r="CJ31" i="7"/>
  <c r="CI31" i="7"/>
  <c r="CJ30" i="7"/>
  <c r="CI30" i="7"/>
  <c r="CJ29" i="7"/>
  <c r="CI29" i="7"/>
  <c r="CJ28" i="7"/>
  <c r="CI28" i="7"/>
  <c r="CJ27" i="7"/>
  <c r="CI27" i="7"/>
  <c r="CJ26" i="7"/>
  <c r="CI26" i="7"/>
  <c r="CJ25" i="7"/>
  <c r="CI25" i="7"/>
  <c r="CJ24" i="7"/>
  <c r="CI24" i="7"/>
  <c r="CJ23" i="7"/>
  <c r="CI23" i="7"/>
  <c r="CJ22" i="7"/>
  <c r="CI22" i="7"/>
  <c r="CJ21" i="7"/>
  <c r="CI21" i="7"/>
  <c r="CJ20" i="7"/>
  <c r="CI20" i="7"/>
  <c r="CJ19" i="7"/>
  <c r="CI19" i="7"/>
  <c r="CJ18" i="7"/>
  <c r="CI18" i="7"/>
  <c r="CJ17" i="7"/>
  <c r="CI17" i="7"/>
  <c r="CJ16" i="7"/>
  <c r="CI16" i="7"/>
  <c r="CJ15" i="7"/>
  <c r="CI15" i="7"/>
  <c r="CJ14" i="7"/>
  <c r="CI14" i="7"/>
  <c r="CJ13" i="7"/>
  <c r="CI13" i="7"/>
  <c r="CJ12" i="7"/>
  <c r="CI12" i="7"/>
  <c r="CJ11" i="7"/>
  <c r="CI11" i="7"/>
  <c r="CJ10" i="7"/>
  <c r="CI10" i="7"/>
  <c r="CJ9" i="7"/>
  <c r="CI9" i="7"/>
  <c r="CJ8" i="7"/>
  <c r="CI8" i="7"/>
  <c r="CJ7" i="7"/>
  <c r="CI7" i="7"/>
  <c r="CJ6" i="7"/>
  <c r="CI6" i="7"/>
  <c r="CJ5" i="7"/>
  <c r="CI5" i="7"/>
  <c r="DX65" i="7"/>
  <c r="DW65" i="7"/>
  <c r="DT65" i="7"/>
  <c r="DS65" i="7"/>
  <c r="DO65" i="7"/>
  <c r="DV65" i="7" s="1"/>
  <c r="DM65" i="7"/>
  <c r="DU65" i="7" s="1"/>
  <c r="DL65" i="7"/>
  <c r="DX64" i="7"/>
  <c r="DW64" i="7"/>
  <c r="DT64" i="7"/>
  <c r="DS64" i="7"/>
  <c r="DO64" i="7"/>
  <c r="DU64" i="7" s="1"/>
  <c r="DM64" i="7"/>
  <c r="DL64" i="7"/>
  <c r="DX63" i="7"/>
  <c r="DW63" i="7"/>
  <c r="DT63" i="7"/>
  <c r="DS63" i="7"/>
  <c r="DO63" i="7"/>
  <c r="DV63" i="7" s="1"/>
  <c r="DM63" i="7"/>
  <c r="DU63" i="7" s="1"/>
  <c r="DL63" i="7"/>
  <c r="DX62" i="7"/>
  <c r="DW62" i="7"/>
  <c r="DT62" i="7"/>
  <c r="DS62" i="7"/>
  <c r="DO62" i="7"/>
  <c r="DV62" i="7" s="1"/>
  <c r="DM62" i="7"/>
  <c r="DL62" i="7"/>
  <c r="DX61" i="7"/>
  <c r="DW61" i="7"/>
  <c r="DT61" i="7"/>
  <c r="DS61" i="7"/>
  <c r="DO61" i="7"/>
  <c r="DV61" i="7" s="1"/>
  <c r="DM61" i="7"/>
  <c r="DU61" i="7" s="1"/>
  <c r="DL61" i="7"/>
  <c r="DX60" i="7"/>
  <c r="DW60" i="7"/>
  <c r="DT60" i="7"/>
  <c r="DS60" i="7"/>
  <c r="DO60" i="7"/>
  <c r="DU60" i="7" s="1"/>
  <c r="DM60" i="7"/>
  <c r="DL60" i="7"/>
  <c r="DX59" i="7"/>
  <c r="DW59" i="7"/>
  <c r="DT59" i="7"/>
  <c r="DS59" i="7"/>
  <c r="DO59" i="7"/>
  <c r="DV59" i="7" s="1"/>
  <c r="DM59" i="7"/>
  <c r="DU59" i="7" s="1"/>
  <c r="DL59" i="7"/>
  <c r="DX58" i="7"/>
  <c r="DW58" i="7"/>
  <c r="DT58" i="7"/>
  <c r="DS58" i="7"/>
  <c r="DO58" i="7"/>
  <c r="DV58" i="7" s="1"/>
  <c r="DM58" i="7"/>
  <c r="DL58" i="7"/>
  <c r="DX57" i="7"/>
  <c r="DW57" i="7"/>
  <c r="DT57" i="7"/>
  <c r="DS57" i="7"/>
  <c r="DO57" i="7"/>
  <c r="DV57" i="7" s="1"/>
  <c r="DM57" i="7"/>
  <c r="DU57" i="7" s="1"/>
  <c r="DL57" i="7"/>
  <c r="DX56" i="7"/>
  <c r="DW56" i="7"/>
  <c r="DT56" i="7"/>
  <c r="DS56" i="7"/>
  <c r="DO56" i="7"/>
  <c r="DU56" i="7" s="1"/>
  <c r="DM56" i="7"/>
  <c r="DL56" i="7"/>
  <c r="DX55" i="7"/>
  <c r="DW55" i="7"/>
  <c r="DT55" i="7"/>
  <c r="DS55" i="7"/>
  <c r="DO55" i="7"/>
  <c r="DV55" i="7" s="1"/>
  <c r="DM55" i="7"/>
  <c r="DU55" i="7" s="1"/>
  <c r="DL55" i="7"/>
  <c r="DX54" i="7"/>
  <c r="DW54" i="7"/>
  <c r="DT54" i="7"/>
  <c r="DS54" i="7"/>
  <c r="DO54" i="7"/>
  <c r="DV54" i="7" s="1"/>
  <c r="DM54" i="7"/>
  <c r="DL54" i="7"/>
  <c r="DX53" i="7"/>
  <c r="DW53" i="7"/>
  <c r="DT53" i="7"/>
  <c r="DS53" i="7"/>
  <c r="DO53" i="7"/>
  <c r="DV53" i="7" s="1"/>
  <c r="DM53" i="7"/>
  <c r="DU53" i="7" s="1"/>
  <c r="DL53" i="7"/>
  <c r="DX52" i="7"/>
  <c r="DW52" i="7"/>
  <c r="DT52" i="7"/>
  <c r="DS52" i="7"/>
  <c r="DO52" i="7"/>
  <c r="DU52" i="7" s="1"/>
  <c r="DM52" i="7"/>
  <c r="DL52" i="7"/>
  <c r="DX51" i="7"/>
  <c r="DW51" i="7"/>
  <c r="DT51" i="7"/>
  <c r="DS51" i="7"/>
  <c r="DO51" i="7"/>
  <c r="DV51" i="7" s="1"/>
  <c r="DM51" i="7"/>
  <c r="DU51" i="7" s="1"/>
  <c r="DL51" i="7"/>
  <c r="DX50" i="7"/>
  <c r="DW50" i="7"/>
  <c r="DT50" i="7"/>
  <c r="DS50" i="7"/>
  <c r="DO50" i="7"/>
  <c r="DV50" i="7" s="1"/>
  <c r="DM50" i="7"/>
  <c r="DL50" i="7"/>
  <c r="DX49" i="7"/>
  <c r="DW49" i="7"/>
  <c r="DT49" i="7"/>
  <c r="DS49" i="7"/>
  <c r="DO49" i="7"/>
  <c r="DV49" i="7" s="1"/>
  <c r="DM49" i="7"/>
  <c r="DU49" i="7" s="1"/>
  <c r="DL49" i="7"/>
  <c r="DX48" i="7"/>
  <c r="DW48" i="7"/>
  <c r="DT48" i="7"/>
  <c r="DS48" i="7"/>
  <c r="DO48" i="7"/>
  <c r="DU48" i="7" s="1"/>
  <c r="DM48" i="7"/>
  <c r="DL48" i="7"/>
  <c r="DX47" i="7"/>
  <c r="DW47" i="7"/>
  <c r="DT47" i="7"/>
  <c r="DS47" i="7"/>
  <c r="DO47" i="7"/>
  <c r="DV47" i="7" s="1"/>
  <c r="DM47" i="7"/>
  <c r="DU47" i="7" s="1"/>
  <c r="DL47" i="7"/>
  <c r="DX46" i="7"/>
  <c r="DW46" i="7"/>
  <c r="DT46" i="7"/>
  <c r="DS46" i="7"/>
  <c r="DO46" i="7"/>
  <c r="DU46" i="7" s="1"/>
  <c r="DM46" i="7"/>
  <c r="DL46" i="7"/>
  <c r="DX45" i="7"/>
  <c r="DW45" i="7"/>
  <c r="DT45" i="7"/>
  <c r="DS45" i="7"/>
  <c r="DO45" i="7"/>
  <c r="DV45" i="7" s="1"/>
  <c r="DM45" i="7"/>
  <c r="DU45" i="7" s="1"/>
  <c r="DL45" i="7"/>
  <c r="DX44" i="7"/>
  <c r="DW44" i="7"/>
  <c r="DT44" i="7"/>
  <c r="DS44" i="7"/>
  <c r="DO44" i="7"/>
  <c r="DU44" i="7" s="1"/>
  <c r="DM44" i="7"/>
  <c r="DL44" i="7"/>
  <c r="DX43" i="7"/>
  <c r="DW43" i="7"/>
  <c r="DT43" i="7"/>
  <c r="DS43" i="7"/>
  <c r="DO43" i="7"/>
  <c r="DV43" i="7" s="1"/>
  <c r="DM43" i="7"/>
  <c r="DU43" i="7" s="1"/>
  <c r="DL43" i="7"/>
  <c r="DX42" i="7"/>
  <c r="DW42" i="7"/>
  <c r="DT42" i="7"/>
  <c r="DS42" i="7"/>
  <c r="DO42" i="7"/>
  <c r="DU42" i="7" s="1"/>
  <c r="DM42" i="7"/>
  <c r="DL42" i="7"/>
  <c r="DX41" i="7"/>
  <c r="DW41" i="7"/>
  <c r="DT41" i="7"/>
  <c r="DS41" i="7"/>
  <c r="DO41" i="7"/>
  <c r="DV41" i="7" s="1"/>
  <c r="DM41" i="7"/>
  <c r="DU41" i="7" s="1"/>
  <c r="DL41" i="7"/>
  <c r="DX40" i="7"/>
  <c r="DW40" i="7"/>
  <c r="DT40" i="7"/>
  <c r="DS40" i="7"/>
  <c r="DO40" i="7"/>
  <c r="DU40" i="7" s="1"/>
  <c r="DM40" i="7"/>
  <c r="DL40" i="7"/>
  <c r="DX39" i="7"/>
  <c r="DW39" i="7"/>
  <c r="DT39" i="7"/>
  <c r="DS39" i="7"/>
  <c r="DO39" i="7"/>
  <c r="DV39" i="7" s="1"/>
  <c r="DM39" i="7"/>
  <c r="DU39" i="7" s="1"/>
  <c r="DL39" i="7"/>
  <c r="DX38" i="7"/>
  <c r="DW38" i="7"/>
  <c r="DT38" i="7"/>
  <c r="DS38" i="7"/>
  <c r="DO38" i="7"/>
  <c r="DV38" i="7" s="1"/>
  <c r="DM38" i="7"/>
  <c r="DL38" i="7"/>
  <c r="DX37" i="7"/>
  <c r="DW37" i="7"/>
  <c r="DT37" i="7"/>
  <c r="DS37" i="7"/>
  <c r="DO37" i="7"/>
  <c r="DV37" i="7" s="1"/>
  <c r="DM37" i="7"/>
  <c r="DU37" i="7" s="1"/>
  <c r="DL37" i="7"/>
  <c r="DX36" i="7"/>
  <c r="DW36" i="7"/>
  <c r="DT36" i="7"/>
  <c r="DS36" i="7"/>
  <c r="DO36" i="7"/>
  <c r="DU36" i="7" s="1"/>
  <c r="DM36" i="7"/>
  <c r="DL36" i="7"/>
  <c r="DX35" i="7"/>
  <c r="DW35" i="7"/>
  <c r="DT35" i="7"/>
  <c r="DS35" i="7"/>
  <c r="DO35" i="7"/>
  <c r="DV35" i="7" s="1"/>
  <c r="DM35" i="7"/>
  <c r="DU35" i="7" s="1"/>
  <c r="DL35" i="7"/>
  <c r="DX34" i="7"/>
  <c r="DW34" i="7"/>
  <c r="DT34" i="7"/>
  <c r="DS34" i="7"/>
  <c r="DO34" i="7"/>
  <c r="DU34" i="7" s="1"/>
  <c r="DM34" i="7"/>
  <c r="DL34" i="7"/>
  <c r="DX33" i="7"/>
  <c r="DW33" i="7"/>
  <c r="DT33" i="7"/>
  <c r="DS33" i="7"/>
  <c r="DO33" i="7"/>
  <c r="DV33" i="7" s="1"/>
  <c r="DM33" i="7"/>
  <c r="DU33" i="7" s="1"/>
  <c r="DL33" i="7"/>
  <c r="DX32" i="7"/>
  <c r="DW32" i="7"/>
  <c r="DT32" i="7"/>
  <c r="DS32" i="7"/>
  <c r="DO32" i="7"/>
  <c r="DU32" i="7" s="1"/>
  <c r="DM32" i="7"/>
  <c r="DL32" i="7"/>
  <c r="DX31" i="7"/>
  <c r="DW31" i="7"/>
  <c r="DT31" i="7"/>
  <c r="DS31" i="7"/>
  <c r="DO31" i="7"/>
  <c r="DV31" i="7" s="1"/>
  <c r="DM31" i="7"/>
  <c r="DU31" i="7" s="1"/>
  <c r="DL31" i="7"/>
  <c r="DX30" i="7"/>
  <c r="DW30" i="7"/>
  <c r="DT30" i="7"/>
  <c r="DS30" i="7"/>
  <c r="DO30" i="7"/>
  <c r="DU30" i="7" s="1"/>
  <c r="DM30" i="7"/>
  <c r="DL30" i="7"/>
  <c r="DX29" i="7"/>
  <c r="DW29" i="7"/>
  <c r="DT29" i="7"/>
  <c r="DS29" i="7"/>
  <c r="DO29" i="7"/>
  <c r="DV29" i="7" s="1"/>
  <c r="DM29" i="7"/>
  <c r="DU29" i="7" s="1"/>
  <c r="DL29" i="7"/>
  <c r="DX28" i="7"/>
  <c r="DW28" i="7"/>
  <c r="DT28" i="7"/>
  <c r="DS28" i="7"/>
  <c r="DO28" i="7"/>
  <c r="DU28" i="7" s="1"/>
  <c r="DM28" i="7"/>
  <c r="DL28" i="7"/>
  <c r="DX27" i="7"/>
  <c r="DW27" i="7"/>
  <c r="DT27" i="7"/>
  <c r="DS27" i="7"/>
  <c r="DO27" i="7"/>
  <c r="DV27" i="7" s="1"/>
  <c r="DM27" i="7"/>
  <c r="DU27" i="7" s="1"/>
  <c r="DL27" i="7"/>
  <c r="DX26" i="7"/>
  <c r="DW26" i="7"/>
  <c r="DT26" i="7"/>
  <c r="DS26" i="7"/>
  <c r="DO26" i="7"/>
  <c r="DU26" i="7" s="1"/>
  <c r="DM26" i="7"/>
  <c r="DL26" i="7"/>
  <c r="DX25" i="7"/>
  <c r="DW25" i="7"/>
  <c r="DT25" i="7"/>
  <c r="DS25" i="7"/>
  <c r="DO25" i="7"/>
  <c r="DV25" i="7" s="1"/>
  <c r="DM25" i="7"/>
  <c r="DU25" i="7" s="1"/>
  <c r="DL25" i="7"/>
  <c r="DX24" i="7"/>
  <c r="DW24" i="7"/>
  <c r="DT24" i="7"/>
  <c r="DS24" i="7"/>
  <c r="DO24" i="7"/>
  <c r="DU24" i="7" s="1"/>
  <c r="DM24" i="7"/>
  <c r="DL24" i="7"/>
  <c r="DX23" i="7"/>
  <c r="DW23" i="7"/>
  <c r="DT23" i="7"/>
  <c r="DS23" i="7"/>
  <c r="DO23" i="7"/>
  <c r="DV23" i="7" s="1"/>
  <c r="DM23" i="7"/>
  <c r="DU23" i="7" s="1"/>
  <c r="DL23" i="7"/>
  <c r="DX22" i="7"/>
  <c r="DW22" i="7"/>
  <c r="DT22" i="7"/>
  <c r="DS22" i="7"/>
  <c r="DO22" i="7"/>
  <c r="DV22" i="7" s="1"/>
  <c r="DM22" i="7"/>
  <c r="DL22" i="7"/>
  <c r="DX21" i="7"/>
  <c r="DW21" i="7"/>
  <c r="DT21" i="7"/>
  <c r="DS21" i="7"/>
  <c r="DO21" i="7"/>
  <c r="DV21" i="7" s="1"/>
  <c r="DM21" i="7"/>
  <c r="DU21" i="7" s="1"/>
  <c r="DL21" i="7"/>
  <c r="DX20" i="7"/>
  <c r="DW20" i="7"/>
  <c r="DT20" i="7"/>
  <c r="DS20" i="7"/>
  <c r="DO20" i="7"/>
  <c r="DU20" i="7" s="1"/>
  <c r="DM20" i="7"/>
  <c r="DL20" i="7"/>
  <c r="DX19" i="7"/>
  <c r="DW19" i="7"/>
  <c r="DT19" i="7"/>
  <c r="DS19" i="7"/>
  <c r="DO19" i="7"/>
  <c r="DV19" i="7" s="1"/>
  <c r="DM19" i="7"/>
  <c r="DU19" i="7" s="1"/>
  <c r="DL19" i="7"/>
  <c r="DX18" i="7"/>
  <c r="DW18" i="7"/>
  <c r="DT18" i="7"/>
  <c r="DS18" i="7"/>
  <c r="DO18" i="7"/>
  <c r="DU18" i="7" s="1"/>
  <c r="DM18" i="7"/>
  <c r="DL18" i="7"/>
  <c r="DX17" i="7"/>
  <c r="DW17" i="7"/>
  <c r="DT17" i="7"/>
  <c r="DS17" i="7"/>
  <c r="DO17" i="7"/>
  <c r="DV17" i="7" s="1"/>
  <c r="DM17" i="7"/>
  <c r="DU17" i="7" s="1"/>
  <c r="DL17" i="7"/>
  <c r="DX16" i="7"/>
  <c r="DW16" i="7"/>
  <c r="DT16" i="7"/>
  <c r="DS16" i="7"/>
  <c r="DO16" i="7"/>
  <c r="DU16" i="7" s="1"/>
  <c r="DM16" i="7"/>
  <c r="DL16" i="7"/>
  <c r="DX15" i="7"/>
  <c r="DW15" i="7"/>
  <c r="DT15" i="7"/>
  <c r="DS15" i="7"/>
  <c r="DO15" i="7"/>
  <c r="DV15" i="7" s="1"/>
  <c r="DM15" i="7"/>
  <c r="DU15" i="7" s="1"/>
  <c r="DL15" i="7"/>
  <c r="DX14" i="7"/>
  <c r="DW14" i="7"/>
  <c r="DT14" i="7"/>
  <c r="DS14" i="7"/>
  <c r="DO14" i="7"/>
  <c r="DU14" i="7" s="1"/>
  <c r="DM14" i="7"/>
  <c r="DL14" i="7"/>
  <c r="DX13" i="7"/>
  <c r="DW13" i="7"/>
  <c r="DT13" i="7"/>
  <c r="DS13" i="7"/>
  <c r="DO13" i="7"/>
  <c r="DV13" i="7" s="1"/>
  <c r="DM13" i="7"/>
  <c r="DU13" i="7" s="1"/>
  <c r="DL13" i="7"/>
  <c r="DX12" i="7"/>
  <c r="DW12" i="7"/>
  <c r="DT12" i="7"/>
  <c r="DS12" i="7"/>
  <c r="DO12" i="7"/>
  <c r="DU12" i="7" s="1"/>
  <c r="DM12" i="7"/>
  <c r="DL12" i="7"/>
  <c r="DX11" i="7"/>
  <c r="DW11" i="7"/>
  <c r="DT11" i="7"/>
  <c r="DS11" i="7"/>
  <c r="DO11" i="7"/>
  <c r="DV11" i="7" s="1"/>
  <c r="DM11" i="7"/>
  <c r="DU11" i="7" s="1"/>
  <c r="DL11" i="7"/>
  <c r="DX10" i="7"/>
  <c r="DW10" i="7"/>
  <c r="DT10" i="7"/>
  <c r="DS10" i="7"/>
  <c r="DO10" i="7"/>
  <c r="DU10" i="7" s="1"/>
  <c r="DM10" i="7"/>
  <c r="DL10" i="7"/>
  <c r="DX9" i="7"/>
  <c r="DW9" i="7"/>
  <c r="DT9" i="7"/>
  <c r="DS9" i="7"/>
  <c r="DO9" i="7"/>
  <c r="DV9" i="7" s="1"/>
  <c r="DM9" i="7"/>
  <c r="DU9" i="7" s="1"/>
  <c r="DL9" i="7"/>
  <c r="DX8" i="7"/>
  <c r="DW8" i="7"/>
  <c r="DT8" i="7"/>
  <c r="DS8" i="7"/>
  <c r="DO8" i="7"/>
  <c r="DU8" i="7" s="1"/>
  <c r="DM8" i="7"/>
  <c r="DL8" i="7"/>
  <c r="DX7" i="7"/>
  <c r="DW7" i="7"/>
  <c r="DT7" i="7"/>
  <c r="DS7" i="7"/>
  <c r="DO7" i="7"/>
  <c r="DV7" i="7" s="1"/>
  <c r="DM7" i="7"/>
  <c r="DU7" i="7" s="1"/>
  <c r="DL7" i="7"/>
  <c r="DX6" i="7"/>
  <c r="DW6" i="7"/>
  <c r="DT6" i="7"/>
  <c r="DS6" i="7"/>
  <c r="DO6" i="7"/>
  <c r="DU6" i="7" s="1"/>
  <c r="DM6" i="7"/>
  <c r="DL6" i="7"/>
  <c r="DV14" i="7" l="1"/>
  <c r="DV18" i="7"/>
  <c r="DV34" i="7"/>
  <c r="DV16" i="7"/>
  <c r="DV20" i="7"/>
  <c r="DV24" i="7"/>
  <c r="DV28" i="7"/>
  <c r="DV32" i="7"/>
  <c r="DV36" i="7"/>
  <c r="DV40" i="7"/>
  <c r="DV44" i="7"/>
  <c r="DV48" i="7"/>
  <c r="DV52" i="7"/>
  <c r="DV56" i="7"/>
  <c r="DV60" i="7"/>
  <c r="DV64" i="7"/>
  <c r="DV6" i="7"/>
  <c r="DV10" i="7"/>
  <c r="DV26" i="7"/>
  <c r="DV30" i="7"/>
  <c r="DV42" i="7"/>
  <c r="DV46" i="7"/>
  <c r="DV8" i="7"/>
  <c r="DV12" i="7"/>
  <c r="DU22" i="7"/>
  <c r="DU38" i="7"/>
  <c r="DU50" i="7"/>
  <c r="DU54" i="7"/>
  <c r="DU58" i="7"/>
  <c r="DU62" i="7"/>
  <c r="AJ40" i="21" l="1"/>
  <c r="AK40" i="21"/>
  <c r="AL40" i="21"/>
  <c r="AM40" i="21"/>
  <c r="AN40" i="21"/>
  <c r="AO40" i="21"/>
  <c r="AP40" i="21"/>
  <c r="AQ40" i="21"/>
  <c r="AR40" i="21"/>
  <c r="AS40" i="21"/>
  <c r="AT40" i="21"/>
  <c r="AU40" i="21"/>
  <c r="AJ41" i="21"/>
  <c r="AK41" i="21"/>
  <c r="AL41" i="21"/>
  <c r="AM41" i="21"/>
  <c r="AN41" i="21"/>
  <c r="AO41" i="21"/>
  <c r="AP41" i="21"/>
  <c r="AQ41" i="21"/>
  <c r="AR41" i="21"/>
  <c r="AS41" i="21"/>
  <c r="AT41" i="21"/>
  <c r="AU41" i="21"/>
  <c r="AJ42" i="21"/>
  <c r="AK42" i="21"/>
  <c r="AL42" i="21"/>
  <c r="AM42" i="21"/>
  <c r="AN42" i="21"/>
  <c r="AO42" i="21"/>
  <c r="AP42" i="21"/>
  <c r="AQ42" i="21"/>
  <c r="AR42" i="21"/>
  <c r="AS42" i="21"/>
  <c r="AT42" i="21"/>
  <c r="AU42" i="21"/>
  <c r="AJ43" i="21"/>
  <c r="AK43" i="21"/>
  <c r="AL43" i="21"/>
  <c r="AM43" i="21"/>
  <c r="AN43" i="21"/>
  <c r="AO43" i="21"/>
  <c r="AP43" i="21"/>
  <c r="AQ43" i="21"/>
  <c r="AR43" i="21"/>
  <c r="AS43" i="21"/>
  <c r="AT43" i="21"/>
  <c r="AU43" i="21"/>
  <c r="AJ44" i="21"/>
  <c r="AK44" i="21"/>
  <c r="AL44" i="21"/>
  <c r="AM44" i="21"/>
  <c r="AN44" i="21"/>
  <c r="AO44" i="21"/>
  <c r="AP44" i="21"/>
  <c r="AQ44" i="21"/>
  <c r="AR44" i="21"/>
  <c r="AS44" i="21"/>
  <c r="AT44" i="21"/>
  <c r="AU44" i="21"/>
  <c r="AJ45" i="21"/>
  <c r="AK45" i="21"/>
  <c r="AL45" i="21"/>
  <c r="AM45" i="21"/>
  <c r="AN45" i="21"/>
  <c r="AO45" i="21"/>
  <c r="AP45" i="21"/>
  <c r="AQ45" i="21"/>
  <c r="AR45" i="21"/>
  <c r="AS45" i="21"/>
  <c r="AT45" i="21"/>
  <c r="AU45" i="21"/>
  <c r="AJ46" i="21"/>
  <c r="AK46" i="21"/>
  <c r="AL46" i="21"/>
  <c r="AM46" i="21"/>
  <c r="AN46" i="21"/>
  <c r="AO46" i="21"/>
  <c r="AP46" i="21"/>
  <c r="AQ46" i="21"/>
  <c r="AR46" i="21"/>
  <c r="AS46" i="21"/>
  <c r="AT46" i="21"/>
  <c r="AU46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AJ48" i="21"/>
  <c r="AK48" i="21"/>
  <c r="AL48" i="21"/>
  <c r="AM48" i="21"/>
  <c r="AN48" i="21"/>
  <c r="AO48" i="21"/>
  <c r="AP48" i="21"/>
  <c r="AQ48" i="21"/>
  <c r="AR48" i="21"/>
  <c r="AS48" i="21"/>
  <c r="AT48" i="21"/>
  <c r="AU48" i="21"/>
  <c r="AJ49" i="21"/>
  <c r="AK49" i="21"/>
  <c r="AL49" i="21"/>
  <c r="AM49" i="21"/>
  <c r="AN49" i="21"/>
  <c r="AO49" i="21"/>
  <c r="AP49" i="21"/>
  <c r="AQ49" i="21"/>
  <c r="AR49" i="21"/>
  <c r="AS49" i="21"/>
  <c r="AT49" i="21"/>
  <c r="AU49" i="21"/>
  <c r="AJ50" i="21"/>
  <c r="AK50" i="21"/>
  <c r="AL50" i="21"/>
  <c r="AM50" i="21"/>
  <c r="AN50" i="21"/>
  <c r="AO50" i="21"/>
  <c r="AP50" i="21"/>
  <c r="AQ50" i="21"/>
  <c r="AR50" i="21"/>
  <c r="AS50" i="21"/>
  <c r="AT50" i="21"/>
  <c r="AU50" i="21"/>
  <c r="AJ51" i="21"/>
  <c r="AK51" i="21"/>
  <c r="AL51" i="21"/>
  <c r="AM51" i="21"/>
  <c r="AN51" i="21"/>
  <c r="AO51" i="21"/>
  <c r="AP51" i="21"/>
  <c r="AQ51" i="21"/>
  <c r="AR51" i="21"/>
  <c r="AS51" i="21"/>
  <c r="AT51" i="21"/>
  <c r="AU51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J53" i="21"/>
  <c r="AK53" i="21"/>
  <c r="AL53" i="21"/>
  <c r="AM53" i="21"/>
  <c r="AN53" i="21"/>
  <c r="AO53" i="21"/>
  <c r="AP53" i="21"/>
  <c r="AQ53" i="21"/>
  <c r="AR53" i="21"/>
  <c r="AS53" i="21"/>
  <c r="AT53" i="21"/>
  <c r="AU53" i="21"/>
  <c r="AJ54" i="21"/>
  <c r="AK54" i="21"/>
  <c r="AL54" i="21"/>
  <c r="AM54" i="21"/>
  <c r="AN54" i="21"/>
  <c r="AO54" i="21"/>
  <c r="AP54" i="21"/>
  <c r="AQ54" i="21"/>
  <c r="AR54" i="21"/>
  <c r="AS54" i="21"/>
  <c r="AT54" i="21"/>
  <c r="AU54" i="21"/>
  <c r="AJ55" i="21"/>
  <c r="AK55" i="21"/>
  <c r="AL55" i="21"/>
  <c r="AM55" i="21"/>
  <c r="AN55" i="21"/>
  <c r="AO55" i="21"/>
  <c r="AP55" i="21"/>
  <c r="AQ55" i="21"/>
  <c r="AR55" i="21"/>
  <c r="AS55" i="21"/>
  <c r="AT55" i="21"/>
  <c r="AU55" i="21"/>
  <c r="AJ56" i="21"/>
  <c r="AK56" i="21"/>
  <c r="AL56" i="21"/>
  <c r="AM56" i="21"/>
  <c r="AN56" i="21"/>
  <c r="AO56" i="21"/>
  <c r="AP56" i="21"/>
  <c r="AQ56" i="21"/>
  <c r="AR56" i="21"/>
  <c r="AS56" i="21"/>
  <c r="AT56" i="21"/>
  <c r="AU56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J58" i="21"/>
  <c r="AK58" i="21"/>
  <c r="AL58" i="21"/>
  <c r="AM58" i="21"/>
  <c r="AN58" i="21"/>
  <c r="AO58" i="21"/>
  <c r="AP58" i="21"/>
  <c r="AQ58" i="21"/>
  <c r="AR58" i="21"/>
  <c r="AS58" i="21"/>
  <c r="AT58" i="21"/>
  <c r="AU58" i="21"/>
  <c r="AJ59" i="21"/>
  <c r="AK59" i="21"/>
  <c r="AL59" i="21"/>
  <c r="AM59" i="21"/>
  <c r="AN59" i="21"/>
  <c r="AO59" i="21"/>
  <c r="AP59" i="21"/>
  <c r="AQ59" i="21"/>
  <c r="AR59" i="21"/>
  <c r="AS59" i="21"/>
  <c r="AT59" i="21"/>
  <c r="AU59" i="21"/>
  <c r="AJ60" i="21"/>
  <c r="AK60" i="21"/>
  <c r="AL60" i="21"/>
  <c r="AM60" i="21"/>
  <c r="AN60" i="21"/>
  <c r="AO60" i="21"/>
  <c r="AP60" i="21"/>
  <c r="AQ60" i="21"/>
  <c r="AR60" i="21"/>
  <c r="AS60" i="21"/>
  <c r="AT60" i="21"/>
  <c r="AU60" i="21"/>
  <c r="AJ61" i="21"/>
  <c r="AK61" i="21"/>
  <c r="AL61" i="21"/>
  <c r="AM61" i="21"/>
  <c r="AN61" i="21"/>
  <c r="AO61" i="21"/>
  <c r="AP61" i="21"/>
  <c r="AQ61" i="21"/>
  <c r="AR61" i="21"/>
  <c r="AS61" i="21"/>
  <c r="AT61" i="21"/>
  <c r="AU61" i="21"/>
  <c r="AI46" i="21"/>
  <c r="AI47" i="21"/>
  <c r="AI48" i="21"/>
  <c r="AI49" i="21"/>
  <c r="AI50" i="21"/>
  <c r="AI51" i="21"/>
  <c r="AI52" i="21"/>
  <c r="AI53" i="21"/>
  <c r="AI54" i="21"/>
  <c r="AI55" i="21"/>
  <c r="AI56" i="21"/>
  <c r="AI57" i="21"/>
  <c r="AI58" i="21"/>
  <c r="AI59" i="21"/>
  <c r="AI60" i="21"/>
  <c r="AI61" i="21"/>
  <c r="AI40" i="21"/>
  <c r="AI41" i="21"/>
  <c r="AI42" i="21"/>
  <c r="AI43" i="21"/>
  <c r="AI44" i="21"/>
  <c r="AI45" i="21"/>
  <c r="C78" i="21"/>
  <c r="D78" i="21"/>
  <c r="E78" i="21"/>
  <c r="F78" i="21"/>
  <c r="G78" i="21"/>
  <c r="H78" i="21"/>
  <c r="I78" i="21"/>
  <c r="J78" i="21"/>
  <c r="K78" i="21"/>
  <c r="L78" i="21"/>
  <c r="M78" i="21"/>
  <c r="C79" i="21"/>
  <c r="D79" i="21"/>
  <c r="E79" i="21"/>
  <c r="F79" i="21"/>
  <c r="G79" i="21"/>
  <c r="H79" i="21"/>
  <c r="I79" i="21"/>
  <c r="J79" i="21"/>
  <c r="K79" i="21"/>
  <c r="L79" i="21"/>
  <c r="M79" i="21"/>
  <c r="B79" i="21"/>
  <c r="B78" i="21"/>
  <c r="D62" i="21"/>
  <c r="E62" i="21"/>
  <c r="F62" i="21"/>
  <c r="G62" i="21"/>
  <c r="H62" i="21"/>
  <c r="I62" i="21"/>
  <c r="J62" i="21"/>
  <c r="K62" i="21"/>
  <c r="L62" i="21"/>
  <c r="M62" i="21"/>
  <c r="N62" i="21"/>
  <c r="D63" i="21"/>
  <c r="E63" i="21"/>
  <c r="F63" i="21"/>
  <c r="G63" i="21"/>
  <c r="H63" i="21"/>
  <c r="J63" i="21"/>
  <c r="K63" i="21"/>
  <c r="L63" i="21"/>
  <c r="M63" i="21"/>
  <c r="N63" i="21"/>
  <c r="C63" i="21"/>
  <c r="C62" i="21"/>
  <c r="L32" i="25" l="1"/>
  <c r="K32" i="25"/>
  <c r="H32" i="25"/>
  <c r="G32" i="25"/>
  <c r="D32" i="25"/>
  <c r="C32" i="25"/>
  <c r="L31" i="25"/>
  <c r="K31" i="25"/>
  <c r="H31" i="25"/>
  <c r="G31" i="25"/>
  <c r="D31" i="25"/>
  <c r="C31" i="25"/>
  <c r="L30" i="25"/>
  <c r="K30" i="25"/>
  <c r="H30" i="25"/>
  <c r="G30" i="25"/>
  <c r="D30" i="25"/>
  <c r="C30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M27" i="25"/>
  <c r="L27" i="25"/>
  <c r="K27" i="25"/>
  <c r="J27" i="25"/>
  <c r="I27" i="25"/>
  <c r="G27" i="25"/>
  <c r="E27" i="25"/>
  <c r="D27" i="25"/>
  <c r="C27" i="25"/>
  <c r="B27" i="25"/>
  <c r="M26" i="25"/>
  <c r="M32" i="25" s="1"/>
  <c r="L26" i="25"/>
  <c r="K26" i="25"/>
  <c r="J26" i="25"/>
  <c r="J32" i="25" s="1"/>
  <c r="I26" i="25"/>
  <c r="I32" i="25" s="1"/>
  <c r="H26" i="25"/>
  <c r="G26" i="25"/>
  <c r="F26" i="25"/>
  <c r="F32" i="25" s="1"/>
  <c r="E26" i="25"/>
  <c r="E32" i="25" s="1"/>
  <c r="D26" i="25"/>
  <c r="C26" i="25"/>
  <c r="B26" i="25"/>
  <c r="B32" i="25" s="1"/>
  <c r="M25" i="25"/>
  <c r="M31" i="25" s="1"/>
  <c r="L25" i="25"/>
  <c r="K25" i="25"/>
  <c r="J25" i="25"/>
  <c r="J31" i="25" s="1"/>
  <c r="I25" i="25"/>
  <c r="I31" i="25" s="1"/>
  <c r="H25" i="25"/>
  <c r="G25" i="25"/>
  <c r="F25" i="25"/>
  <c r="F31" i="25" s="1"/>
  <c r="E25" i="25"/>
  <c r="E31" i="25" s="1"/>
  <c r="D25" i="25"/>
  <c r="C25" i="25"/>
  <c r="B25" i="25"/>
  <c r="B31" i="25" s="1"/>
  <c r="M24" i="25"/>
  <c r="M30" i="25" s="1"/>
  <c r="L24" i="25"/>
  <c r="K24" i="25"/>
  <c r="J24" i="25"/>
  <c r="J30" i="25" s="1"/>
  <c r="I24" i="25"/>
  <c r="I30" i="25" s="1"/>
  <c r="H24" i="25"/>
  <c r="G24" i="25"/>
  <c r="F24" i="25"/>
  <c r="F30" i="25" s="1"/>
  <c r="E24" i="25"/>
  <c r="E30" i="25" s="1"/>
  <c r="D24" i="25"/>
  <c r="C24" i="25"/>
  <c r="B24" i="25"/>
  <c r="B30" i="25" s="1"/>
  <c r="N160" i="24" l="1"/>
  <c r="M160" i="24"/>
  <c r="L160" i="24"/>
  <c r="K160" i="24"/>
  <c r="J160" i="24"/>
  <c r="I160" i="24"/>
  <c r="H160" i="24"/>
  <c r="G160" i="24"/>
  <c r="F160" i="24"/>
  <c r="E160" i="24"/>
  <c r="D160" i="24"/>
  <c r="C160" i="24"/>
  <c r="B160" i="24"/>
  <c r="M157" i="24"/>
  <c r="AD56" i="24" s="1"/>
  <c r="I156" i="24"/>
  <c r="Z55" i="24" s="1"/>
  <c r="I152" i="24"/>
  <c r="E151" i="24"/>
  <c r="E145" i="24"/>
  <c r="V44" i="24" s="1"/>
  <c r="C139" i="24"/>
  <c r="K135" i="24"/>
  <c r="G135" i="24"/>
  <c r="C135" i="24"/>
  <c r="K134" i="24"/>
  <c r="G134" i="24"/>
  <c r="C134" i="24"/>
  <c r="K133" i="24"/>
  <c r="G133" i="24"/>
  <c r="C133" i="24"/>
  <c r="G132" i="24"/>
  <c r="G33" i="24" s="1"/>
  <c r="K131" i="24"/>
  <c r="G131" i="24"/>
  <c r="C131" i="24"/>
  <c r="M129" i="24"/>
  <c r="L129" i="24"/>
  <c r="K129" i="24"/>
  <c r="K56" i="24" s="1"/>
  <c r="J129" i="24"/>
  <c r="I129" i="24"/>
  <c r="H129" i="24"/>
  <c r="G129" i="24"/>
  <c r="G56" i="24" s="1"/>
  <c r="F129" i="24"/>
  <c r="E129" i="24"/>
  <c r="D129" i="24"/>
  <c r="C129" i="24"/>
  <c r="C56" i="24" s="1"/>
  <c r="B129" i="24"/>
  <c r="M128" i="24"/>
  <c r="L128" i="24"/>
  <c r="K128" i="24"/>
  <c r="J128" i="24"/>
  <c r="I128" i="24"/>
  <c r="H128" i="24"/>
  <c r="G128" i="24"/>
  <c r="F128" i="24"/>
  <c r="E128" i="24"/>
  <c r="D128" i="24"/>
  <c r="C128" i="24"/>
  <c r="B128" i="24"/>
  <c r="M127" i="24"/>
  <c r="L127" i="24"/>
  <c r="K127" i="24"/>
  <c r="J127" i="24"/>
  <c r="I127" i="24"/>
  <c r="H127" i="24"/>
  <c r="G127" i="24"/>
  <c r="F127" i="24"/>
  <c r="E127" i="24"/>
  <c r="D127" i="24"/>
  <c r="C127" i="24"/>
  <c r="B127" i="24"/>
  <c r="M126" i="24"/>
  <c r="L126" i="24"/>
  <c r="K126" i="24"/>
  <c r="J126" i="24"/>
  <c r="I126" i="24"/>
  <c r="H126" i="24"/>
  <c r="G126" i="24"/>
  <c r="F126" i="24"/>
  <c r="E126" i="24"/>
  <c r="D126" i="24"/>
  <c r="C126" i="24"/>
  <c r="B126" i="24"/>
  <c r="M125" i="24"/>
  <c r="L125" i="24"/>
  <c r="K125" i="24"/>
  <c r="J125" i="24"/>
  <c r="I125" i="24"/>
  <c r="H125" i="24"/>
  <c r="G125" i="24"/>
  <c r="F125" i="24"/>
  <c r="E125" i="24"/>
  <c r="D125" i="24"/>
  <c r="C125" i="24"/>
  <c r="B125" i="24"/>
  <c r="M124" i="24"/>
  <c r="L124" i="24"/>
  <c r="K124" i="24"/>
  <c r="J124" i="24"/>
  <c r="I124" i="24"/>
  <c r="H124" i="24"/>
  <c r="G124" i="24"/>
  <c r="F124" i="24"/>
  <c r="E124" i="24"/>
  <c r="D124" i="24"/>
  <c r="C124" i="24"/>
  <c r="B124" i="24"/>
  <c r="M123" i="24"/>
  <c r="L123" i="24"/>
  <c r="K123" i="24"/>
  <c r="J123" i="24"/>
  <c r="I123" i="24"/>
  <c r="H123" i="24"/>
  <c r="G123" i="24"/>
  <c r="F123" i="24"/>
  <c r="E123" i="24"/>
  <c r="D123" i="24"/>
  <c r="C123" i="24"/>
  <c r="B123" i="24"/>
  <c r="M122" i="24"/>
  <c r="L122" i="24"/>
  <c r="K122" i="24"/>
  <c r="J122" i="24"/>
  <c r="I122" i="24"/>
  <c r="H122" i="24"/>
  <c r="G122" i="24"/>
  <c r="F122" i="24"/>
  <c r="E122" i="24"/>
  <c r="D122" i="24"/>
  <c r="C122" i="24"/>
  <c r="B122" i="24"/>
  <c r="M121" i="24"/>
  <c r="L121" i="24"/>
  <c r="K121" i="24"/>
  <c r="J121" i="24"/>
  <c r="I121" i="24"/>
  <c r="H121" i="24"/>
  <c r="G121" i="24"/>
  <c r="F121" i="24"/>
  <c r="E121" i="24"/>
  <c r="D121" i="24"/>
  <c r="C121" i="24"/>
  <c r="B121" i="24"/>
  <c r="M120" i="24"/>
  <c r="L120" i="24"/>
  <c r="J120" i="24"/>
  <c r="I120" i="24"/>
  <c r="G120" i="24"/>
  <c r="F120" i="24"/>
  <c r="E120" i="24"/>
  <c r="D120" i="24"/>
  <c r="C120" i="24"/>
  <c r="B120" i="24"/>
  <c r="M119" i="24"/>
  <c r="L119" i="24"/>
  <c r="J119" i="24"/>
  <c r="I119" i="24"/>
  <c r="G119" i="24"/>
  <c r="F119" i="24"/>
  <c r="E119" i="24"/>
  <c r="D119" i="24"/>
  <c r="C119" i="24"/>
  <c r="B119" i="24"/>
  <c r="M118" i="24"/>
  <c r="L118" i="24"/>
  <c r="J118" i="24"/>
  <c r="I118" i="24"/>
  <c r="G118" i="24"/>
  <c r="F118" i="24"/>
  <c r="E118" i="24"/>
  <c r="D118" i="24"/>
  <c r="C118" i="24"/>
  <c r="B118" i="24"/>
  <c r="M117" i="24"/>
  <c r="L117" i="24"/>
  <c r="J117" i="24"/>
  <c r="I117" i="24"/>
  <c r="G117" i="24"/>
  <c r="F117" i="24"/>
  <c r="E117" i="24"/>
  <c r="D117" i="24"/>
  <c r="C117" i="24"/>
  <c r="B117" i="24"/>
  <c r="M116" i="24"/>
  <c r="L116" i="24"/>
  <c r="J116" i="24"/>
  <c r="I116" i="24"/>
  <c r="G116" i="24"/>
  <c r="F116" i="24"/>
  <c r="E116" i="24"/>
  <c r="D116" i="24"/>
  <c r="C116" i="24"/>
  <c r="B116" i="24"/>
  <c r="M115" i="24"/>
  <c r="L115" i="24"/>
  <c r="J115" i="24"/>
  <c r="I115" i="24"/>
  <c r="G115" i="24"/>
  <c r="F115" i="24"/>
  <c r="E115" i="24"/>
  <c r="D115" i="24"/>
  <c r="C115" i="24"/>
  <c r="B115" i="24"/>
  <c r="M114" i="24"/>
  <c r="L114" i="24"/>
  <c r="J114" i="24"/>
  <c r="I114" i="24"/>
  <c r="G114" i="24"/>
  <c r="F114" i="24"/>
  <c r="E114" i="24"/>
  <c r="D114" i="24"/>
  <c r="C114" i="24"/>
  <c r="B114" i="24"/>
  <c r="M113" i="24"/>
  <c r="L113" i="24"/>
  <c r="J113" i="24"/>
  <c r="I113" i="24"/>
  <c r="G113" i="24"/>
  <c r="F113" i="24"/>
  <c r="E113" i="24"/>
  <c r="D113" i="24"/>
  <c r="C113" i="24"/>
  <c r="B113" i="24"/>
  <c r="M112" i="24"/>
  <c r="L112" i="24"/>
  <c r="J112" i="24"/>
  <c r="I112" i="24"/>
  <c r="G112" i="24"/>
  <c r="F112" i="24"/>
  <c r="E112" i="24"/>
  <c r="D112" i="24"/>
  <c r="C112" i="24"/>
  <c r="B112" i="24"/>
  <c r="M111" i="24"/>
  <c r="L111" i="24"/>
  <c r="K111" i="24"/>
  <c r="J111" i="24"/>
  <c r="I111" i="24"/>
  <c r="H111" i="24"/>
  <c r="G111" i="24"/>
  <c r="F111" i="24"/>
  <c r="E111" i="24"/>
  <c r="D111" i="24"/>
  <c r="C111" i="24"/>
  <c r="B111" i="24"/>
  <c r="M110" i="24"/>
  <c r="L110" i="24"/>
  <c r="K110" i="24"/>
  <c r="J110" i="24"/>
  <c r="I110" i="24"/>
  <c r="H110" i="24"/>
  <c r="G110" i="24"/>
  <c r="F110" i="24"/>
  <c r="E110" i="24"/>
  <c r="D110" i="24"/>
  <c r="C110" i="24"/>
  <c r="B110" i="24"/>
  <c r="M109" i="24"/>
  <c r="L109" i="24"/>
  <c r="K109" i="24"/>
  <c r="J109" i="24"/>
  <c r="I109" i="24"/>
  <c r="H109" i="24"/>
  <c r="G109" i="24"/>
  <c r="F109" i="24"/>
  <c r="E109" i="24"/>
  <c r="D109" i="24"/>
  <c r="C109" i="24"/>
  <c r="B109" i="24"/>
  <c r="M108" i="24"/>
  <c r="L108" i="24"/>
  <c r="K108" i="24"/>
  <c r="J108" i="24"/>
  <c r="I108" i="24"/>
  <c r="H108" i="24"/>
  <c r="G108" i="24"/>
  <c r="F108" i="24"/>
  <c r="E108" i="24"/>
  <c r="D108" i="24"/>
  <c r="C108" i="24"/>
  <c r="B108" i="24"/>
  <c r="M107" i="24"/>
  <c r="L107" i="24"/>
  <c r="K107" i="24"/>
  <c r="J107" i="24"/>
  <c r="I107" i="24"/>
  <c r="H107" i="24"/>
  <c r="G107" i="24"/>
  <c r="F107" i="24"/>
  <c r="E107" i="24"/>
  <c r="D107" i="24"/>
  <c r="C107" i="24"/>
  <c r="B107" i="24"/>
  <c r="M106" i="24"/>
  <c r="L106" i="24"/>
  <c r="K106" i="24"/>
  <c r="J106" i="24"/>
  <c r="I106" i="24"/>
  <c r="H106" i="24"/>
  <c r="G106" i="24"/>
  <c r="F106" i="24"/>
  <c r="E106" i="24"/>
  <c r="D106" i="24"/>
  <c r="C106" i="24"/>
  <c r="B106" i="24"/>
  <c r="M105" i="24"/>
  <c r="L105" i="24"/>
  <c r="K105" i="24"/>
  <c r="J105" i="24"/>
  <c r="I105" i="24"/>
  <c r="H105" i="24"/>
  <c r="G105" i="24"/>
  <c r="F105" i="24"/>
  <c r="E105" i="24"/>
  <c r="D105" i="24"/>
  <c r="C105" i="24"/>
  <c r="B105" i="24"/>
  <c r="M104" i="24"/>
  <c r="L104" i="24"/>
  <c r="K104" i="24"/>
  <c r="J104" i="24"/>
  <c r="I104" i="24"/>
  <c r="H104" i="24"/>
  <c r="G104" i="24"/>
  <c r="F104" i="24"/>
  <c r="E104" i="24"/>
  <c r="D104" i="24"/>
  <c r="C104" i="24"/>
  <c r="B104" i="24"/>
  <c r="M103" i="24"/>
  <c r="L103" i="24"/>
  <c r="K103" i="24"/>
  <c r="J103" i="24"/>
  <c r="I103" i="24"/>
  <c r="H103" i="24"/>
  <c r="G103" i="24"/>
  <c r="F103" i="24"/>
  <c r="E103" i="24"/>
  <c r="D103" i="24"/>
  <c r="C103" i="24"/>
  <c r="B103" i="24"/>
  <c r="M101" i="24"/>
  <c r="L101" i="24"/>
  <c r="L157" i="24" s="1"/>
  <c r="AC56" i="24" s="1"/>
  <c r="K101" i="24"/>
  <c r="J101" i="24"/>
  <c r="J157" i="24" s="1"/>
  <c r="AA56" i="24" s="1"/>
  <c r="I101" i="24"/>
  <c r="I157" i="24" s="1"/>
  <c r="H101" i="24"/>
  <c r="H157" i="24" s="1"/>
  <c r="Y56" i="24" s="1"/>
  <c r="G101" i="24"/>
  <c r="F101" i="24"/>
  <c r="F157" i="24" s="1"/>
  <c r="W56" i="24" s="1"/>
  <c r="E101" i="24"/>
  <c r="E157" i="24" s="1"/>
  <c r="V56" i="24" s="1"/>
  <c r="D101" i="24"/>
  <c r="D157" i="24" s="1"/>
  <c r="U56" i="24" s="1"/>
  <c r="C101" i="24"/>
  <c r="B101" i="24"/>
  <c r="B157" i="24" s="1"/>
  <c r="S56" i="24" s="1"/>
  <c r="M100" i="24"/>
  <c r="M156" i="24" s="1"/>
  <c r="L100" i="24"/>
  <c r="L156" i="24" s="1"/>
  <c r="K100" i="24"/>
  <c r="J100" i="24"/>
  <c r="J156" i="24" s="1"/>
  <c r="AA55" i="24" s="1"/>
  <c r="I100" i="24"/>
  <c r="H100" i="24"/>
  <c r="H156" i="24" s="1"/>
  <c r="G100" i="24"/>
  <c r="F100" i="24"/>
  <c r="F156" i="24" s="1"/>
  <c r="W55" i="24" s="1"/>
  <c r="E100" i="24"/>
  <c r="E156" i="24" s="1"/>
  <c r="D100" i="24"/>
  <c r="D156" i="24" s="1"/>
  <c r="C100" i="24"/>
  <c r="B100" i="24"/>
  <c r="B156" i="24" s="1"/>
  <c r="S55" i="24" s="1"/>
  <c r="M99" i="24"/>
  <c r="M155" i="24" s="1"/>
  <c r="M54" i="24" s="1"/>
  <c r="L99" i="24"/>
  <c r="L155" i="24" s="1"/>
  <c r="K99" i="24"/>
  <c r="J99" i="24"/>
  <c r="J155" i="24" s="1"/>
  <c r="I99" i="24"/>
  <c r="I155" i="24" s="1"/>
  <c r="H99" i="24"/>
  <c r="H155" i="24" s="1"/>
  <c r="G99" i="24"/>
  <c r="F99" i="24"/>
  <c r="F155" i="24" s="1"/>
  <c r="E99" i="24"/>
  <c r="E155" i="24" s="1"/>
  <c r="E54" i="24" s="1"/>
  <c r="D99" i="24"/>
  <c r="D155" i="24" s="1"/>
  <c r="C99" i="24"/>
  <c r="B99" i="24"/>
  <c r="B155" i="24" s="1"/>
  <c r="M98" i="24"/>
  <c r="M154" i="24" s="1"/>
  <c r="L98" i="24"/>
  <c r="L154" i="24" s="1"/>
  <c r="K98" i="24"/>
  <c r="J98" i="24"/>
  <c r="J154" i="24" s="1"/>
  <c r="I98" i="24"/>
  <c r="I154" i="24" s="1"/>
  <c r="H98" i="24"/>
  <c r="H154" i="24" s="1"/>
  <c r="G98" i="24"/>
  <c r="F98" i="24"/>
  <c r="F154" i="24" s="1"/>
  <c r="E98" i="24"/>
  <c r="E154" i="24" s="1"/>
  <c r="D98" i="24"/>
  <c r="D154" i="24" s="1"/>
  <c r="C98" i="24"/>
  <c r="B98" i="24"/>
  <c r="B154" i="24" s="1"/>
  <c r="M97" i="24"/>
  <c r="M153" i="24" s="1"/>
  <c r="M52" i="24" s="1"/>
  <c r="L97" i="24"/>
  <c r="L153" i="24" s="1"/>
  <c r="L162" i="24" s="1"/>
  <c r="K97" i="24"/>
  <c r="J97" i="24"/>
  <c r="J153" i="24" s="1"/>
  <c r="I97" i="24"/>
  <c r="I153" i="24" s="1"/>
  <c r="H97" i="24"/>
  <c r="H153" i="24" s="1"/>
  <c r="G97" i="24"/>
  <c r="F97" i="24"/>
  <c r="F153" i="24" s="1"/>
  <c r="E97" i="24"/>
  <c r="E153" i="24" s="1"/>
  <c r="D97" i="24"/>
  <c r="D153" i="24" s="1"/>
  <c r="C97" i="24"/>
  <c r="B97" i="24"/>
  <c r="B153" i="24" s="1"/>
  <c r="M96" i="24"/>
  <c r="M152" i="24" s="1"/>
  <c r="L96" i="24"/>
  <c r="L152" i="24" s="1"/>
  <c r="K96" i="24"/>
  <c r="J96" i="24"/>
  <c r="J152" i="24" s="1"/>
  <c r="I96" i="24"/>
  <c r="H96" i="24"/>
  <c r="H152" i="24" s="1"/>
  <c r="G96" i="24"/>
  <c r="F96" i="24"/>
  <c r="F152" i="24" s="1"/>
  <c r="E96" i="24"/>
  <c r="E152" i="24" s="1"/>
  <c r="D96" i="24"/>
  <c r="D152" i="24" s="1"/>
  <c r="C96" i="24"/>
  <c r="B96" i="24"/>
  <c r="B152" i="24" s="1"/>
  <c r="M95" i="24"/>
  <c r="M151" i="24" s="1"/>
  <c r="L95" i="24"/>
  <c r="L151" i="24" s="1"/>
  <c r="K95" i="24"/>
  <c r="J95" i="24"/>
  <c r="J151" i="24" s="1"/>
  <c r="I95" i="24"/>
  <c r="I151" i="24" s="1"/>
  <c r="H95" i="24"/>
  <c r="H151" i="24" s="1"/>
  <c r="G95" i="24"/>
  <c r="F95" i="24"/>
  <c r="F151" i="24" s="1"/>
  <c r="E95" i="24"/>
  <c r="D95" i="24"/>
  <c r="D151" i="24" s="1"/>
  <c r="C95" i="24"/>
  <c r="B95" i="24"/>
  <c r="B151" i="24" s="1"/>
  <c r="M94" i="24"/>
  <c r="M150" i="24" s="1"/>
  <c r="L94" i="24"/>
  <c r="L150" i="24" s="1"/>
  <c r="K94" i="24"/>
  <c r="J94" i="24"/>
  <c r="J150" i="24" s="1"/>
  <c r="I94" i="24"/>
  <c r="I150" i="24" s="1"/>
  <c r="H94" i="24"/>
  <c r="H150" i="24" s="1"/>
  <c r="G94" i="24"/>
  <c r="F94" i="24"/>
  <c r="F150" i="24" s="1"/>
  <c r="E94" i="24"/>
  <c r="E150" i="24" s="1"/>
  <c r="D94" i="24"/>
  <c r="D150" i="24" s="1"/>
  <c r="C94" i="24"/>
  <c r="B94" i="24"/>
  <c r="B150" i="24" s="1"/>
  <c r="M93" i="24"/>
  <c r="M149" i="24" s="1"/>
  <c r="M48" i="24" s="1"/>
  <c r="L93" i="24"/>
  <c r="L149" i="24" s="1"/>
  <c r="K93" i="24"/>
  <c r="J93" i="24"/>
  <c r="J149" i="24" s="1"/>
  <c r="I93" i="24"/>
  <c r="I149" i="24" s="1"/>
  <c r="H93" i="24"/>
  <c r="H149" i="24" s="1"/>
  <c r="G93" i="24"/>
  <c r="F93" i="24"/>
  <c r="F149" i="24" s="1"/>
  <c r="E93" i="24"/>
  <c r="E149" i="24" s="1"/>
  <c r="D93" i="24"/>
  <c r="D149" i="24" s="1"/>
  <c r="C93" i="24"/>
  <c r="B93" i="24"/>
  <c r="B149" i="24" s="1"/>
  <c r="M92" i="24"/>
  <c r="M148" i="24" s="1"/>
  <c r="M161" i="24" s="1"/>
  <c r="L92" i="24"/>
  <c r="L148" i="24" s="1"/>
  <c r="J92" i="24"/>
  <c r="I92" i="24"/>
  <c r="I148" i="24" s="1"/>
  <c r="G92" i="24"/>
  <c r="G148" i="24" s="1"/>
  <c r="X47" i="24" s="1"/>
  <c r="F92" i="24"/>
  <c r="F148" i="24" s="1"/>
  <c r="E92" i="24"/>
  <c r="D92" i="24"/>
  <c r="D148" i="24" s="1"/>
  <c r="C92" i="24"/>
  <c r="C148" i="24" s="1"/>
  <c r="B92" i="24"/>
  <c r="B148" i="24" s="1"/>
  <c r="M91" i="24"/>
  <c r="L91" i="24"/>
  <c r="L147" i="24" s="1"/>
  <c r="J91" i="24"/>
  <c r="J147" i="24" s="1"/>
  <c r="I91" i="24"/>
  <c r="I147" i="24" s="1"/>
  <c r="G91" i="24"/>
  <c r="F91" i="24"/>
  <c r="F147" i="24" s="1"/>
  <c r="E91" i="24"/>
  <c r="E147" i="24" s="1"/>
  <c r="D91" i="24"/>
  <c r="D147" i="24" s="1"/>
  <c r="C91" i="24"/>
  <c r="B91" i="24"/>
  <c r="B147" i="24" s="1"/>
  <c r="M90" i="24"/>
  <c r="M146" i="24" s="1"/>
  <c r="M45" i="24" s="1"/>
  <c r="L90" i="24"/>
  <c r="L146" i="24" s="1"/>
  <c r="J90" i="24"/>
  <c r="I90" i="24"/>
  <c r="I146" i="24" s="1"/>
  <c r="G90" i="24"/>
  <c r="G146" i="24" s="1"/>
  <c r="F90" i="24"/>
  <c r="F146" i="24" s="1"/>
  <c r="E90" i="24"/>
  <c r="D90" i="24"/>
  <c r="D146" i="24" s="1"/>
  <c r="C90" i="24"/>
  <c r="C146" i="24" s="1"/>
  <c r="B90" i="24"/>
  <c r="B146" i="24" s="1"/>
  <c r="M89" i="24"/>
  <c r="L89" i="24"/>
  <c r="L145" i="24" s="1"/>
  <c r="J89" i="24"/>
  <c r="J145" i="24" s="1"/>
  <c r="I89" i="24"/>
  <c r="I145" i="24" s="1"/>
  <c r="G89" i="24"/>
  <c r="F89" i="24"/>
  <c r="F145" i="24" s="1"/>
  <c r="E89" i="24"/>
  <c r="D89" i="24"/>
  <c r="D145" i="24" s="1"/>
  <c r="C89" i="24"/>
  <c r="B89" i="24"/>
  <c r="B145" i="24" s="1"/>
  <c r="M88" i="24"/>
  <c r="M144" i="24" s="1"/>
  <c r="L88" i="24"/>
  <c r="L144" i="24" s="1"/>
  <c r="J88" i="24"/>
  <c r="I88" i="24"/>
  <c r="I144" i="24" s="1"/>
  <c r="G88" i="24"/>
  <c r="G144" i="24" s="1"/>
  <c r="F88" i="24"/>
  <c r="F144" i="24" s="1"/>
  <c r="E88" i="24"/>
  <c r="D88" i="24"/>
  <c r="D144" i="24" s="1"/>
  <c r="C88" i="24"/>
  <c r="C144" i="24" s="1"/>
  <c r="B88" i="24"/>
  <c r="B144" i="24" s="1"/>
  <c r="M87" i="24"/>
  <c r="L87" i="24"/>
  <c r="L143" i="24" s="1"/>
  <c r="L161" i="24" s="1"/>
  <c r="J87" i="24"/>
  <c r="J143" i="24" s="1"/>
  <c r="AA42" i="24" s="1"/>
  <c r="I87" i="24"/>
  <c r="I143" i="24" s="1"/>
  <c r="G87" i="24"/>
  <c r="F87" i="24"/>
  <c r="F143" i="24" s="1"/>
  <c r="E87" i="24"/>
  <c r="E143" i="24" s="1"/>
  <c r="D87" i="24"/>
  <c r="D143" i="24" s="1"/>
  <c r="C87" i="24"/>
  <c r="B87" i="24"/>
  <c r="B143" i="24" s="1"/>
  <c r="M86" i="24"/>
  <c r="M142" i="24" s="1"/>
  <c r="L86" i="24"/>
  <c r="L142" i="24" s="1"/>
  <c r="J86" i="24"/>
  <c r="I86" i="24"/>
  <c r="I142" i="24" s="1"/>
  <c r="G86" i="24"/>
  <c r="G142" i="24" s="1"/>
  <c r="F86" i="24"/>
  <c r="F142" i="24" s="1"/>
  <c r="E86" i="24"/>
  <c r="D86" i="24"/>
  <c r="D142" i="24" s="1"/>
  <c r="C86" i="24"/>
  <c r="C142" i="24" s="1"/>
  <c r="B86" i="24"/>
  <c r="B142" i="24" s="1"/>
  <c r="M85" i="24"/>
  <c r="L85" i="24"/>
  <c r="L141" i="24" s="1"/>
  <c r="J85" i="24"/>
  <c r="J141" i="24" s="1"/>
  <c r="I85" i="24"/>
  <c r="I141" i="24" s="1"/>
  <c r="G85" i="24"/>
  <c r="F85" i="24"/>
  <c r="F141" i="24" s="1"/>
  <c r="E85" i="24"/>
  <c r="E141" i="24" s="1"/>
  <c r="D85" i="24"/>
  <c r="D141" i="24" s="1"/>
  <c r="C85" i="24"/>
  <c r="B85" i="24"/>
  <c r="B141" i="24" s="1"/>
  <c r="M84" i="24"/>
  <c r="M140" i="24" s="1"/>
  <c r="L84" i="24"/>
  <c r="L140" i="24" s="1"/>
  <c r="J84" i="24"/>
  <c r="I84" i="24"/>
  <c r="I140" i="24" s="1"/>
  <c r="G84" i="24"/>
  <c r="G140" i="24" s="1"/>
  <c r="X39" i="24" s="1"/>
  <c r="F84" i="24"/>
  <c r="F140" i="24" s="1"/>
  <c r="E84" i="24"/>
  <c r="D84" i="24"/>
  <c r="D140" i="24" s="1"/>
  <c r="C84" i="24"/>
  <c r="C140" i="24" s="1"/>
  <c r="B84" i="24"/>
  <c r="B140" i="24" s="1"/>
  <c r="M83" i="24"/>
  <c r="L83" i="24"/>
  <c r="L139" i="24" s="1"/>
  <c r="K83" i="24"/>
  <c r="K139" i="24" s="1"/>
  <c r="J83" i="24"/>
  <c r="J139" i="24" s="1"/>
  <c r="I83" i="24"/>
  <c r="H83" i="24"/>
  <c r="H139" i="24" s="1"/>
  <c r="G83" i="24"/>
  <c r="G139" i="24" s="1"/>
  <c r="F83" i="24"/>
  <c r="F139" i="24" s="1"/>
  <c r="E83" i="24"/>
  <c r="D83" i="24"/>
  <c r="D139" i="24" s="1"/>
  <c r="C83" i="24"/>
  <c r="B83" i="24"/>
  <c r="B139" i="24" s="1"/>
  <c r="M82" i="24"/>
  <c r="L82" i="24"/>
  <c r="L138" i="24" s="1"/>
  <c r="K82" i="24"/>
  <c r="K138" i="24" s="1"/>
  <c r="J82" i="24"/>
  <c r="J138" i="24" s="1"/>
  <c r="I82" i="24"/>
  <c r="H82" i="24"/>
  <c r="H138" i="24" s="1"/>
  <c r="G82" i="24"/>
  <c r="G138" i="24" s="1"/>
  <c r="F82" i="24"/>
  <c r="F138" i="24" s="1"/>
  <c r="E82" i="24"/>
  <c r="D82" i="24"/>
  <c r="D138" i="24" s="1"/>
  <c r="C82" i="24"/>
  <c r="C138" i="24" s="1"/>
  <c r="B82" i="24"/>
  <c r="B138" i="24" s="1"/>
  <c r="M81" i="24"/>
  <c r="L81" i="24"/>
  <c r="L137" i="24" s="1"/>
  <c r="K81" i="24"/>
  <c r="K137" i="24" s="1"/>
  <c r="K38" i="24" s="1"/>
  <c r="J81" i="24"/>
  <c r="J137" i="24" s="1"/>
  <c r="I81" i="24"/>
  <c r="H81" i="24"/>
  <c r="H137" i="24" s="1"/>
  <c r="G81" i="24"/>
  <c r="G137" i="24" s="1"/>
  <c r="F81" i="24"/>
  <c r="F137" i="24" s="1"/>
  <c r="E81" i="24"/>
  <c r="D81" i="24"/>
  <c r="D137" i="24" s="1"/>
  <c r="C81" i="24"/>
  <c r="C137" i="24" s="1"/>
  <c r="B81" i="24"/>
  <c r="B137" i="24" s="1"/>
  <c r="M80" i="24"/>
  <c r="L80" i="24"/>
  <c r="L136" i="24" s="1"/>
  <c r="K80" i="24"/>
  <c r="K136" i="24" s="1"/>
  <c r="J80" i="24"/>
  <c r="J136" i="24" s="1"/>
  <c r="I80" i="24"/>
  <c r="H80" i="24"/>
  <c r="H136" i="24" s="1"/>
  <c r="G80" i="24"/>
  <c r="G136" i="24" s="1"/>
  <c r="X37" i="24" s="1"/>
  <c r="F80" i="24"/>
  <c r="F136" i="24" s="1"/>
  <c r="E80" i="24"/>
  <c r="D80" i="24"/>
  <c r="D136" i="24" s="1"/>
  <c r="C80" i="24"/>
  <c r="C136" i="24" s="1"/>
  <c r="B80" i="24"/>
  <c r="B136" i="24" s="1"/>
  <c r="U79" i="24"/>
  <c r="M79" i="24"/>
  <c r="L79" i="24"/>
  <c r="L135" i="24" s="1"/>
  <c r="K79" i="24"/>
  <c r="J79" i="24"/>
  <c r="J135" i="24" s="1"/>
  <c r="I79" i="24"/>
  <c r="H79" i="24"/>
  <c r="H135" i="24" s="1"/>
  <c r="G79" i="24"/>
  <c r="F79" i="24"/>
  <c r="F135" i="24" s="1"/>
  <c r="E79" i="24"/>
  <c r="D79" i="24"/>
  <c r="D135" i="24" s="1"/>
  <c r="C79" i="24"/>
  <c r="B79" i="24"/>
  <c r="B135" i="24" s="1"/>
  <c r="U78" i="24"/>
  <c r="M78" i="24"/>
  <c r="M134" i="24" s="1"/>
  <c r="L78" i="24"/>
  <c r="L134" i="24" s="1"/>
  <c r="K78" i="24"/>
  <c r="J78" i="24"/>
  <c r="J134" i="24" s="1"/>
  <c r="I78" i="24"/>
  <c r="I134" i="24" s="1"/>
  <c r="H78" i="24"/>
  <c r="H134" i="24" s="1"/>
  <c r="G78" i="24"/>
  <c r="F78" i="24"/>
  <c r="F134" i="24" s="1"/>
  <c r="E78" i="24"/>
  <c r="E134" i="24" s="1"/>
  <c r="D78" i="24"/>
  <c r="D134" i="24" s="1"/>
  <c r="C78" i="24"/>
  <c r="B78" i="24"/>
  <c r="B134" i="24" s="1"/>
  <c r="U77" i="24"/>
  <c r="M77" i="24"/>
  <c r="M133" i="24" s="1"/>
  <c r="L77" i="24"/>
  <c r="L133" i="24" s="1"/>
  <c r="K77" i="24"/>
  <c r="J77" i="24"/>
  <c r="J133" i="24" s="1"/>
  <c r="I77" i="24"/>
  <c r="I133" i="24" s="1"/>
  <c r="H77" i="24"/>
  <c r="H133" i="24" s="1"/>
  <c r="G77" i="24"/>
  <c r="F77" i="24"/>
  <c r="F133" i="24" s="1"/>
  <c r="E77" i="24"/>
  <c r="E133" i="24" s="1"/>
  <c r="D77" i="24"/>
  <c r="D133" i="24" s="1"/>
  <c r="C77" i="24"/>
  <c r="B77" i="24"/>
  <c r="B133" i="24" s="1"/>
  <c r="U76" i="24"/>
  <c r="M76" i="24"/>
  <c r="L76" i="24"/>
  <c r="L132" i="24" s="1"/>
  <c r="K76" i="24"/>
  <c r="K132" i="24" s="1"/>
  <c r="J76" i="24"/>
  <c r="J132" i="24" s="1"/>
  <c r="I76" i="24"/>
  <c r="H76" i="24"/>
  <c r="H132" i="24" s="1"/>
  <c r="G76" i="24"/>
  <c r="F76" i="24"/>
  <c r="F132" i="24" s="1"/>
  <c r="E76" i="24"/>
  <c r="D76" i="24"/>
  <c r="D132" i="24" s="1"/>
  <c r="C76" i="24"/>
  <c r="C132" i="24" s="1"/>
  <c r="B76" i="24"/>
  <c r="B132" i="24" s="1"/>
  <c r="U75" i="24"/>
  <c r="M75" i="24"/>
  <c r="L75" i="24"/>
  <c r="L131" i="24" s="1"/>
  <c r="K75" i="24"/>
  <c r="J75" i="24"/>
  <c r="J131" i="24" s="1"/>
  <c r="I75" i="24"/>
  <c r="H75" i="24"/>
  <c r="H131" i="24" s="1"/>
  <c r="G75" i="24"/>
  <c r="F75" i="24"/>
  <c r="F131" i="24" s="1"/>
  <c r="E75" i="24"/>
  <c r="D75" i="24"/>
  <c r="D131" i="24" s="1"/>
  <c r="C75" i="24"/>
  <c r="B75" i="24"/>
  <c r="B131" i="24" s="1"/>
  <c r="O68" i="24"/>
  <c r="N68" i="24"/>
  <c r="Q65" i="24"/>
  <c r="O64" i="24"/>
  <c r="N64" i="24"/>
  <c r="AF56" i="24"/>
  <c r="AE56" i="24"/>
  <c r="O56" i="24"/>
  <c r="M56" i="24"/>
  <c r="L56" i="24"/>
  <c r="J56" i="24"/>
  <c r="I56" i="24"/>
  <c r="H56" i="24"/>
  <c r="F56" i="24"/>
  <c r="E56" i="24"/>
  <c r="D56" i="24"/>
  <c r="B56" i="24"/>
  <c r="AF55" i="24"/>
  <c r="AE55" i="24"/>
  <c r="O55" i="24"/>
  <c r="M55" i="24"/>
  <c r="L55" i="24"/>
  <c r="K55" i="24"/>
  <c r="J55" i="24"/>
  <c r="I55" i="24"/>
  <c r="H55" i="24"/>
  <c r="G55" i="24"/>
  <c r="F55" i="24"/>
  <c r="E55" i="24"/>
  <c r="V55" i="24" s="1"/>
  <c r="D55" i="24"/>
  <c r="C55" i="24"/>
  <c r="B55" i="24"/>
  <c r="AF54" i="24"/>
  <c r="AE54" i="24"/>
  <c r="AD54" i="24"/>
  <c r="AA54" i="24"/>
  <c r="Z54" i="24"/>
  <c r="Y54" i="24"/>
  <c r="V54" i="24"/>
  <c r="U54" i="24"/>
  <c r="O54" i="24"/>
  <c r="N54" i="24"/>
  <c r="L54" i="24"/>
  <c r="K54" i="24"/>
  <c r="J54" i="24"/>
  <c r="I54" i="24"/>
  <c r="H54" i="24"/>
  <c r="G54" i="24"/>
  <c r="F54" i="24"/>
  <c r="W54" i="24" s="1"/>
  <c r="D54" i="24"/>
  <c r="C54" i="24"/>
  <c r="B54" i="24"/>
  <c r="S54" i="24" s="1"/>
  <c r="AF53" i="24"/>
  <c r="AE53" i="24"/>
  <c r="AD53" i="24"/>
  <c r="AC53" i="24"/>
  <c r="AA53" i="24"/>
  <c r="Z53" i="24"/>
  <c r="Y53" i="24"/>
  <c r="V53" i="24"/>
  <c r="U53" i="24"/>
  <c r="O53" i="24"/>
  <c r="N53" i="24"/>
  <c r="M53" i="24"/>
  <c r="L53" i="24"/>
  <c r="K53" i="24"/>
  <c r="J53" i="24"/>
  <c r="I53" i="24"/>
  <c r="H53" i="24"/>
  <c r="G53" i="24"/>
  <c r="F53" i="24"/>
  <c r="W53" i="24" s="1"/>
  <c r="E53" i="24"/>
  <c r="D53" i="24"/>
  <c r="C53" i="24"/>
  <c r="B53" i="24"/>
  <c r="S53" i="24" s="1"/>
  <c r="AF52" i="24"/>
  <c r="AE52" i="24"/>
  <c r="AD52" i="24"/>
  <c r="AC52" i="24"/>
  <c r="AB52" i="24"/>
  <c r="AA52" i="24"/>
  <c r="Z52" i="24"/>
  <c r="Y52" i="24"/>
  <c r="W52" i="24"/>
  <c r="V52" i="24"/>
  <c r="U52" i="24"/>
  <c r="T52" i="24"/>
  <c r="O52" i="24"/>
  <c r="N52" i="24"/>
  <c r="L52" i="24"/>
  <c r="J52" i="24"/>
  <c r="I52" i="24"/>
  <c r="H52" i="24"/>
  <c r="G52" i="24"/>
  <c r="F52" i="24"/>
  <c r="E52" i="24"/>
  <c r="D52" i="24"/>
  <c r="B52" i="24"/>
  <c r="S52" i="24" s="1"/>
  <c r="AF51" i="24"/>
  <c r="AE51" i="24"/>
  <c r="AD51" i="24"/>
  <c r="AC51" i="24"/>
  <c r="AB51" i="24"/>
  <c r="AA51" i="24"/>
  <c r="Z51" i="24"/>
  <c r="Y51" i="24"/>
  <c r="W51" i="24"/>
  <c r="V51" i="24"/>
  <c r="U51" i="24"/>
  <c r="T51" i="24"/>
  <c r="O51" i="24"/>
  <c r="N51" i="24"/>
  <c r="M51" i="24"/>
  <c r="L51" i="24"/>
  <c r="J51" i="24"/>
  <c r="I51" i="24"/>
  <c r="H51" i="24"/>
  <c r="G51" i="24"/>
  <c r="F51" i="24"/>
  <c r="E51" i="24"/>
  <c r="D51" i="24"/>
  <c r="C51" i="24"/>
  <c r="B51" i="24"/>
  <c r="S51" i="24" s="1"/>
  <c r="AF50" i="24"/>
  <c r="AE50" i="24"/>
  <c r="AD50" i="24"/>
  <c r="AC50" i="24"/>
  <c r="AB50" i="24"/>
  <c r="AA50" i="24"/>
  <c r="Z50" i="24"/>
  <c r="Y50" i="24"/>
  <c r="V50" i="24"/>
  <c r="U50" i="24"/>
  <c r="T50" i="24"/>
  <c r="O50" i="24"/>
  <c r="N50" i="24"/>
  <c r="M50" i="24"/>
  <c r="L50" i="24"/>
  <c r="K50" i="24"/>
  <c r="J50" i="24"/>
  <c r="I50" i="24"/>
  <c r="H50" i="24"/>
  <c r="G50" i="24"/>
  <c r="F50" i="24"/>
  <c r="W50" i="24" s="1"/>
  <c r="E50" i="24"/>
  <c r="D50" i="24"/>
  <c r="C50" i="24"/>
  <c r="B50" i="24"/>
  <c r="S50" i="24" s="1"/>
  <c r="AF49" i="24"/>
  <c r="AE49" i="24"/>
  <c r="AD49" i="24"/>
  <c r="AC49" i="24"/>
  <c r="AB49" i="24"/>
  <c r="AA49" i="24"/>
  <c r="Z49" i="24"/>
  <c r="Y49" i="24"/>
  <c r="X49" i="24"/>
  <c r="W49" i="24"/>
  <c r="V49" i="24"/>
  <c r="U49" i="24"/>
  <c r="T49" i="24"/>
  <c r="S49" i="24"/>
  <c r="O49" i="24"/>
  <c r="N49" i="24"/>
  <c r="M49" i="24"/>
  <c r="L49" i="24"/>
  <c r="J49" i="24"/>
  <c r="I49" i="24"/>
  <c r="H49" i="24"/>
  <c r="F49" i="24"/>
  <c r="E49" i="24"/>
  <c r="D49" i="24"/>
  <c r="B49" i="24"/>
  <c r="AF48" i="24"/>
  <c r="AE48" i="24"/>
  <c r="AD48" i="24"/>
  <c r="AC48" i="24"/>
  <c r="AB48" i="24"/>
  <c r="AA48" i="24"/>
  <c r="Z48" i="24"/>
  <c r="Y48" i="24"/>
  <c r="X48" i="24"/>
  <c r="W48" i="24"/>
  <c r="V48" i="24"/>
  <c r="U48" i="24"/>
  <c r="T48" i="24"/>
  <c r="S48" i="24"/>
  <c r="O48" i="24"/>
  <c r="N48" i="24"/>
  <c r="L48" i="24"/>
  <c r="K48" i="24"/>
  <c r="J48" i="24"/>
  <c r="I48" i="24"/>
  <c r="H48" i="24"/>
  <c r="F48" i="24"/>
  <c r="E48" i="24"/>
  <c r="D48" i="24"/>
  <c r="B48" i="24"/>
  <c r="AF47" i="24"/>
  <c r="AE47" i="24"/>
  <c r="AD47" i="24"/>
  <c r="AC47" i="24"/>
  <c r="AB47" i="24"/>
  <c r="AA47" i="24"/>
  <c r="Z47" i="24"/>
  <c r="Y47" i="24"/>
  <c r="U47" i="24"/>
  <c r="O47" i="24"/>
  <c r="N47" i="24"/>
  <c r="M47" i="24"/>
  <c r="L47" i="24"/>
  <c r="K47" i="24"/>
  <c r="I47" i="24"/>
  <c r="H47" i="24"/>
  <c r="G47" i="24"/>
  <c r="F47" i="24"/>
  <c r="W47" i="24" s="1"/>
  <c r="E47" i="24"/>
  <c r="D47" i="24"/>
  <c r="C47" i="24"/>
  <c r="T47" i="24" s="1"/>
  <c r="B47" i="24"/>
  <c r="S47" i="24" s="1"/>
  <c r="AF46" i="24"/>
  <c r="AE46" i="24"/>
  <c r="AD46" i="24"/>
  <c r="AC46" i="24"/>
  <c r="AB46" i="24"/>
  <c r="AA46" i="24"/>
  <c r="Z46" i="24"/>
  <c r="Y46" i="24"/>
  <c r="V46" i="24"/>
  <c r="U46" i="24"/>
  <c r="O46" i="24"/>
  <c r="N46" i="24"/>
  <c r="L46" i="24"/>
  <c r="K46" i="24"/>
  <c r="J46" i="24"/>
  <c r="I46" i="24"/>
  <c r="H46" i="24"/>
  <c r="G46" i="24"/>
  <c r="F46" i="24"/>
  <c r="W46" i="24" s="1"/>
  <c r="E46" i="24"/>
  <c r="D46" i="24"/>
  <c r="C46" i="24"/>
  <c r="B46" i="24"/>
  <c r="S46" i="24" s="1"/>
  <c r="AF45" i="24"/>
  <c r="AE45" i="24"/>
  <c r="AD45" i="24"/>
  <c r="AC45" i="24"/>
  <c r="AB45" i="24"/>
  <c r="Z45" i="24"/>
  <c r="Y45" i="24"/>
  <c r="U45" i="24"/>
  <c r="O45" i="24"/>
  <c r="N45" i="24"/>
  <c r="L45" i="24"/>
  <c r="K45" i="24"/>
  <c r="J45" i="24"/>
  <c r="I45" i="24"/>
  <c r="H45" i="24"/>
  <c r="G45" i="24"/>
  <c r="X45" i="24" s="1"/>
  <c r="F45" i="24"/>
  <c r="W45" i="24" s="1"/>
  <c r="E45" i="24"/>
  <c r="D45" i="24"/>
  <c r="C45" i="24"/>
  <c r="T45" i="24" s="1"/>
  <c r="B45" i="24"/>
  <c r="S45" i="24" s="1"/>
  <c r="AF44" i="24"/>
  <c r="AE44" i="24"/>
  <c r="AC44" i="24"/>
  <c r="AB44" i="24"/>
  <c r="Z44" i="24"/>
  <c r="Y44" i="24"/>
  <c r="U44" i="24"/>
  <c r="O44" i="24"/>
  <c r="N44" i="24"/>
  <c r="M44" i="24"/>
  <c r="L44" i="24"/>
  <c r="K44" i="24"/>
  <c r="J44" i="24"/>
  <c r="AA44" i="24" s="1"/>
  <c r="I44" i="24"/>
  <c r="H44" i="24"/>
  <c r="G44" i="24"/>
  <c r="F44" i="24"/>
  <c r="W44" i="24" s="1"/>
  <c r="E44" i="24"/>
  <c r="D44" i="24"/>
  <c r="C44" i="24"/>
  <c r="B44" i="24"/>
  <c r="S44" i="24" s="1"/>
  <c r="AF43" i="24"/>
  <c r="AE43" i="24"/>
  <c r="AD43" i="24"/>
  <c r="AC43" i="24"/>
  <c r="AB43" i="24"/>
  <c r="Z43" i="24"/>
  <c r="Y43" i="24"/>
  <c r="U43" i="24"/>
  <c r="O43" i="24"/>
  <c r="N43" i="24"/>
  <c r="M43" i="24"/>
  <c r="L43" i="24"/>
  <c r="K43" i="24"/>
  <c r="J43" i="24"/>
  <c r="I43" i="24"/>
  <c r="H43" i="24"/>
  <c r="G43" i="24"/>
  <c r="X43" i="24" s="1"/>
  <c r="F43" i="24"/>
  <c r="W43" i="24" s="1"/>
  <c r="E43" i="24"/>
  <c r="D43" i="24"/>
  <c r="C43" i="24"/>
  <c r="T43" i="24" s="1"/>
  <c r="B43" i="24"/>
  <c r="S43" i="24" s="1"/>
  <c r="AF42" i="24"/>
  <c r="AE42" i="24"/>
  <c r="AD42" i="24"/>
  <c r="AC42" i="24"/>
  <c r="AB42" i="24"/>
  <c r="Z42" i="24"/>
  <c r="Y42" i="24"/>
  <c r="V42" i="24"/>
  <c r="U42" i="24"/>
  <c r="O42" i="24"/>
  <c r="N42" i="24"/>
  <c r="L42" i="24"/>
  <c r="K42" i="24"/>
  <c r="J42" i="24"/>
  <c r="I42" i="24"/>
  <c r="H42" i="24"/>
  <c r="G42" i="24"/>
  <c r="F42" i="24"/>
  <c r="W42" i="24" s="1"/>
  <c r="E42" i="24"/>
  <c r="D42" i="24"/>
  <c r="C42" i="24"/>
  <c r="B42" i="24"/>
  <c r="S42" i="24" s="1"/>
  <c r="AF41" i="24"/>
  <c r="AE41" i="24"/>
  <c r="AD41" i="24"/>
  <c r="AC41" i="24"/>
  <c r="AB41" i="24"/>
  <c r="AA41" i="24"/>
  <c r="Z41" i="24"/>
  <c r="Y41" i="24"/>
  <c r="V41" i="24"/>
  <c r="U41" i="24"/>
  <c r="T41" i="24"/>
  <c r="O41" i="24"/>
  <c r="N41" i="24"/>
  <c r="M41" i="24"/>
  <c r="L41" i="24"/>
  <c r="K41" i="24"/>
  <c r="I41" i="24"/>
  <c r="H41" i="24"/>
  <c r="G41" i="24"/>
  <c r="X41" i="24" s="1"/>
  <c r="F41" i="24"/>
  <c r="W41" i="24" s="1"/>
  <c r="D41" i="24"/>
  <c r="C41" i="24"/>
  <c r="B41" i="24"/>
  <c r="S41" i="24" s="1"/>
  <c r="AE40" i="24"/>
  <c r="AD40" i="24"/>
  <c r="AC40" i="24"/>
  <c r="AB40" i="24"/>
  <c r="AA40" i="24"/>
  <c r="Z40" i="24"/>
  <c r="Y40" i="24"/>
  <c r="V40" i="24"/>
  <c r="U40" i="24"/>
  <c r="O40" i="24"/>
  <c r="N40" i="24"/>
  <c r="M40" i="24"/>
  <c r="L40" i="24"/>
  <c r="K40" i="24"/>
  <c r="J40" i="24"/>
  <c r="I40" i="24"/>
  <c r="H40" i="24"/>
  <c r="G40" i="24"/>
  <c r="F40" i="24"/>
  <c r="W40" i="24" s="1"/>
  <c r="E40" i="24"/>
  <c r="D40" i="24"/>
  <c r="C40" i="24"/>
  <c r="B40" i="24"/>
  <c r="S40" i="24" s="1"/>
  <c r="AF39" i="24"/>
  <c r="AE39" i="24"/>
  <c r="AD39" i="24"/>
  <c r="AC39" i="24"/>
  <c r="AB39" i="24"/>
  <c r="AA39" i="24"/>
  <c r="Z39" i="24"/>
  <c r="Y39" i="24"/>
  <c r="V39" i="24"/>
  <c r="U39" i="24"/>
  <c r="T39" i="24"/>
  <c r="O39" i="24"/>
  <c r="N39" i="24"/>
  <c r="M39" i="24"/>
  <c r="L39" i="24"/>
  <c r="K39" i="24"/>
  <c r="I39" i="24"/>
  <c r="H39" i="24"/>
  <c r="G39" i="24"/>
  <c r="F39" i="24"/>
  <c r="W39" i="24" s="1"/>
  <c r="D39" i="24"/>
  <c r="C39" i="24"/>
  <c r="B39" i="24"/>
  <c r="S39" i="24" s="1"/>
  <c r="AF38" i="24"/>
  <c r="AE38" i="24"/>
  <c r="AD38" i="24"/>
  <c r="AC38" i="24"/>
  <c r="AB38" i="24"/>
  <c r="AA38" i="24"/>
  <c r="Y38" i="24"/>
  <c r="U38" i="24"/>
  <c r="O38" i="24"/>
  <c r="N38" i="24"/>
  <c r="L38" i="24"/>
  <c r="J38" i="24"/>
  <c r="I38" i="24"/>
  <c r="H38" i="24"/>
  <c r="G38" i="24"/>
  <c r="X38" i="24" s="1"/>
  <c r="F38" i="24"/>
  <c r="W38" i="24" s="1"/>
  <c r="E38" i="24"/>
  <c r="D38" i="24"/>
  <c r="C38" i="24"/>
  <c r="T38" i="24" s="1"/>
  <c r="B38" i="24"/>
  <c r="S38" i="24" s="1"/>
  <c r="AF37" i="24"/>
  <c r="AE37" i="24"/>
  <c r="AD37" i="24"/>
  <c r="AC37" i="24"/>
  <c r="Y37" i="24"/>
  <c r="U37" i="24"/>
  <c r="O37" i="24"/>
  <c r="N37" i="24"/>
  <c r="L37" i="24"/>
  <c r="K37" i="24"/>
  <c r="AB37" i="24" s="1"/>
  <c r="J37" i="24"/>
  <c r="AA37" i="24" s="1"/>
  <c r="I37" i="24"/>
  <c r="H37" i="24"/>
  <c r="G37" i="24"/>
  <c r="F37" i="24"/>
  <c r="W37" i="24" s="1"/>
  <c r="E37" i="24"/>
  <c r="D37" i="24"/>
  <c r="C37" i="24"/>
  <c r="T37" i="24" s="1"/>
  <c r="B37" i="24"/>
  <c r="S37" i="24" s="1"/>
  <c r="AF36" i="24"/>
  <c r="AE36" i="24"/>
  <c r="AD36" i="24"/>
  <c r="AC36" i="24"/>
  <c r="AB36" i="24"/>
  <c r="AA36" i="24"/>
  <c r="Y36" i="24"/>
  <c r="U36" i="24"/>
  <c r="O36" i="24"/>
  <c r="N36" i="24"/>
  <c r="L36" i="24"/>
  <c r="K36" i="24"/>
  <c r="J36" i="24"/>
  <c r="I36" i="24"/>
  <c r="H36" i="24"/>
  <c r="G36" i="24"/>
  <c r="X36" i="24" s="1"/>
  <c r="F36" i="24"/>
  <c r="W36" i="24" s="1"/>
  <c r="E36" i="24"/>
  <c r="D36" i="24"/>
  <c r="C36" i="24"/>
  <c r="T36" i="24" s="1"/>
  <c r="B36" i="24"/>
  <c r="S36" i="24" s="1"/>
  <c r="AF35" i="24"/>
  <c r="AE35" i="24"/>
  <c r="AD35" i="24"/>
  <c r="AC35" i="24"/>
  <c r="AB35" i="24"/>
  <c r="AA35" i="24"/>
  <c r="Z35" i="24"/>
  <c r="Y35" i="24"/>
  <c r="V35" i="24"/>
  <c r="U35" i="24"/>
  <c r="O35" i="24"/>
  <c r="N35" i="24"/>
  <c r="M35" i="24"/>
  <c r="L35" i="24"/>
  <c r="K35" i="24"/>
  <c r="J35" i="24"/>
  <c r="I35" i="24"/>
  <c r="H35" i="24"/>
  <c r="G35" i="24"/>
  <c r="X35" i="24" s="1"/>
  <c r="F35" i="24"/>
  <c r="W35" i="24" s="1"/>
  <c r="E35" i="24"/>
  <c r="D35" i="24"/>
  <c r="C35" i="24"/>
  <c r="T35" i="24" s="1"/>
  <c r="B35" i="24"/>
  <c r="S35" i="24" s="1"/>
  <c r="AF34" i="24"/>
  <c r="AE34" i="24"/>
  <c r="AD34" i="24"/>
  <c r="AC34" i="24"/>
  <c r="AB34" i="24"/>
  <c r="AA34" i="24"/>
  <c r="Z34" i="24"/>
  <c r="Y34" i="24"/>
  <c r="V34" i="24"/>
  <c r="U34" i="24"/>
  <c r="O34" i="24"/>
  <c r="N34" i="24"/>
  <c r="M34" i="24"/>
  <c r="L34" i="24"/>
  <c r="K34" i="24"/>
  <c r="J34" i="24"/>
  <c r="I34" i="24"/>
  <c r="H34" i="24"/>
  <c r="G34" i="24"/>
  <c r="X34" i="24" s="1"/>
  <c r="F34" i="24"/>
  <c r="W34" i="24" s="1"/>
  <c r="E34" i="24"/>
  <c r="D34" i="24"/>
  <c r="C34" i="24"/>
  <c r="T34" i="24" s="1"/>
  <c r="B34" i="24"/>
  <c r="S34" i="24" s="1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O33" i="24"/>
  <c r="N33" i="24"/>
  <c r="L33" i="24"/>
  <c r="K33" i="24"/>
  <c r="J33" i="24"/>
  <c r="I33" i="24"/>
  <c r="H33" i="24"/>
  <c r="F33" i="24"/>
  <c r="E33" i="24"/>
  <c r="D33" i="24"/>
  <c r="C33" i="24"/>
  <c r="B33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O32" i="24"/>
  <c r="N32" i="24"/>
  <c r="L32" i="24"/>
  <c r="K32" i="24"/>
  <c r="J32" i="24"/>
  <c r="H32" i="24"/>
  <c r="G32" i="24"/>
  <c r="F32" i="24"/>
  <c r="D32" i="24"/>
  <c r="C32" i="24"/>
  <c r="B32" i="24"/>
  <c r="O13" i="24"/>
  <c r="AF40" i="24" s="1"/>
  <c r="Q12" i="24"/>
  <c r="I10" i="24"/>
  <c r="G10" i="24"/>
  <c r="F10" i="24"/>
  <c r="C10" i="24"/>
  <c r="B10" i="24"/>
  <c r="E131" i="24" l="1"/>
  <c r="E32" i="24" s="1"/>
  <c r="I131" i="24"/>
  <c r="I32" i="24" s="1"/>
  <c r="M131" i="24"/>
  <c r="M32" i="24" s="1"/>
  <c r="E135" i="24"/>
  <c r="V36" i="24" s="1"/>
  <c r="I135" i="24"/>
  <c r="Z36" i="24" s="1"/>
  <c r="M135" i="24"/>
  <c r="M36" i="24" s="1"/>
  <c r="AC54" i="24"/>
  <c r="U55" i="24"/>
  <c r="Y55" i="24"/>
  <c r="AC55" i="24"/>
  <c r="N56" i="24"/>
  <c r="N55" i="24"/>
  <c r="AD55" i="24"/>
  <c r="Z56" i="24"/>
  <c r="E132" i="24"/>
  <c r="I132" i="24"/>
  <c r="M132" i="24"/>
  <c r="M33" i="24" s="1"/>
  <c r="E136" i="24"/>
  <c r="V37" i="24" s="1"/>
  <c r="I136" i="24"/>
  <c r="Z37" i="24" s="1"/>
  <c r="M136" i="24"/>
  <c r="M37" i="24" s="1"/>
  <c r="E137" i="24"/>
  <c r="V38" i="24" s="1"/>
  <c r="I137" i="24"/>
  <c r="Z38" i="24" s="1"/>
  <c r="M137" i="24"/>
  <c r="M38" i="24" s="1"/>
  <c r="E138" i="24"/>
  <c r="I138" i="24"/>
  <c r="M138" i="24"/>
  <c r="E139" i="24"/>
  <c r="I139" i="24"/>
  <c r="M139" i="24"/>
  <c r="E140" i="24"/>
  <c r="E39" i="24" s="1"/>
  <c r="J140" i="24"/>
  <c r="J39" i="24" s="1"/>
  <c r="C141" i="24"/>
  <c r="T40" i="24" s="1"/>
  <c r="G141" i="24"/>
  <c r="X40" i="24" s="1"/>
  <c r="M141" i="24"/>
  <c r="E142" i="24"/>
  <c r="E41" i="24" s="1"/>
  <c r="J142" i="24"/>
  <c r="J41" i="24" s="1"/>
  <c r="C143" i="24"/>
  <c r="T42" i="24" s="1"/>
  <c r="G143" i="24"/>
  <c r="X42" i="24" s="1"/>
  <c r="M143" i="24"/>
  <c r="M42" i="24" s="1"/>
  <c r="E144" i="24"/>
  <c r="V43" i="24" s="1"/>
  <c r="J144" i="24"/>
  <c r="AA43" i="24" s="1"/>
  <c r="C145" i="24"/>
  <c r="T44" i="24" s="1"/>
  <c r="G145" i="24"/>
  <c r="X44" i="24" s="1"/>
  <c r="M145" i="24"/>
  <c r="AD44" i="24" s="1"/>
  <c r="E146" i="24"/>
  <c r="V45" i="24" s="1"/>
  <c r="J146" i="24"/>
  <c r="AA45" i="24" s="1"/>
  <c r="C147" i="24"/>
  <c r="T46" i="24" s="1"/>
  <c r="G147" i="24"/>
  <c r="X46" i="24" s="1"/>
  <c r="M147" i="24"/>
  <c r="M46" i="24" s="1"/>
  <c r="E148" i="24"/>
  <c r="V47" i="24" s="1"/>
  <c r="J148" i="24"/>
  <c r="J47" i="24" s="1"/>
  <c r="C149" i="24"/>
  <c r="C48" i="24" s="1"/>
  <c r="G149" i="24"/>
  <c r="G48" i="24" s="1"/>
  <c r="K149" i="24"/>
  <c r="C150" i="24"/>
  <c r="C49" i="24" s="1"/>
  <c r="G150" i="24"/>
  <c r="G49" i="24" s="1"/>
  <c r="K150" i="24"/>
  <c r="K49" i="24" s="1"/>
  <c r="C151" i="24"/>
  <c r="G151" i="24"/>
  <c r="X50" i="24" s="1"/>
  <c r="K151" i="24"/>
  <c r="C152" i="24"/>
  <c r="G152" i="24"/>
  <c r="X51" i="24" s="1"/>
  <c r="K152" i="24"/>
  <c r="K51" i="24" s="1"/>
  <c r="C153" i="24"/>
  <c r="C52" i="24" s="1"/>
  <c r="G153" i="24"/>
  <c r="X52" i="24" s="1"/>
  <c r="K153" i="24"/>
  <c r="K52" i="24" s="1"/>
  <c r="C154" i="24"/>
  <c r="T53" i="24" s="1"/>
  <c r="G154" i="24"/>
  <c r="X53" i="24" s="1"/>
  <c r="K154" i="24"/>
  <c r="AB53" i="24" s="1"/>
  <c r="C155" i="24"/>
  <c r="T54" i="24" s="1"/>
  <c r="G155" i="24"/>
  <c r="X54" i="24" s="1"/>
  <c r="K155" i="24"/>
  <c r="AB54" i="24" s="1"/>
  <c r="C156" i="24"/>
  <c r="T55" i="24" s="1"/>
  <c r="G156" i="24"/>
  <c r="X55" i="24" s="1"/>
  <c r="K156" i="24"/>
  <c r="AB55" i="24" s="1"/>
  <c r="C157" i="24"/>
  <c r="T56" i="24" s="1"/>
  <c r="G157" i="24"/>
  <c r="X56" i="24" s="1"/>
  <c r="K157" i="24"/>
  <c r="AB56" i="24" s="1"/>
  <c r="T7" i="21"/>
  <c r="AS68" i="21" l="1"/>
  <c r="BC41" i="7" l="1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40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5" i="7"/>
  <c r="BB5" i="7" l="1"/>
  <c r="BB6" i="7"/>
  <c r="BB7" i="7"/>
  <c r="BB8" i="7"/>
  <c r="BB9" i="7"/>
  <c r="BB10" i="7"/>
  <c r="BB11" i="7"/>
  <c r="BB12" i="7"/>
  <c r="BB13" i="7"/>
  <c r="BB14" i="7"/>
  <c r="BB15" i="7"/>
  <c r="BB16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40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17" i="7"/>
  <c r="O59" i="22" l="1"/>
  <c r="I59" i="22"/>
  <c r="H59" i="22"/>
  <c r="L59" i="22" s="1"/>
  <c r="N59" i="22" s="1"/>
  <c r="G59" i="22"/>
  <c r="O58" i="22"/>
  <c r="L58" i="22"/>
  <c r="I58" i="22"/>
  <c r="N58" i="22" s="1"/>
  <c r="H58" i="22"/>
  <c r="G58" i="22"/>
  <c r="O57" i="22"/>
  <c r="I57" i="22"/>
  <c r="H57" i="22"/>
  <c r="L57" i="22" s="1"/>
  <c r="N57" i="22" s="1"/>
  <c r="G57" i="22"/>
  <c r="O56" i="22"/>
  <c r="L56" i="22"/>
  <c r="I56" i="22"/>
  <c r="N56" i="22" s="1"/>
  <c r="H56" i="22"/>
  <c r="G56" i="22"/>
  <c r="D56" i="22"/>
  <c r="I55" i="22"/>
  <c r="G55" i="22"/>
  <c r="I54" i="22"/>
  <c r="G54" i="22"/>
  <c r="O53" i="22"/>
  <c r="H53" i="22"/>
  <c r="I53" i="22" s="1"/>
  <c r="G53" i="22"/>
  <c r="D53" i="22"/>
  <c r="O52" i="22"/>
  <c r="L52" i="22"/>
  <c r="I52" i="22"/>
  <c r="N52" i="22" s="1"/>
  <c r="H52" i="22"/>
  <c r="G52" i="22"/>
  <c r="O51" i="22"/>
  <c r="I51" i="22"/>
  <c r="H51" i="22"/>
  <c r="L51" i="22" s="1"/>
  <c r="N51" i="22" s="1"/>
  <c r="G51" i="22"/>
  <c r="O50" i="22"/>
  <c r="L50" i="22"/>
  <c r="I50" i="22"/>
  <c r="N50" i="22" s="1"/>
  <c r="H50" i="22"/>
  <c r="G50" i="22"/>
  <c r="O49" i="22"/>
  <c r="I49" i="22"/>
  <c r="H49" i="22"/>
  <c r="L49" i="22" s="1"/>
  <c r="N49" i="22" s="1"/>
  <c r="G49" i="22"/>
  <c r="L48" i="22"/>
  <c r="I48" i="22"/>
  <c r="G48" i="22"/>
  <c r="L47" i="22"/>
  <c r="I47" i="22"/>
  <c r="G47" i="22"/>
  <c r="O46" i="22"/>
  <c r="I46" i="22"/>
  <c r="H46" i="22"/>
  <c r="L46" i="22" s="1"/>
  <c r="N46" i="22" s="1"/>
  <c r="G46" i="22"/>
  <c r="O45" i="22"/>
  <c r="I45" i="22"/>
  <c r="H45" i="22"/>
  <c r="L45" i="22" s="1"/>
  <c r="N45" i="22" s="1"/>
  <c r="G45" i="22"/>
  <c r="O44" i="22"/>
  <c r="I44" i="22"/>
  <c r="H44" i="22"/>
  <c r="L44" i="22" s="1"/>
  <c r="N44" i="22" s="1"/>
  <c r="G44" i="22"/>
  <c r="O43" i="22"/>
  <c r="I43" i="22"/>
  <c r="H43" i="22"/>
  <c r="L43" i="22" s="1"/>
  <c r="N43" i="22" s="1"/>
  <c r="G43" i="22"/>
  <c r="D43" i="22"/>
  <c r="O42" i="22"/>
  <c r="L42" i="22"/>
  <c r="H42" i="22"/>
  <c r="I42" i="22" s="1"/>
  <c r="G42" i="22"/>
  <c r="D42" i="22"/>
  <c r="L41" i="22"/>
  <c r="I41" i="22"/>
  <c r="G41" i="22"/>
  <c r="L40" i="22"/>
  <c r="I40" i="22"/>
  <c r="G40" i="22"/>
  <c r="O39" i="22"/>
  <c r="I39" i="22"/>
  <c r="H39" i="22"/>
  <c r="L39" i="22" s="1"/>
  <c r="N39" i="22" s="1"/>
  <c r="G39" i="22"/>
  <c r="AY38" i="22"/>
  <c r="O38" i="22"/>
  <c r="H38" i="22"/>
  <c r="L38" i="22" s="1"/>
  <c r="G38" i="22"/>
  <c r="AY37" i="22"/>
  <c r="O37" i="22"/>
  <c r="I37" i="22"/>
  <c r="H37" i="22"/>
  <c r="L37" i="22" s="1"/>
  <c r="N37" i="22" s="1"/>
  <c r="G37" i="22"/>
  <c r="AY36" i="22"/>
  <c r="O36" i="22"/>
  <c r="H36" i="22"/>
  <c r="I36" i="22" s="1"/>
  <c r="G36" i="22"/>
  <c r="AY35" i="22"/>
  <c r="O35" i="22"/>
  <c r="I35" i="22"/>
  <c r="H35" i="22"/>
  <c r="L35" i="22" s="1"/>
  <c r="N35" i="22" s="1"/>
  <c r="G35" i="22"/>
  <c r="D35" i="22"/>
  <c r="AY34" i="22"/>
  <c r="L34" i="22"/>
  <c r="I34" i="22"/>
  <c r="G34" i="22"/>
  <c r="AY33" i="22"/>
  <c r="L33" i="22"/>
  <c r="I33" i="22"/>
  <c r="G33" i="22"/>
  <c r="AY32" i="22"/>
  <c r="O32" i="22"/>
  <c r="N32" i="22"/>
  <c r="L32" i="22"/>
  <c r="I32" i="22"/>
  <c r="H32" i="22"/>
  <c r="G32" i="22"/>
  <c r="AY31" i="22"/>
  <c r="O31" i="22"/>
  <c r="L31" i="22"/>
  <c r="N31" i="22" s="1"/>
  <c r="H31" i="22"/>
  <c r="I31" i="22" s="1"/>
  <c r="G31" i="22"/>
  <c r="AY30" i="22"/>
  <c r="O30" i="22"/>
  <c r="I30" i="22"/>
  <c r="H30" i="22"/>
  <c r="L30" i="22" s="1"/>
  <c r="N30" i="22" s="1"/>
  <c r="G30" i="22"/>
  <c r="D30" i="22"/>
  <c r="AY29" i="22"/>
  <c r="L29" i="22"/>
  <c r="I29" i="22"/>
  <c r="G29" i="22"/>
  <c r="AY28" i="22"/>
  <c r="L28" i="22"/>
  <c r="I28" i="22"/>
  <c r="G28" i="22"/>
  <c r="AY27" i="22"/>
  <c r="O27" i="22"/>
  <c r="I27" i="22"/>
  <c r="H27" i="22"/>
  <c r="L27" i="22" s="1"/>
  <c r="N27" i="22" s="1"/>
  <c r="G27" i="22"/>
  <c r="AY26" i="22"/>
  <c r="O26" i="22"/>
  <c r="H26" i="22"/>
  <c r="I26" i="22" s="1"/>
  <c r="G26" i="22"/>
  <c r="AY25" i="22"/>
  <c r="O25" i="22"/>
  <c r="I25" i="22"/>
  <c r="H25" i="22"/>
  <c r="L25" i="22" s="1"/>
  <c r="N25" i="22" s="1"/>
  <c r="G25" i="22"/>
  <c r="AY24" i="22"/>
  <c r="M24" i="22"/>
  <c r="O24" i="22" s="1"/>
  <c r="I24" i="22"/>
  <c r="H24" i="22"/>
  <c r="L24" i="22" s="1"/>
  <c r="N24" i="22" s="1"/>
  <c r="G24" i="22"/>
  <c r="AY23" i="22"/>
  <c r="L23" i="22"/>
  <c r="I23" i="22"/>
  <c r="G23" i="22"/>
  <c r="AY22" i="22"/>
  <c r="L22" i="22"/>
  <c r="I22" i="22"/>
  <c r="G22" i="22"/>
  <c r="AY21" i="22"/>
  <c r="L21" i="22"/>
  <c r="I21" i="22"/>
  <c r="G21" i="22"/>
  <c r="AY20" i="22"/>
  <c r="O20" i="22"/>
  <c r="L20" i="22"/>
  <c r="H20" i="22"/>
  <c r="I20" i="22" s="1"/>
  <c r="G20" i="22"/>
  <c r="AY19" i="22"/>
  <c r="O19" i="22"/>
  <c r="L19" i="22"/>
  <c r="I19" i="22"/>
  <c r="N19" i="22" s="1"/>
  <c r="H19" i="22"/>
  <c r="G19" i="22"/>
  <c r="AY18" i="22"/>
  <c r="O18" i="22"/>
  <c r="H18" i="22"/>
  <c r="I18" i="22" s="1"/>
  <c r="G18" i="22"/>
  <c r="AY17" i="22"/>
  <c r="O17" i="22"/>
  <c r="I17" i="22"/>
  <c r="H17" i="22"/>
  <c r="L17" i="22" s="1"/>
  <c r="N17" i="22" s="1"/>
  <c r="G17" i="22"/>
  <c r="AY16" i="22"/>
  <c r="O16" i="22"/>
  <c r="L16" i="22"/>
  <c r="H16" i="22"/>
  <c r="I16" i="22" s="1"/>
  <c r="G16" i="22"/>
  <c r="AY15" i="22"/>
  <c r="M15" i="22"/>
  <c r="O15" i="22" s="1"/>
  <c r="L15" i="22"/>
  <c r="N15" i="22" s="1"/>
  <c r="H15" i="22"/>
  <c r="I15" i="22" s="1"/>
  <c r="G15" i="22"/>
  <c r="AY14" i="22"/>
  <c r="M14" i="22"/>
  <c r="O14" i="22" s="1"/>
  <c r="L14" i="22"/>
  <c r="N14" i="22" s="1"/>
  <c r="H14" i="22"/>
  <c r="I14" i="22" s="1"/>
  <c r="G14" i="22"/>
  <c r="AY13" i="22"/>
  <c r="M13" i="22"/>
  <c r="O13" i="22" s="1"/>
  <c r="L13" i="22"/>
  <c r="H13" i="22"/>
  <c r="I13" i="22" s="1"/>
  <c r="G13" i="22"/>
  <c r="AY12" i="22"/>
  <c r="AO12" i="22"/>
  <c r="AN12" i="22"/>
  <c r="AP12" i="22" s="1"/>
  <c r="AQ12" i="22" s="1"/>
  <c r="AH12" i="22"/>
  <c r="AG12" i="22"/>
  <c r="AI12" i="22" s="1"/>
  <c r="AJ12" i="22" s="1"/>
  <c r="AB12" i="22"/>
  <c r="AA12" i="22"/>
  <c r="AC12" i="22" s="1"/>
  <c r="AD12" i="22" s="1"/>
  <c r="L12" i="22"/>
  <c r="I12" i="22"/>
  <c r="G12" i="22"/>
  <c r="AY11" i="22"/>
  <c r="AO11" i="22"/>
  <c r="AN11" i="22"/>
  <c r="AP11" i="22" s="1"/>
  <c r="AQ11" i="22" s="1"/>
  <c r="AH11" i="22"/>
  <c r="AG11" i="22"/>
  <c r="AI11" i="22" s="1"/>
  <c r="AJ11" i="22" s="1"/>
  <c r="AB11" i="22"/>
  <c r="AA11" i="22"/>
  <c r="AC11" i="22" s="1"/>
  <c r="AD11" i="22" s="1"/>
  <c r="L11" i="22"/>
  <c r="I11" i="22"/>
  <c r="G11" i="22"/>
  <c r="AY10" i="22"/>
  <c r="AO10" i="22"/>
  <c r="AN10" i="22"/>
  <c r="AP10" i="22" s="1"/>
  <c r="AQ10" i="22" s="1"/>
  <c r="AH10" i="22"/>
  <c r="AG10" i="22"/>
  <c r="AI10" i="22" s="1"/>
  <c r="AJ10" i="22" s="1"/>
  <c r="AB10" i="22"/>
  <c r="AA10" i="22"/>
  <c r="AC10" i="22" s="1"/>
  <c r="AD10" i="22" s="1"/>
  <c r="O10" i="22"/>
  <c r="L10" i="22"/>
  <c r="N10" i="22" s="1"/>
  <c r="I10" i="22"/>
  <c r="H10" i="22"/>
  <c r="E10" i="22"/>
  <c r="G10" i="22" s="1"/>
  <c r="AY9" i="22"/>
  <c r="AO9" i="22"/>
  <c r="AN9" i="22"/>
  <c r="AP9" i="22" s="1"/>
  <c r="AQ9" i="22" s="1"/>
  <c r="AH9" i="22"/>
  <c r="AG9" i="22"/>
  <c r="AI9" i="22" s="1"/>
  <c r="AJ9" i="22" s="1"/>
  <c r="AB9" i="22"/>
  <c r="AA9" i="22"/>
  <c r="AC9" i="22" s="1"/>
  <c r="AD9" i="22" s="1"/>
  <c r="O9" i="22"/>
  <c r="L9" i="22"/>
  <c r="N9" i="22" s="1"/>
  <c r="I9" i="22"/>
  <c r="H9" i="22"/>
  <c r="E9" i="22"/>
  <c r="G9" i="22" s="1"/>
  <c r="AY8" i="22"/>
  <c r="AO8" i="22"/>
  <c r="AN8" i="22"/>
  <c r="AP8" i="22" s="1"/>
  <c r="AQ8" i="22" s="1"/>
  <c r="AH8" i="22"/>
  <c r="AG8" i="22"/>
  <c r="AI8" i="22" s="1"/>
  <c r="AJ8" i="22" s="1"/>
  <c r="AB8" i="22"/>
  <c r="AA8" i="22"/>
  <c r="AC8" i="22" s="1"/>
  <c r="AD8" i="22" s="1"/>
  <c r="O8" i="22"/>
  <c r="L8" i="22"/>
  <c r="N8" i="22" s="1"/>
  <c r="I8" i="22"/>
  <c r="H8" i="22"/>
  <c r="E8" i="22"/>
  <c r="G8" i="22" s="1"/>
  <c r="AY7" i="22"/>
  <c r="AO7" i="22"/>
  <c r="AN7" i="22"/>
  <c r="AP7" i="22" s="1"/>
  <c r="AQ7" i="22" s="1"/>
  <c r="AH7" i="22"/>
  <c r="AG7" i="22"/>
  <c r="AI7" i="22" s="1"/>
  <c r="AJ7" i="22" s="1"/>
  <c r="AB7" i="22"/>
  <c r="AA7" i="22"/>
  <c r="AC7" i="22" s="1"/>
  <c r="AD7" i="22" s="1"/>
  <c r="O7" i="22"/>
  <c r="L7" i="22"/>
  <c r="N7" i="22" s="1"/>
  <c r="I7" i="22"/>
  <c r="H7" i="22"/>
  <c r="E7" i="22"/>
  <c r="G7" i="22" s="1"/>
  <c r="AY6" i="22"/>
  <c r="AO6" i="22"/>
  <c r="AN6" i="22"/>
  <c r="AP6" i="22" s="1"/>
  <c r="AQ6" i="22" s="1"/>
  <c r="AH6" i="22"/>
  <c r="AG6" i="22"/>
  <c r="AI6" i="22" s="1"/>
  <c r="AJ6" i="22" s="1"/>
  <c r="AB6" i="22"/>
  <c r="AA6" i="22"/>
  <c r="AC6" i="22" s="1"/>
  <c r="AD6" i="22" s="1"/>
  <c r="O6" i="22"/>
  <c r="L6" i="22"/>
  <c r="N6" i="22" s="1"/>
  <c r="I6" i="22"/>
  <c r="H6" i="22"/>
  <c r="E6" i="22"/>
  <c r="G6" i="22" s="1"/>
  <c r="AY5" i="22"/>
  <c r="AO5" i="22"/>
  <c r="AN5" i="22"/>
  <c r="AP5" i="22" s="1"/>
  <c r="AQ5" i="22" s="1"/>
  <c r="AH5" i="22"/>
  <c r="AG5" i="22"/>
  <c r="AI5" i="22" s="1"/>
  <c r="AJ5" i="22" s="1"/>
  <c r="AB5" i="22"/>
  <c r="AA5" i="22"/>
  <c r="AC5" i="22" s="1"/>
  <c r="AD5" i="22" s="1"/>
  <c r="M5" i="22"/>
  <c r="O5" i="22" s="1"/>
  <c r="L5" i="22"/>
  <c r="N5" i="22" s="1"/>
  <c r="H5" i="22"/>
  <c r="I5" i="22" s="1"/>
  <c r="E5" i="22"/>
  <c r="G5" i="22" s="1"/>
  <c r="H4" i="22"/>
  <c r="L4" i="22" s="1"/>
  <c r="D4" i="22"/>
  <c r="E4" i="22" s="1"/>
  <c r="G4" i="22" s="1"/>
  <c r="N20" i="22" l="1"/>
  <c r="N38" i="22"/>
  <c r="N42" i="22"/>
  <c r="N16" i="22"/>
  <c r="N13" i="22"/>
  <c r="I4" i="22"/>
  <c r="N4" i="22" s="1"/>
  <c r="L18" i="22"/>
  <c r="N18" i="22" s="1"/>
  <c r="L26" i="22"/>
  <c r="N26" i="22" s="1"/>
  <c r="L36" i="22"/>
  <c r="N36" i="22" s="1"/>
  <c r="L53" i="22"/>
  <c r="N53" i="22" s="1"/>
  <c r="I38" i="22"/>
  <c r="U68" i="21" l="1"/>
  <c r="V68" i="21"/>
  <c r="W68" i="21"/>
  <c r="X68" i="21"/>
  <c r="Y68" i="21"/>
  <c r="Z68" i="21"/>
  <c r="AA68" i="21"/>
  <c r="AB68" i="21"/>
  <c r="AC68" i="21"/>
  <c r="AD68" i="21"/>
  <c r="AE68" i="21"/>
  <c r="U69" i="21"/>
  <c r="V69" i="21"/>
  <c r="W69" i="21"/>
  <c r="X69" i="21"/>
  <c r="Y69" i="21"/>
  <c r="Z69" i="21"/>
  <c r="AA69" i="21"/>
  <c r="AB69" i="21"/>
  <c r="AC69" i="21"/>
  <c r="AD69" i="21"/>
  <c r="AE69" i="21"/>
  <c r="U70" i="21"/>
  <c r="V70" i="21"/>
  <c r="W70" i="21"/>
  <c r="X70" i="21"/>
  <c r="Y70" i="21"/>
  <c r="Z70" i="21"/>
  <c r="AA70" i="21"/>
  <c r="AB70" i="21"/>
  <c r="AC70" i="21"/>
  <c r="AD70" i="21"/>
  <c r="AE70" i="21"/>
  <c r="U71" i="21"/>
  <c r="V71" i="21"/>
  <c r="W71" i="21"/>
  <c r="X71" i="21"/>
  <c r="Y71" i="21"/>
  <c r="AA71" i="21"/>
  <c r="AB71" i="21"/>
  <c r="AC71" i="21"/>
  <c r="AD71" i="21"/>
  <c r="AE71" i="21"/>
  <c r="U72" i="21"/>
  <c r="V72" i="21"/>
  <c r="W72" i="21"/>
  <c r="X72" i="21"/>
  <c r="Y72" i="21"/>
  <c r="AA72" i="21"/>
  <c r="AB72" i="21"/>
  <c r="AC72" i="21"/>
  <c r="AD72" i="21"/>
  <c r="AE72" i="21"/>
  <c r="T69" i="21"/>
  <c r="T70" i="21"/>
  <c r="T71" i="21"/>
  <c r="T72" i="21"/>
  <c r="T68" i="21"/>
  <c r="U66" i="21"/>
  <c r="V66" i="21"/>
  <c r="W66" i="21"/>
  <c r="X66" i="21"/>
  <c r="Y66" i="21"/>
  <c r="AA66" i="21"/>
  <c r="AB66" i="21"/>
  <c r="AC66" i="21"/>
  <c r="AD66" i="21"/>
  <c r="AE66" i="21"/>
  <c r="U67" i="21"/>
  <c r="V67" i="21"/>
  <c r="W67" i="21"/>
  <c r="X67" i="21"/>
  <c r="Y67" i="21"/>
  <c r="AA67" i="21"/>
  <c r="AB67" i="21"/>
  <c r="AC67" i="21"/>
  <c r="AD67" i="21"/>
  <c r="AE67" i="21"/>
  <c r="T67" i="21"/>
  <c r="T66" i="21"/>
  <c r="AE65" i="21"/>
  <c r="AC65" i="21"/>
  <c r="AB65" i="21"/>
  <c r="AA65" i="21"/>
  <c r="Z65" i="21"/>
  <c r="Y65" i="21"/>
  <c r="X65" i="21"/>
  <c r="W65" i="21"/>
  <c r="V65" i="21"/>
  <c r="U65" i="21"/>
  <c r="T65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AE63" i="21"/>
  <c r="AD63" i="21"/>
  <c r="AB63" i="21"/>
  <c r="AA63" i="21"/>
  <c r="Z63" i="21"/>
  <c r="Y63" i="21"/>
  <c r="X63" i="21"/>
  <c r="W63" i="21"/>
  <c r="V63" i="21"/>
  <c r="U63" i="21"/>
  <c r="T63" i="21"/>
  <c r="AJ66" i="21"/>
  <c r="AK66" i="21"/>
  <c r="AL66" i="21"/>
  <c r="AM66" i="21"/>
  <c r="AN66" i="21"/>
  <c r="AO66" i="21"/>
  <c r="AP66" i="21"/>
  <c r="AQ66" i="21"/>
  <c r="AR66" i="21"/>
  <c r="AS66" i="21"/>
  <c r="AT66" i="21"/>
  <c r="AJ67" i="21"/>
  <c r="AK67" i="21"/>
  <c r="AL67" i="21"/>
  <c r="AM67" i="21"/>
  <c r="AN67" i="21"/>
  <c r="AO67" i="21"/>
  <c r="AP67" i="21"/>
  <c r="AQ67" i="21"/>
  <c r="AR67" i="21"/>
  <c r="AS67" i="21"/>
  <c r="AT67" i="21"/>
  <c r="AJ68" i="21"/>
  <c r="AK68" i="21"/>
  <c r="AL68" i="21"/>
  <c r="AM68" i="21"/>
  <c r="AN68" i="21"/>
  <c r="AO68" i="21"/>
  <c r="AP68" i="21"/>
  <c r="AQ68" i="21"/>
  <c r="AR68" i="21"/>
  <c r="AT68" i="21"/>
  <c r="AI67" i="21"/>
  <c r="AI68" i="21"/>
  <c r="AI66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I9" i="21"/>
  <c r="AJ9" i="21"/>
  <c r="AK9" i="21"/>
  <c r="AL9" i="21"/>
  <c r="AM9" i="21"/>
  <c r="AN9" i="21"/>
  <c r="AO9" i="21"/>
  <c r="AP9" i="21"/>
  <c r="AQ9" i="21"/>
  <c r="AR9" i="21"/>
  <c r="AS9" i="21"/>
  <c r="AT9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I11" i="21"/>
  <c r="AJ11" i="21"/>
  <c r="AK11" i="21"/>
  <c r="AL11" i="21"/>
  <c r="AM11" i="21"/>
  <c r="AN11" i="21"/>
  <c r="AO11" i="21"/>
  <c r="AP11" i="21"/>
  <c r="AQ11" i="21"/>
  <c r="AR11" i="21"/>
  <c r="AS11" i="21"/>
  <c r="AT11" i="21"/>
  <c r="AI12" i="21"/>
  <c r="AJ12" i="21"/>
  <c r="AK12" i="21"/>
  <c r="AL12" i="21"/>
  <c r="AM12" i="21"/>
  <c r="AN12" i="21"/>
  <c r="AO12" i="21"/>
  <c r="AP12" i="21"/>
  <c r="AQ12" i="21"/>
  <c r="AR12" i="21"/>
  <c r="AS12" i="21"/>
  <c r="AT12" i="21"/>
  <c r="AI13" i="21"/>
  <c r="AJ13" i="21"/>
  <c r="AK13" i="21"/>
  <c r="AL13" i="21"/>
  <c r="AM13" i="21"/>
  <c r="AN13" i="21"/>
  <c r="AO13" i="21"/>
  <c r="AP13" i="21"/>
  <c r="AQ13" i="21"/>
  <c r="AR13" i="21"/>
  <c r="AS13" i="21"/>
  <c r="AT13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I16" i="21"/>
  <c r="AJ16" i="21"/>
  <c r="AK16" i="21"/>
  <c r="AL16" i="21"/>
  <c r="AM16" i="21"/>
  <c r="AN16" i="21"/>
  <c r="AO16" i="21"/>
  <c r="AP16" i="21"/>
  <c r="AQ16" i="21"/>
  <c r="AR16" i="21"/>
  <c r="AS16" i="21"/>
  <c r="AT16" i="21"/>
  <c r="AI17" i="21"/>
  <c r="AJ17" i="21"/>
  <c r="AK17" i="21"/>
  <c r="AL17" i="21"/>
  <c r="AM17" i="21"/>
  <c r="AN17" i="21"/>
  <c r="AO17" i="21"/>
  <c r="AP17" i="21"/>
  <c r="AQ17" i="21"/>
  <c r="AR17" i="21"/>
  <c r="AS17" i="21"/>
  <c r="AT17" i="21"/>
  <c r="AI18" i="21"/>
  <c r="AJ18" i="21"/>
  <c r="AK18" i="21"/>
  <c r="AL18" i="21"/>
  <c r="AM18" i="21"/>
  <c r="AN18" i="21"/>
  <c r="AO18" i="21"/>
  <c r="AP18" i="21"/>
  <c r="AQ18" i="21"/>
  <c r="AR18" i="21"/>
  <c r="AS18" i="21"/>
  <c r="AT18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I20" i="21"/>
  <c r="AJ20" i="21"/>
  <c r="AK20" i="21"/>
  <c r="AL20" i="21"/>
  <c r="AM20" i="21"/>
  <c r="AN20" i="21"/>
  <c r="AO20" i="21"/>
  <c r="AP20" i="21"/>
  <c r="AQ20" i="21"/>
  <c r="AR20" i="21"/>
  <c r="AS20" i="21"/>
  <c r="AT20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I22" i="21"/>
  <c r="AJ22" i="21"/>
  <c r="AK22" i="21"/>
  <c r="AL22" i="21"/>
  <c r="AM22" i="21"/>
  <c r="AN22" i="21"/>
  <c r="AO22" i="21"/>
  <c r="AP22" i="21"/>
  <c r="AQ22" i="21"/>
  <c r="AR22" i="21"/>
  <c r="AS22" i="21"/>
  <c r="AT22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I24" i="21"/>
  <c r="AJ24" i="21"/>
  <c r="AK24" i="21"/>
  <c r="AL24" i="21"/>
  <c r="AM24" i="21"/>
  <c r="AN24" i="21"/>
  <c r="AO24" i="21"/>
  <c r="AP24" i="21"/>
  <c r="AQ24" i="21"/>
  <c r="AR24" i="21"/>
  <c r="AS24" i="21"/>
  <c r="AT24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I26" i="21"/>
  <c r="AJ26" i="21"/>
  <c r="AK26" i="21"/>
  <c r="AL26" i="21"/>
  <c r="AM26" i="21"/>
  <c r="AN26" i="21"/>
  <c r="AO26" i="21"/>
  <c r="AP26" i="21"/>
  <c r="AQ26" i="21"/>
  <c r="AR26" i="21"/>
  <c r="AS26" i="21"/>
  <c r="AT26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I30" i="21"/>
  <c r="AJ30" i="21"/>
  <c r="AK30" i="21"/>
  <c r="AL30" i="21"/>
  <c r="AM30" i="21"/>
  <c r="AN30" i="21"/>
  <c r="AO30" i="21"/>
  <c r="AP30" i="21"/>
  <c r="AQ30" i="21"/>
  <c r="AR30" i="21"/>
  <c r="AS30" i="21"/>
  <c r="AT30" i="21"/>
  <c r="AI31" i="21"/>
  <c r="AJ31" i="21"/>
  <c r="AK31" i="21"/>
  <c r="AL31" i="21"/>
  <c r="AM31" i="21"/>
  <c r="AN31" i="21"/>
  <c r="AO31" i="21"/>
  <c r="AP31" i="21"/>
  <c r="AQ31" i="21"/>
  <c r="AR31" i="21"/>
  <c r="AS31" i="21"/>
  <c r="AT31" i="21"/>
  <c r="AI32" i="21"/>
  <c r="AJ32" i="21"/>
  <c r="AK32" i="21"/>
  <c r="AL32" i="21"/>
  <c r="AM32" i="21"/>
  <c r="AN32" i="21"/>
  <c r="AO32" i="21"/>
  <c r="AP32" i="21"/>
  <c r="AQ32" i="21"/>
  <c r="AR32" i="21"/>
  <c r="AS32" i="21"/>
  <c r="AT32" i="21"/>
  <c r="AI33" i="21"/>
  <c r="AJ33" i="21"/>
  <c r="AK33" i="21"/>
  <c r="AL33" i="21"/>
  <c r="AM33" i="21"/>
  <c r="AN33" i="21"/>
  <c r="AO33" i="21"/>
  <c r="AP33" i="21"/>
  <c r="AQ33" i="21"/>
  <c r="AR33" i="21"/>
  <c r="AS33" i="21"/>
  <c r="AT33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I37" i="21"/>
  <c r="AJ37" i="21"/>
  <c r="AK37" i="21"/>
  <c r="AL37" i="21"/>
  <c r="AM37" i="21"/>
  <c r="AN37" i="21"/>
  <c r="AO37" i="21"/>
  <c r="AP37" i="21"/>
  <c r="AQ37" i="21"/>
  <c r="AR37" i="21"/>
  <c r="AS37" i="21"/>
  <c r="AT37" i="21"/>
  <c r="AI38" i="21"/>
  <c r="AJ38" i="21"/>
  <c r="AK38" i="21"/>
  <c r="AL38" i="21"/>
  <c r="AM38" i="21"/>
  <c r="AN38" i="21"/>
  <c r="AO38" i="21"/>
  <c r="AP38" i="21"/>
  <c r="AQ38" i="21"/>
  <c r="AR38" i="21"/>
  <c r="AS38" i="21"/>
  <c r="AT38" i="21"/>
  <c r="AI39" i="21"/>
  <c r="AJ39" i="21"/>
  <c r="AK39" i="21"/>
  <c r="AL39" i="21"/>
  <c r="AM39" i="21"/>
  <c r="AN39" i="21"/>
  <c r="AO39" i="21"/>
  <c r="AP39" i="21"/>
  <c r="AQ39" i="21"/>
  <c r="AR39" i="21"/>
  <c r="AS39" i="21"/>
  <c r="AT39" i="21"/>
  <c r="AJ7" i="21"/>
  <c r="AK7" i="21"/>
  <c r="AK63" i="21" s="1"/>
  <c r="AL7" i="21"/>
  <c r="AM7" i="21"/>
  <c r="AN7" i="21"/>
  <c r="AO7" i="21"/>
  <c r="AO63" i="21" s="1"/>
  <c r="AP7" i="21"/>
  <c r="AQ7" i="21"/>
  <c r="AR7" i="21"/>
  <c r="AS7" i="21"/>
  <c r="AS63" i="21" s="1"/>
  <c r="AT7" i="21"/>
  <c r="AI7" i="21"/>
  <c r="T8" i="21"/>
  <c r="U8" i="21"/>
  <c r="V8" i="21"/>
  <c r="W8" i="21"/>
  <c r="X8" i="21"/>
  <c r="Y8" i="21"/>
  <c r="Z8" i="21"/>
  <c r="AA8" i="21"/>
  <c r="AB8" i="21"/>
  <c r="AC8" i="21"/>
  <c r="AD8" i="21"/>
  <c r="AE8" i="21"/>
  <c r="T9" i="21"/>
  <c r="U9" i="21"/>
  <c r="V9" i="21"/>
  <c r="W9" i="21"/>
  <c r="X9" i="21"/>
  <c r="Y9" i="21"/>
  <c r="Z9" i="21"/>
  <c r="AA9" i="21"/>
  <c r="AB9" i="21"/>
  <c r="AC9" i="21"/>
  <c r="AD9" i="21"/>
  <c r="AE9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T12" i="21"/>
  <c r="U12" i="21"/>
  <c r="V12" i="21"/>
  <c r="W12" i="21"/>
  <c r="X12" i="21"/>
  <c r="Y12" i="21"/>
  <c r="Z12" i="21"/>
  <c r="AA12" i="21"/>
  <c r="AB12" i="21"/>
  <c r="AC12" i="21"/>
  <c r="AC63" i="21" s="1"/>
  <c r="AD12" i="21"/>
  <c r="AE12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T58" i="21"/>
  <c r="U58" i="21"/>
  <c r="V58" i="21"/>
  <c r="W58" i="21"/>
  <c r="X58" i="21"/>
  <c r="Y58" i="21"/>
  <c r="Z58" i="21"/>
  <c r="AA58" i="21"/>
  <c r="AB58" i="21"/>
  <c r="AC58" i="21"/>
  <c r="AD58" i="21"/>
  <c r="AE58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U7" i="21"/>
  <c r="V7" i="21"/>
  <c r="W7" i="21"/>
  <c r="X7" i="21"/>
  <c r="Y7" i="21"/>
  <c r="Z7" i="21"/>
  <c r="AA7" i="21"/>
  <c r="AB7" i="21"/>
  <c r="AC7" i="21"/>
  <c r="AD7" i="21"/>
  <c r="AE7" i="21"/>
  <c r="H72" i="21"/>
  <c r="H71" i="21"/>
  <c r="AS65" i="21" l="1"/>
  <c r="AK64" i="21"/>
  <c r="AT63" i="21"/>
  <c r="AP63" i="21"/>
  <c r="AL63" i="21"/>
  <c r="AS64" i="21"/>
  <c r="AO64" i="21"/>
  <c r="AR65" i="21"/>
  <c r="AR64" i="21"/>
  <c r="AJ64" i="21"/>
  <c r="AR63" i="21"/>
  <c r="AJ63" i="21"/>
  <c r="AM65" i="21"/>
  <c r="AI64" i="21"/>
  <c r="AO65" i="21"/>
  <c r="AK65" i="21"/>
  <c r="AN65" i="21"/>
  <c r="AJ65" i="21"/>
  <c r="AN64" i="21"/>
  <c r="AN63" i="21"/>
  <c r="AQ65" i="21"/>
  <c r="AI65" i="21"/>
  <c r="AQ64" i="21"/>
  <c r="AM64" i="21"/>
  <c r="AI63" i="21"/>
  <c r="AQ63" i="21"/>
  <c r="AM63" i="21"/>
  <c r="AT65" i="21"/>
  <c r="AP65" i="21"/>
  <c r="AL65" i="21"/>
  <c r="AT64" i="21"/>
  <c r="AP64" i="21"/>
  <c r="AL64" i="21"/>
  <c r="DI2" i="7"/>
  <c r="M39" i="13" l="1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39" i="13"/>
  <c r="M38" i="13" l="1"/>
  <c r="M40" i="13" s="1"/>
  <c r="N38" i="13"/>
  <c r="N40" i="13" s="1"/>
  <c r="O38" i="13"/>
  <c r="O40" i="13" s="1"/>
  <c r="P38" i="13"/>
  <c r="P40" i="13" s="1"/>
  <c r="Q38" i="13"/>
  <c r="Q40" i="13" s="1"/>
  <c r="R38" i="13"/>
  <c r="R40" i="13" s="1"/>
  <c r="S38" i="13"/>
  <c r="S40" i="13" s="1"/>
  <c r="T38" i="13"/>
  <c r="T40" i="13" s="1"/>
  <c r="U38" i="13"/>
  <c r="U40" i="13" s="1"/>
  <c r="V38" i="13"/>
  <c r="V40" i="13" s="1"/>
  <c r="W38" i="13"/>
  <c r="W40" i="13" s="1"/>
  <c r="X38" i="13"/>
  <c r="X40" i="13" s="1"/>
  <c r="Y38" i="13"/>
  <c r="Y40" i="13" s="1"/>
  <c r="Z38" i="13"/>
  <c r="Z40" i="13" s="1"/>
  <c r="AA38" i="13"/>
  <c r="AA40" i="13" s="1"/>
  <c r="L38" i="13"/>
  <c r="L40" i="13" s="1"/>
  <c r="BO6" i="7" l="1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42" i="7"/>
  <c r="BO43" i="7"/>
  <c r="BO44" i="7"/>
  <c r="BO45" i="7"/>
  <c r="BO46" i="7"/>
  <c r="BO47" i="7"/>
  <c r="BO48" i="7"/>
  <c r="BO49" i="7"/>
  <c r="BO50" i="7"/>
  <c r="BO51" i="7"/>
  <c r="BO52" i="7"/>
  <c r="BO53" i="7"/>
  <c r="BO54" i="7"/>
  <c r="BO55" i="7"/>
  <c r="BO56" i="7"/>
  <c r="BO57" i="7"/>
  <c r="BO58" i="7"/>
  <c r="BO59" i="7"/>
  <c r="BO60" i="7"/>
  <c r="BO61" i="7"/>
  <c r="BO62" i="7"/>
  <c r="BO63" i="7"/>
  <c r="BO64" i="7"/>
  <c r="BO5" i="7"/>
  <c r="BN6" i="7"/>
  <c r="BP6" i="7" s="1"/>
  <c r="BN7" i="7"/>
  <c r="BP7" i="7" s="1"/>
  <c r="BN8" i="7"/>
  <c r="BP8" i="7" s="1"/>
  <c r="BN9" i="7"/>
  <c r="BP9" i="7" s="1"/>
  <c r="BN10" i="7"/>
  <c r="BN11" i="7"/>
  <c r="BP11" i="7" s="1"/>
  <c r="BN12" i="7"/>
  <c r="BP12" i="7" s="1"/>
  <c r="BN13" i="7"/>
  <c r="BP13" i="7" s="1"/>
  <c r="BN14" i="7"/>
  <c r="BP14" i="7" s="1"/>
  <c r="BN15" i="7"/>
  <c r="BP15" i="7" s="1"/>
  <c r="BN16" i="7"/>
  <c r="BP16" i="7" s="1"/>
  <c r="BN17" i="7"/>
  <c r="BP17" i="7" s="1"/>
  <c r="BN18" i="7"/>
  <c r="BP18" i="7" s="1"/>
  <c r="BN19" i="7"/>
  <c r="BP19" i="7" s="1"/>
  <c r="BN20" i="7"/>
  <c r="BP20" i="7" s="1"/>
  <c r="BN21" i="7"/>
  <c r="BN22" i="7"/>
  <c r="BP22" i="7" s="1"/>
  <c r="BN23" i="7"/>
  <c r="BP23" i="7" s="1"/>
  <c r="BN24" i="7"/>
  <c r="BP24" i="7" s="1"/>
  <c r="BN25" i="7"/>
  <c r="BP25" i="7" s="1"/>
  <c r="BN26" i="7"/>
  <c r="BP26" i="7" s="1"/>
  <c r="BN27" i="7"/>
  <c r="BN28" i="7"/>
  <c r="BP28" i="7" s="1"/>
  <c r="BN29" i="7"/>
  <c r="BP29" i="7" s="1"/>
  <c r="BN30" i="7"/>
  <c r="BP30" i="7" s="1"/>
  <c r="BN31" i="7"/>
  <c r="BN32" i="7"/>
  <c r="BP32" i="7" s="1"/>
  <c r="BN33" i="7"/>
  <c r="BP33" i="7" s="1"/>
  <c r="BN34" i="7"/>
  <c r="BP34" i="7" s="1"/>
  <c r="BN35" i="7"/>
  <c r="BP35" i="7" s="1"/>
  <c r="BN36" i="7"/>
  <c r="BP36" i="7" s="1"/>
  <c r="BN37" i="7"/>
  <c r="BP37" i="7" s="1"/>
  <c r="BN38" i="7"/>
  <c r="BP38" i="7" s="1"/>
  <c r="BN39" i="7"/>
  <c r="BP39" i="7" s="1"/>
  <c r="BN40" i="7"/>
  <c r="BP40" i="7" s="1"/>
  <c r="BN41" i="7"/>
  <c r="BP41" i="7" s="1"/>
  <c r="BN42" i="7"/>
  <c r="BP42" i="7" s="1"/>
  <c r="BN43" i="7"/>
  <c r="BP43" i="7" s="1"/>
  <c r="BN44" i="7"/>
  <c r="BP44" i="7" s="1"/>
  <c r="BN45" i="7"/>
  <c r="BP45" i="7" s="1"/>
  <c r="BN46" i="7"/>
  <c r="BP46" i="7" s="1"/>
  <c r="BN47" i="7"/>
  <c r="BP47" i="7" s="1"/>
  <c r="BN48" i="7"/>
  <c r="BP48" i="7" s="1"/>
  <c r="BN49" i="7"/>
  <c r="BP49" i="7" s="1"/>
  <c r="BN50" i="7"/>
  <c r="BP50" i="7" s="1"/>
  <c r="BN51" i="7"/>
  <c r="BN52" i="7"/>
  <c r="BP52" i="7" s="1"/>
  <c r="BN53" i="7"/>
  <c r="BP53" i="7" s="1"/>
  <c r="BN54" i="7"/>
  <c r="BP54" i="7" s="1"/>
  <c r="BN55" i="7"/>
  <c r="BN56" i="7"/>
  <c r="BN57" i="7"/>
  <c r="BP57" i="7" s="1"/>
  <c r="BN58" i="7"/>
  <c r="BP58" i="7" s="1"/>
  <c r="BN59" i="7"/>
  <c r="BP59" i="7" s="1"/>
  <c r="BN60" i="7"/>
  <c r="BP60" i="7" s="1"/>
  <c r="BN61" i="7"/>
  <c r="BP61" i="7" s="1"/>
  <c r="BN62" i="7"/>
  <c r="BP62" i="7" s="1"/>
  <c r="BN63" i="7"/>
  <c r="BP63" i="7" s="1"/>
  <c r="BN64" i="7"/>
  <c r="BP64" i="7" s="1"/>
  <c r="BN5" i="7"/>
  <c r="BP5" i="7" s="1"/>
  <c r="BP56" i="7" l="1"/>
  <c r="BP55" i="7"/>
  <c r="BP51" i="7"/>
  <c r="BP31" i="7"/>
  <c r="BP27" i="7"/>
  <c r="BP21" i="7"/>
  <c r="BP10" i="7"/>
  <c r="AK6" i="7"/>
  <c r="AY6" i="7" s="1"/>
  <c r="AK7" i="7"/>
  <c r="AY7" i="7" s="1"/>
  <c r="AK8" i="7"/>
  <c r="AY8" i="7" s="1"/>
  <c r="AK9" i="7"/>
  <c r="AV9" i="7" s="1"/>
  <c r="AK10" i="7"/>
  <c r="AY10" i="7" s="1"/>
  <c r="AK11" i="7"/>
  <c r="AY11" i="7" s="1"/>
  <c r="AK12" i="7"/>
  <c r="AY12" i="7" s="1"/>
  <c r="AK13" i="7"/>
  <c r="AY13" i="7" s="1"/>
  <c r="AK14" i="7"/>
  <c r="AY14" i="7" s="1"/>
  <c r="AK15" i="7"/>
  <c r="AY15" i="7" s="1"/>
  <c r="AK16" i="7"/>
  <c r="AY16" i="7" s="1"/>
  <c r="AK17" i="7"/>
  <c r="AV17" i="7" s="1"/>
  <c r="AK18" i="7"/>
  <c r="AY18" i="7" s="1"/>
  <c r="AK19" i="7"/>
  <c r="AY19" i="7" s="1"/>
  <c r="AK20" i="7"/>
  <c r="AY20" i="7" s="1"/>
  <c r="AK21" i="7"/>
  <c r="AY21" i="7" s="1"/>
  <c r="AK22" i="7"/>
  <c r="AY22" i="7" s="1"/>
  <c r="AK23" i="7"/>
  <c r="AY23" i="7" s="1"/>
  <c r="AK24" i="7"/>
  <c r="AY24" i="7" s="1"/>
  <c r="AK25" i="7"/>
  <c r="AT25" i="7" s="1"/>
  <c r="AK26" i="7"/>
  <c r="AY26" i="7" s="1"/>
  <c r="AK27" i="7"/>
  <c r="AY27" i="7" s="1"/>
  <c r="AK28" i="7"/>
  <c r="AY28" i="7" s="1"/>
  <c r="AK29" i="7"/>
  <c r="AT29" i="7" s="1"/>
  <c r="AK30" i="7"/>
  <c r="AY30" i="7" s="1"/>
  <c r="AK31" i="7"/>
  <c r="AY31" i="7" s="1"/>
  <c r="AK32" i="7"/>
  <c r="AY32" i="7" s="1"/>
  <c r="AK33" i="7"/>
  <c r="AY33" i="7" s="1"/>
  <c r="AK34" i="7"/>
  <c r="AY34" i="7" s="1"/>
  <c r="AK35" i="7"/>
  <c r="AY35" i="7" s="1"/>
  <c r="AK36" i="7"/>
  <c r="AY36" i="7" s="1"/>
  <c r="AK37" i="7"/>
  <c r="AY37" i="7" s="1"/>
  <c r="AK38" i="7"/>
  <c r="AY38" i="7" s="1"/>
  <c r="AK39" i="7"/>
  <c r="AY39" i="7" s="1"/>
  <c r="AK40" i="7"/>
  <c r="AY40" i="7" s="1"/>
  <c r="AK41" i="7"/>
  <c r="AT41" i="7" s="1"/>
  <c r="AK42" i="7"/>
  <c r="AY42" i="7" s="1"/>
  <c r="AK43" i="7"/>
  <c r="AY43" i="7" s="1"/>
  <c r="AK44" i="7"/>
  <c r="AY44" i="7" s="1"/>
  <c r="AK45" i="7"/>
  <c r="AY45" i="7" s="1"/>
  <c r="AK46" i="7"/>
  <c r="AY46" i="7" s="1"/>
  <c r="AK47" i="7"/>
  <c r="AY47" i="7" s="1"/>
  <c r="AK48" i="7"/>
  <c r="AY48" i="7" s="1"/>
  <c r="AK49" i="7"/>
  <c r="AV49" i="7" s="1"/>
  <c r="AK50" i="7"/>
  <c r="AY50" i="7" s="1"/>
  <c r="AK51" i="7"/>
  <c r="AY51" i="7" s="1"/>
  <c r="AK52" i="7"/>
  <c r="AY52" i="7" s="1"/>
  <c r="AK53" i="7"/>
  <c r="AV53" i="7" s="1"/>
  <c r="AK54" i="7"/>
  <c r="AY54" i="7" s="1"/>
  <c r="AK55" i="7"/>
  <c r="AY55" i="7" s="1"/>
  <c r="AK56" i="7"/>
  <c r="AY56" i="7" s="1"/>
  <c r="AK57" i="7"/>
  <c r="AY57" i="7" s="1"/>
  <c r="AK58" i="7"/>
  <c r="AY58" i="7" s="1"/>
  <c r="AK59" i="7"/>
  <c r="AY59" i="7" s="1"/>
  <c r="AK60" i="7"/>
  <c r="AY60" i="7" s="1"/>
  <c r="AK61" i="7"/>
  <c r="AV61" i="7" s="1"/>
  <c r="AK62" i="7"/>
  <c r="AY62" i="7" s="1"/>
  <c r="AK63" i="7"/>
  <c r="AY63" i="7" s="1"/>
  <c r="AK64" i="7"/>
  <c r="AY64" i="7" s="1"/>
  <c r="AK5" i="7"/>
  <c r="AT5" i="7" s="1"/>
  <c r="AT53" i="7" l="1"/>
  <c r="AT37" i="7"/>
  <c r="AT21" i="7"/>
  <c r="AT9" i="7"/>
  <c r="AV57" i="7"/>
  <c r="AV41" i="7"/>
  <c r="AV29" i="7"/>
  <c r="AV21" i="7"/>
  <c r="AY5" i="7"/>
  <c r="AY53" i="7"/>
  <c r="AY41" i="7"/>
  <c r="AY29" i="7"/>
  <c r="AY9" i="7"/>
  <c r="AT64" i="7"/>
  <c r="AT60" i="7"/>
  <c r="AT56" i="7"/>
  <c r="AT52" i="7"/>
  <c r="AT48" i="7"/>
  <c r="AT44" i="7"/>
  <c r="AT40" i="7"/>
  <c r="AT36" i="7"/>
  <c r="AT32" i="7"/>
  <c r="AT28" i="7"/>
  <c r="AT24" i="7"/>
  <c r="AT20" i="7"/>
  <c r="AT16" i="7"/>
  <c r="AT12" i="7"/>
  <c r="AT8" i="7"/>
  <c r="AV64" i="7"/>
  <c r="AV60" i="7"/>
  <c r="AV56" i="7"/>
  <c r="AV52" i="7"/>
  <c r="AV48" i="7"/>
  <c r="AV44" i="7"/>
  <c r="AV40" i="7"/>
  <c r="AV36" i="7"/>
  <c r="AV32" i="7"/>
  <c r="AO32" i="7" s="1"/>
  <c r="AV28" i="7"/>
  <c r="AV24" i="7"/>
  <c r="AV20" i="7"/>
  <c r="AV16" i="7"/>
  <c r="AV12" i="7"/>
  <c r="AV8" i="7"/>
  <c r="AT61" i="7"/>
  <c r="AT49" i="7"/>
  <c r="AT17" i="7"/>
  <c r="AV5" i="7"/>
  <c r="AV45" i="7"/>
  <c r="AV37" i="7"/>
  <c r="AV25" i="7"/>
  <c r="AV13" i="7"/>
  <c r="AY61" i="7"/>
  <c r="AM61" i="7" s="1"/>
  <c r="AY49" i="7"/>
  <c r="AM49" i="7" s="1"/>
  <c r="AY25" i="7"/>
  <c r="AY17" i="7"/>
  <c r="AT63" i="7"/>
  <c r="AT59" i="7"/>
  <c r="AT55" i="7"/>
  <c r="AT51" i="7"/>
  <c r="AT47" i="7"/>
  <c r="AT43" i="7"/>
  <c r="AT39" i="7"/>
  <c r="AT35" i="7"/>
  <c r="AT31" i="7"/>
  <c r="AT27" i="7"/>
  <c r="AT23" i="7"/>
  <c r="AT19" i="7"/>
  <c r="AT15" i="7"/>
  <c r="AT11" i="7"/>
  <c r="AT7" i="7"/>
  <c r="AV63" i="7"/>
  <c r="AV59" i="7"/>
  <c r="AV55" i="7"/>
  <c r="AV51" i="7"/>
  <c r="AV47" i="7"/>
  <c r="AV43" i="7"/>
  <c r="AV39" i="7"/>
  <c r="AV35" i="7"/>
  <c r="AV31" i="7"/>
  <c r="AV27" i="7"/>
  <c r="AV23" i="7"/>
  <c r="AV19" i="7"/>
  <c r="AV15" i="7"/>
  <c r="AV11" i="7"/>
  <c r="AV7" i="7"/>
  <c r="AT57" i="7"/>
  <c r="AT45" i="7"/>
  <c r="AT33" i="7"/>
  <c r="AT13" i="7"/>
  <c r="AV33" i="7"/>
  <c r="AT62" i="7"/>
  <c r="AT58" i="7"/>
  <c r="AT54" i="7"/>
  <c r="AT50" i="7"/>
  <c r="AT46" i="7"/>
  <c r="AT42" i="7"/>
  <c r="AT38" i="7"/>
  <c r="AT34" i="7"/>
  <c r="AT30" i="7"/>
  <c r="AT26" i="7"/>
  <c r="AT22" i="7"/>
  <c r="AT18" i="7"/>
  <c r="AT14" i="7"/>
  <c r="AT10" i="7"/>
  <c r="AT6" i="7"/>
  <c r="AV62" i="7"/>
  <c r="AV58" i="7"/>
  <c r="AV54" i="7"/>
  <c r="AV50" i="7"/>
  <c r="AV46" i="7"/>
  <c r="AV42" i="7"/>
  <c r="AV38" i="7"/>
  <c r="AV34" i="7"/>
  <c r="AV30" i="7"/>
  <c r="AV26" i="7"/>
  <c r="AV22" i="7"/>
  <c r="AV18" i="7"/>
  <c r="AV14" i="7"/>
  <c r="AV10" i="7"/>
  <c r="AV6" i="7"/>
  <c r="AO49" i="7"/>
  <c r="AM14" i="7" l="1"/>
  <c r="AO30" i="7"/>
  <c r="AO62" i="7"/>
  <c r="AM19" i="7"/>
  <c r="AM57" i="7"/>
  <c r="AM5" i="7"/>
  <c r="AM18" i="7"/>
  <c r="AM34" i="7"/>
  <c r="AM50" i="7"/>
  <c r="AO57" i="7"/>
  <c r="AM7" i="7"/>
  <c r="AO23" i="7"/>
  <c r="AM39" i="7"/>
  <c r="AM16" i="7"/>
  <c r="AM32" i="7"/>
  <c r="AQ32" i="7" s="1"/>
  <c r="AO48" i="7"/>
  <c r="AO64" i="7"/>
  <c r="AO53" i="7"/>
  <c r="AO55" i="7"/>
  <c r="AO46" i="7"/>
  <c r="AO25" i="7"/>
  <c r="AM56" i="7"/>
  <c r="AM37" i="7"/>
  <c r="AM48" i="7"/>
  <c r="AQ48" i="7" s="1"/>
  <c r="AM25" i="7"/>
  <c r="AQ25" i="7" s="1"/>
  <c r="AO16" i="7"/>
  <c r="AQ16" i="7" s="1"/>
  <c r="AM23" i="7"/>
  <c r="AQ23" i="7" s="1"/>
  <c r="AO37" i="7"/>
  <c r="AM64" i="7"/>
  <c r="AQ64" i="7" s="1"/>
  <c r="AM53" i="7"/>
  <c r="AQ53" i="7" s="1"/>
  <c r="AM55" i="7"/>
  <c r="AQ55" i="7" s="1"/>
  <c r="AO17" i="7"/>
  <c r="AO7" i="7"/>
  <c r="AO35" i="7"/>
  <c r="AM51" i="7"/>
  <c r="AM30" i="7"/>
  <c r="AQ30" i="7" s="1"/>
  <c r="AO61" i="7"/>
  <c r="AQ61" i="7" s="1"/>
  <c r="AO45" i="7"/>
  <c r="AM13" i="7"/>
  <c r="AM8" i="7"/>
  <c r="AM24" i="7"/>
  <c r="AO40" i="7"/>
  <c r="AO56" i="7"/>
  <c r="AO12" i="7"/>
  <c r="AM28" i="7"/>
  <c r="AM44" i="7"/>
  <c r="AO60" i="7"/>
  <c r="AO41" i="7"/>
  <c r="AM29" i="7"/>
  <c r="AO39" i="7"/>
  <c r="AM40" i="7"/>
  <c r="AM12" i="7"/>
  <c r="AM62" i="7"/>
  <c r="AO28" i="7"/>
  <c r="AO13" i="7"/>
  <c r="AO6" i="7"/>
  <c r="AO22" i="7"/>
  <c r="AO38" i="7"/>
  <c r="AO54" i="7"/>
  <c r="AO11" i="7"/>
  <c r="AO27" i="7"/>
  <c r="AO43" i="7"/>
  <c r="AO59" i="7"/>
  <c r="AM60" i="7"/>
  <c r="AM41" i="7"/>
  <c r="AQ57" i="7"/>
  <c r="AO8" i="7"/>
  <c r="AO18" i="7"/>
  <c r="AO34" i="7"/>
  <c r="AM45" i="7"/>
  <c r="AM35" i="7"/>
  <c r="AO14" i="7"/>
  <c r="AQ14" i="7" s="1"/>
  <c r="AM17" i="7"/>
  <c r="AO24" i="7"/>
  <c r="AO44" i="7"/>
  <c r="AO29" i="7"/>
  <c r="AO5" i="7"/>
  <c r="AQ5" i="7" s="1"/>
  <c r="AO10" i="7"/>
  <c r="AO26" i="7"/>
  <c r="AO42" i="7"/>
  <c r="AO58" i="7"/>
  <c r="AO15" i="7"/>
  <c r="AO31" i="7"/>
  <c r="AO47" i="7"/>
  <c r="AO63" i="7"/>
  <c r="AO20" i="7"/>
  <c r="AO36" i="7"/>
  <c r="AO52" i="7"/>
  <c r="AO21" i="7"/>
  <c r="AQ49" i="7"/>
  <c r="AO19" i="7"/>
  <c r="AQ19" i="7" s="1"/>
  <c r="AO51" i="7"/>
  <c r="AO50" i="7"/>
  <c r="AM46" i="7"/>
  <c r="AQ46" i="7" s="1"/>
  <c r="AO33" i="7"/>
  <c r="AO9" i="7"/>
  <c r="AM33" i="7"/>
  <c r="AM21" i="7"/>
  <c r="AM6" i="7"/>
  <c r="AM22" i="7"/>
  <c r="AM38" i="7"/>
  <c r="AM54" i="7"/>
  <c r="AM11" i="7"/>
  <c r="AM27" i="7"/>
  <c r="AM43" i="7"/>
  <c r="AM59" i="7"/>
  <c r="AM20" i="7"/>
  <c r="AM36" i="7"/>
  <c r="AM52" i="7"/>
  <c r="AM9" i="7"/>
  <c r="AM10" i="7"/>
  <c r="AM26" i="7"/>
  <c r="AM42" i="7"/>
  <c r="AM58" i="7"/>
  <c r="AM15" i="7"/>
  <c r="AM31" i="7"/>
  <c r="AM47" i="7"/>
  <c r="AM63" i="7"/>
  <c r="AQ18" i="7" l="1"/>
  <c r="AQ62" i="7"/>
  <c r="AQ7" i="7"/>
  <c r="AQ34" i="7"/>
  <c r="AQ50" i="7"/>
  <c r="AQ56" i="7"/>
  <c r="AQ39" i="7"/>
  <c r="AQ35" i="7"/>
  <c r="AQ51" i="7"/>
  <c r="AQ45" i="7"/>
  <c r="AQ37" i="7"/>
  <c r="AQ11" i="7"/>
  <c r="AQ6" i="7"/>
  <c r="AQ41" i="7"/>
  <c r="AQ60" i="7"/>
  <c r="AQ44" i="7"/>
  <c r="AQ40" i="7"/>
  <c r="AQ24" i="7"/>
  <c r="AQ8" i="7"/>
  <c r="AQ17" i="7"/>
  <c r="AQ27" i="7"/>
  <c r="AQ22" i="7"/>
  <c r="AQ13" i="7"/>
  <c r="AQ12" i="7"/>
  <c r="AQ29" i="7"/>
  <c r="AQ28" i="7"/>
  <c r="AQ59" i="7"/>
  <c r="AQ31" i="7"/>
  <c r="AQ26" i="7"/>
  <c r="AQ36" i="7"/>
  <c r="AQ54" i="7"/>
  <c r="AQ47" i="7"/>
  <c r="AQ42" i="7"/>
  <c r="AQ52" i="7"/>
  <c r="AQ43" i="7"/>
  <c r="AQ38" i="7"/>
  <c r="AQ33" i="7"/>
  <c r="AQ15" i="7"/>
  <c r="AQ10" i="7"/>
  <c r="AQ20" i="7"/>
  <c r="AQ63" i="7"/>
  <c r="AQ58" i="7"/>
  <c r="AQ9" i="7"/>
  <c r="AQ21" i="7"/>
  <c r="AI6" i="7" l="1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5" i="7"/>
  <c r="AD38" i="7"/>
  <c r="AD39" i="7"/>
  <c r="Y46" i="7"/>
  <c r="AD46" i="7" s="1"/>
  <c r="Y10" i="7"/>
  <c r="AD10" i="7" s="1"/>
  <c r="Y26" i="7"/>
  <c r="AD26" i="7" s="1"/>
  <c r="Y37" i="7"/>
  <c r="AD37" i="7" s="1"/>
  <c r="Y41" i="7"/>
  <c r="AD41" i="7" s="1"/>
  <c r="Y22" i="7"/>
  <c r="AD22" i="7" s="1"/>
  <c r="Y13" i="7"/>
  <c r="AD13" i="7" s="1"/>
  <c r="R6" i="7" l="1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5" i="7"/>
  <c r="BL38" i="7" l="1"/>
  <c r="BL39" i="7"/>
  <c r="BK38" i="7"/>
  <c r="BK39" i="7"/>
  <c r="BJ38" i="7"/>
  <c r="BJ39" i="7"/>
  <c r="DD19" i="7" l="1"/>
  <c r="BU6" i="7"/>
  <c r="BU7" i="7"/>
  <c r="BU8" i="7"/>
  <c r="BU9" i="7"/>
  <c r="BU10" i="7"/>
  <c r="BU11" i="7"/>
  <c r="BU12" i="7"/>
  <c r="BU13" i="7"/>
  <c r="BU14" i="7"/>
  <c r="BU15" i="7"/>
  <c r="BU16" i="7"/>
  <c r="BU17" i="7"/>
  <c r="BU18" i="7"/>
  <c r="BU19" i="7"/>
  <c r="BU20" i="7"/>
  <c r="BU21" i="7"/>
  <c r="BU22" i="7"/>
  <c r="BU23" i="7"/>
  <c r="BU24" i="7"/>
  <c r="BU25" i="7"/>
  <c r="BU26" i="7"/>
  <c r="BU27" i="7"/>
  <c r="BU28" i="7"/>
  <c r="BU29" i="7"/>
  <c r="BU30" i="7"/>
  <c r="BU31" i="7"/>
  <c r="BU32" i="7"/>
  <c r="BU33" i="7"/>
  <c r="BU34" i="7"/>
  <c r="BU35" i="7"/>
  <c r="BU36" i="7"/>
  <c r="BU37" i="7"/>
  <c r="BU38" i="7"/>
  <c r="BU39" i="7"/>
  <c r="BU40" i="7"/>
  <c r="BU41" i="7"/>
  <c r="BU42" i="7"/>
  <c r="BU43" i="7"/>
  <c r="BU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5" i="7"/>
  <c r="BS6" i="7" l="1"/>
  <c r="BS7" i="7"/>
  <c r="BS8" i="7"/>
  <c r="BS9" i="7"/>
  <c r="BS10" i="7"/>
  <c r="BS11" i="7"/>
  <c r="BS12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38" i="7"/>
  <c r="BS39" i="7"/>
  <c r="BS40" i="7"/>
  <c r="BS41" i="7"/>
  <c r="BS42" i="7"/>
  <c r="BS43" i="7"/>
  <c r="BS44" i="7"/>
  <c r="BS45" i="7"/>
  <c r="BS46" i="7"/>
  <c r="BS47" i="7"/>
  <c r="BS48" i="7"/>
  <c r="BS49" i="7"/>
  <c r="BS50" i="7"/>
  <c r="BS51" i="7"/>
  <c r="BS52" i="7"/>
  <c r="BS53" i="7"/>
  <c r="BS54" i="7"/>
  <c r="BS55" i="7"/>
  <c r="BS56" i="7"/>
  <c r="BS57" i="7"/>
  <c r="BS58" i="7"/>
  <c r="BS59" i="7"/>
  <c r="BS60" i="7"/>
  <c r="BS61" i="7"/>
  <c r="BS62" i="7"/>
  <c r="BS63" i="7"/>
  <c r="BS64" i="7"/>
  <c r="BS5" i="7"/>
  <c r="DD33" i="7" l="1"/>
  <c r="DD34" i="7"/>
  <c r="DD35" i="7"/>
  <c r="DD36" i="7"/>
  <c r="DD37" i="7"/>
  <c r="DD38" i="7"/>
  <c r="DD39" i="7"/>
  <c r="DD40" i="7"/>
  <c r="DD41" i="7"/>
  <c r="DD42" i="7"/>
  <c r="DD43" i="7"/>
  <c r="DD32" i="7"/>
  <c r="AJ38" i="7" l="1"/>
  <c r="AJ39" i="7"/>
  <c r="BE40" i="7" l="1"/>
  <c r="BE41" i="7" l="1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5" i="7"/>
  <c r="BF41" i="7"/>
  <c r="BF42" i="7"/>
  <c r="BF43" i="7"/>
  <c r="BF44" i="7"/>
  <c r="BF45" i="7"/>
  <c r="BF46" i="7"/>
  <c r="BF47" i="7"/>
  <c r="BF48" i="7"/>
  <c r="BF49" i="7"/>
  <c r="BF50" i="7"/>
  <c r="BF51" i="7"/>
  <c r="BF52" i="7"/>
  <c r="BF53" i="7"/>
  <c r="BF54" i="7"/>
  <c r="BF55" i="7"/>
  <c r="BF56" i="7"/>
  <c r="BF57" i="7"/>
  <c r="BF58" i="7"/>
  <c r="BF59" i="7"/>
  <c r="BF60" i="7"/>
  <c r="BF61" i="7"/>
  <c r="BF62" i="7"/>
  <c r="BF63" i="7"/>
  <c r="BF64" i="7"/>
  <c r="BF40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5" i="7"/>
  <c r="BG37" i="7" l="1"/>
  <c r="BH37" i="7"/>
  <c r="BH33" i="7"/>
  <c r="BG33" i="7"/>
  <c r="BH29" i="7"/>
  <c r="BG29" i="7"/>
  <c r="BG25" i="7"/>
  <c r="BH25" i="7"/>
  <c r="BG21" i="7"/>
  <c r="BH21" i="7"/>
  <c r="BG17" i="7"/>
  <c r="BH17" i="7"/>
  <c r="BG13" i="7"/>
  <c r="BH13" i="7"/>
  <c r="BG9" i="7"/>
  <c r="BH9" i="7"/>
  <c r="BG64" i="7"/>
  <c r="BH64" i="7"/>
  <c r="BG60" i="7"/>
  <c r="BH60" i="7"/>
  <c r="BG56" i="7"/>
  <c r="BH56" i="7"/>
  <c r="BG52" i="7"/>
  <c r="BH52" i="7"/>
  <c r="BG48" i="7"/>
  <c r="BH48" i="7"/>
  <c r="BG44" i="7"/>
  <c r="BH44" i="7"/>
  <c r="BH36" i="7"/>
  <c r="BG36" i="7"/>
  <c r="BH32" i="7"/>
  <c r="BG32" i="7"/>
  <c r="BG28" i="7"/>
  <c r="BH28" i="7"/>
  <c r="BG24" i="7"/>
  <c r="BH24" i="7"/>
  <c r="BG20" i="7"/>
  <c r="BH20" i="7"/>
  <c r="BG16" i="7"/>
  <c r="BH16" i="7"/>
  <c r="BG12" i="7"/>
  <c r="BH12" i="7"/>
  <c r="BG8" i="7"/>
  <c r="BH8" i="7"/>
  <c r="BH63" i="7"/>
  <c r="BG63" i="7"/>
  <c r="BH59" i="7"/>
  <c r="BG59" i="7"/>
  <c r="BH55" i="7"/>
  <c r="BG55" i="7"/>
  <c r="BH51" i="7"/>
  <c r="BG51" i="7"/>
  <c r="BH47" i="7"/>
  <c r="BG47" i="7"/>
  <c r="BH43" i="7"/>
  <c r="BG43" i="7"/>
  <c r="BG40" i="7"/>
  <c r="BH40" i="7"/>
  <c r="BH35" i="7"/>
  <c r="BG35" i="7"/>
  <c r="BH31" i="7"/>
  <c r="BG31" i="7"/>
  <c r="BH27" i="7"/>
  <c r="BG27" i="7"/>
  <c r="BG23" i="7"/>
  <c r="BH23" i="7"/>
  <c r="BH19" i="7"/>
  <c r="BG19" i="7"/>
  <c r="BH15" i="7"/>
  <c r="BG15" i="7"/>
  <c r="BH11" i="7"/>
  <c r="BG11" i="7"/>
  <c r="BH7" i="7"/>
  <c r="BG7" i="7"/>
  <c r="BH62" i="7"/>
  <c r="BG62" i="7"/>
  <c r="BH58" i="7"/>
  <c r="BG58" i="7"/>
  <c r="BH54" i="7"/>
  <c r="BG54" i="7"/>
  <c r="BH50" i="7"/>
  <c r="BG50" i="7"/>
  <c r="BH46" i="7"/>
  <c r="BG46" i="7"/>
  <c r="BH42" i="7"/>
  <c r="BG42" i="7"/>
  <c r="BH5" i="7"/>
  <c r="BG5" i="7"/>
  <c r="BH34" i="7"/>
  <c r="BG34" i="7"/>
  <c r="BH30" i="7"/>
  <c r="BG30" i="7"/>
  <c r="BH26" i="7"/>
  <c r="BG26" i="7"/>
  <c r="BH22" i="7"/>
  <c r="BG22" i="7"/>
  <c r="BH18" i="7"/>
  <c r="BG18" i="7"/>
  <c r="BH14" i="7"/>
  <c r="BG14" i="7"/>
  <c r="BH10" i="7"/>
  <c r="BG10" i="7"/>
  <c r="BH6" i="7"/>
  <c r="BG6" i="7"/>
  <c r="BG61" i="7"/>
  <c r="BH61" i="7"/>
  <c r="BG57" i="7"/>
  <c r="BH57" i="7"/>
  <c r="BG53" i="7"/>
  <c r="BH53" i="7"/>
  <c r="BG49" i="7"/>
  <c r="BH49" i="7"/>
  <c r="BG45" i="7"/>
  <c r="BH45" i="7"/>
  <c r="BH41" i="7"/>
  <c r="BG41" i="7"/>
  <c r="BG66" i="7" l="1"/>
  <c r="BH66" i="7"/>
  <c r="BI21" i="7"/>
  <c r="BI15" i="7"/>
  <c r="BI31" i="7"/>
  <c r="BI19" i="7"/>
  <c r="BI35" i="7"/>
  <c r="BI25" i="7"/>
  <c r="BI9" i="7"/>
  <c r="BI22" i="7"/>
  <c r="BI16" i="7"/>
  <c r="BI32" i="7"/>
  <c r="BI13" i="7"/>
  <c r="BI23" i="7"/>
  <c r="BI10" i="7"/>
  <c r="BI26" i="7"/>
  <c r="BI34" i="7"/>
  <c r="BI27" i="7"/>
  <c r="BI20" i="7"/>
  <c r="BI36" i="7"/>
  <c r="BI14" i="7"/>
  <c r="BI30" i="7"/>
  <c r="BI17" i="7"/>
  <c r="BI8" i="7"/>
  <c r="BI24" i="7"/>
  <c r="BI29" i="7"/>
  <c r="BI7" i="7"/>
  <c r="BI33" i="7"/>
  <c r="BI18" i="7"/>
  <c r="BI11" i="7"/>
  <c r="BI12" i="7"/>
  <c r="BI28" i="7"/>
  <c r="BI6" i="7"/>
  <c r="BI5" i="7"/>
  <c r="BI37" i="7"/>
  <c r="F134" i="13" l="1"/>
  <c r="F133" i="13"/>
  <c r="F132" i="13"/>
  <c r="F131" i="13"/>
  <c r="F130" i="13"/>
  <c r="F129" i="13"/>
  <c r="F128" i="13"/>
  <c r="F127" i="13"/>
  <c r="F126" i="13"/>
  <c r="F125" i="13"/>
  <c r="F124" i="13"/>
  <c r="F123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BI40" i="7" l="1"/>
  <c r="BI41" i="7"/>
  <c r="BI42" i="7"/>
  <c r="BI43" i="7"/>
  <c r="BI44" i="7"/>
  <c r="BI45" i="7"/>
  <c r="BI46" i="7"/>
  <c r="BI47" i="7"/>
  <c r="BI48" i="7"/>
  <c r="BI49" i="7"/>
  <c r="BI50" i="7"/>
  <c r="BI51" i="7"/>
  <c r="BI52" i="7"/>
  <c r="BI53" i="7"/>
  <c r="BI54" i="7"/>
  <c r="BI55" i="7"/>
  <c r="BI56" i="7"/>
  <c r="BI57" i="7"/>
  <c r="BI58" i="7"/>
  <c r="BI59" i="7"/>
  <c r="BI60" i="7"/>
  <c r="BI61" i="7"/>
  <c r="BI62" i="7"/>
  <c r="BI63" i="7"/>
  <c r="BI64" i="7"/>
  <c r="AX39" i="7" l="1"/>
  <c r="AS39" i="7"/>
  <c r="AX38" i="7"/>
  <c r="AS38" i="7"/>
  <c r="AC38" i="7" l="1"/>
  <c r="AC39" i="7"/>
  <c r="AU39" i="7" l="1"/>
  <c r="AU38" i="7"/>
  <c r="AE39" i="7"/>
  <c r="AE38" i="7"/>
  <c r="AN39" i="7" l="1"/>
  <c r="AL39" i="7"/>
  <c r="AN38" i="7"/>
  <c r="AL38" i="7"/>
  <c r="AR39" i="7" l="1"/>
  <c r="AR38" i="7"/>
  <c r="Y25" i="7" l="1"/>
  <c r="AD25" i="7" s="1"/>
  <c r="Y55" i="7"/>
  <c r="AD55" i="7" s="1"/>
  <c r="Y57" i="7"/>
  <c r="AD57" i="7" s="1"/>
  <c r="Y58" i="7"/>
  <c r="AD58" i="7" s="1"/>
  <c r="Y59" i="7"/>
  <c r="AD59" i="7" s="1"/>
  <c r="Y60" i="7"/>
  <c r="AD60" i="7" s="1"/>
  <c r="Y61" i="7"/>
  <c r="AD61" i="7" s="1"/>
  <c r="Y62" i="7"/>
  <c r="AD62" i="7" s="1"/>
  <c r="Y63" i="7"/>
  <c r="AD63" i="7" s="1"/>
  <c r="Y64" i="7"/>
  <c r="AD64" i="7" s="1"/>
  <c r="Y48" i="7"/>
  <c r="AD48" i="7" s="1"/>
  <c r="Y49" i="7"/>
  <c r="AD49" i="7" s="1"/>
  <c r="Y50" i="7"/>
  <c r="AD50" i="7" s="1"/>
  <c r="Y51" i="7"/>
  <c r="AD51" i="7" s="1"/>
  <c r="Y52" i="7"/>
  <c r="AD52" i="7" s="1"/>
  <c r="Y53" i="7"/>
  <c r="AD53" i="7" s="1"/>
  <c r="Y54" i="7"/>
  <c r="AD54" i="7" s="1"/>
  <c r="Y56" i="7"/>
  <c r="AD56" i="7" s="1"/>
  <c r="Y47" i="7"/>
  <c r="AD47" i="7" s="1"/>
  <c r="Y45" i="7"/>
  <c r="AD45" i="7" s="1"/>
  <c r="Y44" i="7"/>
  <c r="AD44" i="7" s="1"/>
  <c r="Y43" i="7"/>
  <c r="AD43" i="7" s="1"/>
  <c r="Y42" i="7"/>
  <c r="AD42" i="7" s="1"/>
  <c r="Y40" i="7"/>
  <c r="AD40" i="7" s="1"/>
  <c r="Y28" i="7"/>
  <c r="AD28" i="7" s="1"/>
  <c r="Y29" i="7"/>
  <c r="AD29" i="7" s="1"/>
  <c r="Y30" i="7"/>
  <c r="AD30" i="7" s="1"/>
  <c r="Y31" i="7"/>
  <c r="AD31" i="7" s="1"/>
  <c r="Y32" i="7"/>
  <c r="AD32" i="7" s="1"/>
  <c r="Y33" i="7"/>
  <c r="AD33" i="7" s="1"/>
  <c r="Y34" i="7"/>
  <c r="AD34" i="7" s="1"/>
  <c r="Y35" i="7"/>
  <c r="AD35" i="7" s="1"/>
  <c r="Y36" i="7"/>
  <c r="AD36" i="7" s="1"/>
  <c r="Y27" i="7"/>
  <c r="AD27" i="7" s="1"/>
  <c r="Y24" i="7"/>
  <c r="AD24" i="7" s="1"/>
  <c r="Y23" i="7"/>
  <c r="AD23" i="7" s="1"/>
  <c r="Y15" i="7"/>
  <c r="AD15" i="7" s="1"/>
  <c r="Y16" i="7"/>
  <c r="AD16" i="7" s="1"/>
  <c r="Y17" i="7"/>
  <c r="AD17" i="7" s="1"/>
  <c r="Y18" i="7"/>
  <c r="AD18" i="7" s="1"/>
  <c r="Y19" i="7"/>
  <c r="AD19" i="7" s="1"/>
  <c r="Y20" i="7"/>
  <c r="AD20" i="7" s="1"/>
  <c r="Y21" i="7"/>
  <c r="AD21" i="7" s="1"/>
  <c r="Y14" i="7"/>
  <c r="AD14" i="7" s="1"/>
  <c r="Y12" i="7"/>
  <c r="AD12" i="7" s="1"/>
  <c r="Y11" i="7"/>
  <c r="AD11" i="7" s="1"/>
  <c r="Y6" i="7"/>
  <c r="AD6" i="7" s="1"/>
  <c r="Y7" i="7"/>
  <c r="AD7" i="7" s="1"/>
  <c r="Y8" i="7"/>
  <c r="AD8" i="7" s="1"/>
  <c r="Y9" i="7"/>
  <c r="AD9" i="7" s="1"/>
  <c r="Y5" i="7"/>
  <c r="AD5" i="7" s="1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5" i="7"/>
  <c r="BL8" i="7" l="1"/>
  <c r="BK8" i="7"/>
  <c r="BJ8" i="7"/>
  <c r="BL12" i="7"/>
  <c r="BK12" i="7"/>
  <c r="BJ12" i="7"/>
  <c r="BL15" i="7"/>
  <c r="BK15" i="7"/>
  <c r="BJ15" i="7"/>
  <c r="BL36" i="7"/>
  <c r="BK36" i="7"/>
  <c r="BJ36" i="7"/>
  <c r="BL32" i="7"/>
  <c r="BK32" i="7"/>
  <c r="BJ32" i="7"/>
  <c r="BL28" i="7"/>
  <c r="BK28" i="7"/>
  <c r="BJ28" i="7"/>
  <c r="BK44" i="7"/>
  <c r="BJ44" i="7"/>
  <c r="BL44" i="7"/>
  <c r="BL54" i="7"/>
  <c r="BJ54" i="7"/>
  <c r="BK54" i="7"/>
  <c r="BL50" i="7"/>
  <c r="BJ50" i="7"/>
  <c r="BK50" i="7"/>
  <c r="BJ63" i="7"/>
  <c r="BL63" i="7"/>
  <c r="BK63" i="7"/>
  <c r="BK59" i="7"/>
  <c r="BL59" i="7"/>
  <c r="BJ59" i="7"/>
  <c r="BL13" i="7"/>
  <c r="BK13" i="7"/>
  <c r="BJ13" i="7"/>
  <c r="BL46" i="7"/>
  <c r="BJ46" i="7"/>
  <c r="BK46" i="7"/>
  <c r="BL7" i="7"/>
  <c r="BK7" i="7"/>
  <c r="BJ7" i="7"/>
  <c r="BK14" i="7"/>
  <c r="BJ14" i="7"/>
  <c r="BL14" i="7"/>
  <c r="BK18" i="7"/>
  <c r="BL18" i="7"/>
  <c r="BJ18" i="7"/>
  <c r="BL23" i="7"/>
  <c r="BK23" i="7"/>
  <c r="BJ23" i="7"/>
  <c r="BL35" i="7"/>
  <c r="BJ35" i="7"/>
  <c r="BK35" i="7"/>
  <c r="BL31" i="7"/>
  <c r="BK31" i="7"/>
  <c r="BJ31" i="7"/>
  <c r="BL40" i="7"/>
  <c r="BJ40" i="7"/>
  <c r="BK40" i="7"/>
  <c r="BK45" i="7"/>
  <c r="BL45" i="7"/>
  <c r="BJ45" i="7"/>
  <c r="BK53" i="7"/>
  <c r="BL53" i="7"/>
  <c r="BJ53" i="7"/>
  <c r="BK49" i="7"/>
  <c r="BL49" i="7"/>
  <c r="BJ49" i="7"/>
  <c r="BL62" i="7"/>
  <c r="BK62" i="7"/>
  <c r="BJ62" i="7"/>
  <c r="BL58" i="7"/>
  <c r="BK58" i="7"/>
  <c r="BJ58" i="7"/>
  <c r="BJ22" i="7"/>
  <c r="BL22" i="7"/>
  <c r="BK22" i="7"/>
  <c r="BJ55" i="7"/>
  <c r="BK55" i="7"/>
  <c r="BL55" i="7"/>
  <c r="BK19" i="7"/>
  <c r="BJ19" i="7"/>
  <c r="BL19" i="7"/>
  <c r="BK5" i="7"/>
  <c r="BJ5" i="7"/>
  <c r="BL5" i="7"/>
  <c r="BK6" i="7"/>
  <c r="BL6" i="7"/>
  <c r="BJ6" i="7"/>
  <c r="BL21" i="7"/>
  <c r="BK21" i="7"/>
  <c r="BJ21" i="7"/>
  <c r="BL17" i="7"/>
  <c r="BK17" i="7"/>
  <c r="BJ17" i="7"/>
  <c r="BL24" i="7"/>
  <c r="BK24" i="7"/>
  <c r="BJ24" i="7"/>
  <c r="BK34" i="7"/>
  <c r="BL34" i="7"/>
  <c r="BJ34" i="7"/>
  <c r="BK30" i="7"/>
  <c r="BJ30" i="7"/>
  <c r="BL30" i="7"/>
  <c r="BL42" i="7"/>
  <c r="BK42" i="7"/>
  <c r="BJ42" i="7"/>
  <c r="BL47" i="7"/>
  <c r="BK47" i="7"/>
  <c r="BJ47" i="7"/>
  <c r="BK52" i="7"/>
  <c r="BJ52" i="7"/>
  <c r="BL52" i="7"/>
  <c r="BK48" i="7"/>
  <c r="BL48" i="7"/>
  <c r="BJ48" i="7"/>
  <c r="BK61" i="7"/>
  <c r="BL61" i="7"/>
  <c r="BJ61" i="7"/>
  <c r="BK57" i="7"/>
  <c r="BL57" i="7"/>
  <c r="BJ57" i="7"/>
  <c r="BL41" i="7"/>
  <c r="BK41" i="7"/>
  <c r="BJ41" i="7"/>
  <c r="BL25" i="7"/>
  <c r="BK25" i="7"/>
  <c r="BJ25" i="7"/>
  <c r="BL9" i="7"/>
  <c r="BK9" i="7"/>
  <c r="BJ9" i="7"/>
  <c r="BL11" i="7"/>
  <c r="BK11" i="7"/>
  <c r="BJ11" i="7"/>
  <c r="BL20" i="7"/>
  <c r="BK20" i="7"/>
  <c r="BJ20" i="7"/>
  <c r="BL16" i="7"/>
  <c r="BK16" i="7"/>
  <c r="BJ16" i="7"/>
  <c r="BL27" i="7"/>
  <c r="BJ27" i="7"/>
  <c r="BK27" i="7"/>
  <c r="BL33" i="7"/>
  <c r="BK33" i="7"/>
  <c r="BJ33" i="7"/>
  <c r="BL29" i="7"/>
  <c r="BK29" i="7"/>
  <c r="BJ29" i="7"/>
  <c r="BK43" i="7"/>
  <c r="BJ43" i="7"/>
  <c r="BL43" i="7"/>
  <c r="BK56" i="7"/>
  <c r="BL56" i="7"/>
  <c r="BJ56" i="7"/>
  <c r="BK51" i="7"/>
  <c r="BJ51" i="7"/>
  <c r="BL51" i="7"/>
  <c r="BK64" i="7"/>
  <c r="BL64" i="7"/>
  <c r="BJ64" i="7"/>
  <c r="BK60" i="7"/>
  <c r="BL60" i="7"/>
  <c r="BJ60" i="7"/>
  <c r="BK10" i="7"/>
  <c r="BJ10" i="7"/>
  <c r="BL10" i="7"/>
  <c r="BL37" i="7"/>
  <c r="BK37" i="7"/>
  <c r="BJ37" i="7"/>
  <c r="BK26" i="7"/>
  <c r="BJ26" i="7"/>
  <c r="BL26" i="7"/>
  <c r="AJ5" i="7"/>
  <c r="AJ8" i="7"/>
  <c r="AJ6" i="7"/>
  <c r="AJ12" i="7"/>
  <c r="AJ21" i="7"/>
  <c r="AJ19" i="7"/>
  <c r="AJ17" i="7"/>
  <c r="AJ15" i="7"/>
  <c r="AJ24" i="7"/>
  <c r="AJ36" i="7"/>
  <c r="AJ34" i="7"/>
  <c r="AJ32" i="7"/>
  <c r="AJ30" i="7"/>
  <c r="AJ28" i="7"/>
  <c r="AJ42" i="7"/>
  <c r="AJ44" i="7"/>
  <c r="AJ47" i="7"/>
  <c r="AJ54" i="7"/>
  <c r="AJ52" i="7"/>
  <c r="AJ50" i="7"/>
  <c r="AJ48" i="7"/>
  <c r="AJ63" i="7"/>
  <c r="AJ61" i="7"/>
  <c r="AJ59" i="7"/>
  <c r="AJ57" i="7"/>
  <c r="AJ13" i="7"/>
  <c r="AJ41" i="7"/>
  <c r="AJ46" i="7"/>
  <c r="AJ25" i="7"/>
  <c r="AJ9" i="7"/>
  <c r="AJ7" i="7"/>
  <c r="AJ11" i="7"/>
  <c r="AJ14" i="7"/>
  <c r="AJ20" i="7"/>
  <c r="AJ18" i="7"/>
  <c r="AJ16" i="7"/>
  <c r="AJ23" i="7"/>
  <c r="AJ27" i="7"/>
  <c r="AJ35" i="7"/>
  <c r="AJ33" i="7"/>
  <c r="AJ31" i="7"/>
  <c r="AJ29" i="7"/>
  <c r="AJ40" i="7"/>
  <c r="AJ43" i="7"/>
  <c r="AJ45" i="7"/>
  <c r="AJ56" i="7"/>
  <c r="AJ53" i="7"/>
  <c r="AJ51" i="7"/>
  <c r="AJ49" i="7"/>
  <c r="AJ64" i="7"/>
  <c r="AJ62" i="7"/>
  <c r="AJ60" i="7"/>
  <c r="AJ58" i="7"/>
  <c r="AJ10" i="7"/>
  <c r="AJ22" i="7"/>
  <c r="AJ37" i="7"/>
  <c r="AJ55" i="7"/>
  <c r="AJ26" i="7"/>
  <c r="W67" i="7"/>
  <c r="V66" i="7"/>
  <c r="AC8" i="7"/>
  <c r="AC12" i="7"/>
  <c r="AC19" i="7"/>
  <c r="AC15" i="7"/>
  <c r="AC36" i="7"/>
  <c r="AC32" i="7"/>
  <c r="AC28" i="7"/>
  <c r="AC44" i="7"/>
  <c r="AC54" i="7"/>
  <c r="AC50" i="7"/>
  <c r="AC63" i="7"/>
  <c r="AC59" i="7"/>
  <c r="AC13" i="7"/>
  <c r="AC46" i="7"/>
  <c r="AC7" i="7"/>
  <c r="AC14" i="7"/>
  <c r="AC18" i="7"/>
  <c r="AC23" i="7"/>
  <c r="AC35" i="7"/>
  <c r="AC31" i="7"/>
  <c r="AC40" i="7"/>
  <c r="AC45" i="7"/>
  <c r="AC53" i="7"/>
  <c r="AC49" i="7"/>
  <c r="AC62" i="7"/>
  <c r="AC58" i="7"/>
  <c r="AC22" i="7"/>
  <c r="AC55" i="7"/>
  <c r="X66" i="7"/>
  <c r="AC5" i="7"/>
  <c r="AC6" i="7"/>
  <c r="AC21" i="7"/>
  <c r="AC17" i="7"/>
  <c r="AC24" i="7"/>
  <c r="AC34" i="7"/>
  <c r="AC30" i="7"/>
  <c r="AC42" i="7"/>
  <c r="AC47" i="7"/>
  <c r="AC52" i="7"/>
  <c r="AC48" i="7"/>
  <c r="AC61" i="7"/>
  <c r="AC57" i="7"/>
  <c r="AC41" i="7"/>
  <c r="AC25" i="7"/>
  <c r="AC9" i="7"/>
  <c r="AC11" i="7"/>
  <c r="AC20" i="7"/>
  <c r="AC16" i="7"/>
  <c r="AC27" i="7"/>
  <c r="AC33" i="7"/>
  <c r="AC29" i="7"/>
  <c r="AC43" i="7"/>
  <c r="AC56" i="7"/>
  <c r="AC51" i="7"/>
  <c r="AC64" i="7"/>
  <c r="AC60" i="7"/>
  <c r="AC10" i="7"/>
  <c r="AC37" i="7"/>
  <c r="AC26" i="7"/>
  <c r="W66" i="7"/>
  <c r="V67" i="7"/>
  <c r="X67" i="7"/>
  <c r="BM24" i="7" l="1"/>
  <c r="BM35" i="7"/>
  <c r="BM22" i="7"/>
  <c r="BM25" i="7"/>
  <c r="BM30" i="7"/>
  <c r="BM37" i="7"/>
  <c r="BM11" i="7"/>
  <c r="BM60" i="7"/>
  <c r="BM16" i="7"/>
  <c r="BM48" i="7"/>
  <c r="BM53" i="7"/>
  <c r="BM12" i="7"/>
  <c r="BM57" i="7"/>
  <c r="AZ10" i="7"/>
  <c r="BA10" i="7" s="1"/>
  <c r="AZ27" i="7"/>
  <c r="BA27" i="7" s="1"/>
  <c r="AZ13" i="7"/>
  <c r="BA13" i="7" s="1"/>
  <c r="AZ28" i="7"/>
  <c r="BA28" i="7" s="1"/>
  <c r="AZ22" i="7"/>
  <c r="BA22" i="7" s="1"/>
  <c r="AZ62" i="7"/>
  <c r="BA62" i="7" s="1"/>
  <c r="AZ53" i="7"/>
  <c r="BA53" i="7" s="1"/>
  <c r="AZ40" i="7"/>
  <c r="BA40" i="7" s="1"/>
  <c r="AZ35" i="7"/>
  <c r="BA35" i="7" s="1"/>
  <c r="AZ18" i="7"/>
  <c r="BA18" i="7" s="1"/>
  <c r="AZ7" i="7"/>
  <c r="BA7" i="7" s="1"/>
  <c r="AZ41" i="7"/>
  <c r="BA41" i="7" s="1"/>
  <c r="AZ61" i="7"/>
  <c r="BA61" i="7" s="1"/>
  <c r="AZ52" i="7"/>
  <c r="BA52" i="7" s="1"/>
  <c r="AZ42" i="7"/>
  <c r="BA42" i="7" s="1"/>
  <c r="AZ34" i="7"/>
  <c r="BA34" i="7" s="1"/>
  <c r="AZ17" i="7"/>
  <c r="BA17" i="7" s="1"/>
  <c r="AZ6" i="7"/>
  <c r="BA6" i="7" s="1"/>
  <c r="AZ64" i="7"/>
  <c r="BA64" i="7" s="1"/>
  <c r="AZ29" i="7"/>
  <c r="BA29" i="7" s="1"/>
  <c r="AZ9" i="7"/>
  <c r="BA9" i="7" s="1"/>
  <c r="AZ63" i="7"/>
  <c r="BA63" i="7" s="1"/>
  <c r="AZ36" i="7"/>
  <c r="BA36" i="7" s="1"/>
  <c r="AZ37" i="7"/>
  <c r="BA37" i="7" s="1"/>
  <c r="AZ60" i="7"/>
  <c r="BA60" i="7" s="1"/>
  <c r="AZ51" i="7"/>
  <c r="BA51" i="7" s="1"/>
  <c r="AZ43" i="7"/>
  <c r="BA43" i="7" s="1"/>
  <c r="AZ33" i="7"/>
  <c r="BA33" i="7" s="1"/>
  <c r="AZ16" i="7"/>
  <c r="BA16" i="7" s="1"/>
  <c r="AZ11" i="7"/>
  <c r="BA11" i="7" s="1"/>
  <c r="AZ46" i="7"/>
  <c r="BA46" i="7" s="1"/>
  <c r="AZ59" i="7"/>
  <c r="BA59" i="7" s="1"/>
  <c r="AZ50" i="7"/>
  <c r="BA50" i="7" s="1"/>
  <c r="AZ44" i="7"/>
  <c r="BA44" i="7" s="1"/>
  <c r="AZ32" i="7"/>
  <c r="BA32" i="7" s="1"/>
  <c r="AZ15" i="7"/>
  <c r="BA15" i="7" s="1"/>
  <c r="AZ12" i="7"/>
  <c r="BA12" i="7" s="1"/>
  <c r="AZ26" i="7"/>
  <c r="BA26" i="7" s="1"/>
  <c r="AZ56" i="7"/>
  <c r="BA56" i="7" s="1"/>
  <c r="AZ20" i="7"/>
  <c r="BA20" i="7" s="1"/>
  <c r="AZ54" i="7"/>
  <c r="BA54" i="7" s="1"/>
  <c r="AZ19" i="7"/>
  <c r="BA19" i="7" s="1"/>
  <c r="AZ8" i="7"/>
  <c r="BA8" i="7" s="1"/>
  <c r="AZ55" i="7"/>
  <c r="BA55" i="7" s="1"/>
  <c r="AZ58" i="7"/>
  <c r="BA58" i="7" s="1"/>
  <c r="AZ49" i="7"/>
  <c r="BA49" i="7" s="1"/>
  <c r="AZ45" i="7"/>
  <c r="BA45" i="7" s="1"/>
  <c r="AZ31" i="7"/>
  <c r="BA31" i="7" s="1"/>
  <c r="AZ23" i="7"/>
  <c r="BA23" i="7" s="1"/>
  <c r="AZ14" i="7"/>
  <c r="BA14" i="7" s="1"/>
  <c r="AZ25" i="7"/>
  <c r="BA25" i="7" s="1"/>
  <c r="AZ57" i="7"/>
  <c r="BA57" i="7" s="1"/>
  <c r="AZ48" i="7"/>
  <c r="BA48" i="7" s="1"/>
  <c r="AZ47" i="7"/>
  <c r="BA47" i="7" s="1"/>
  <c r="AZ30" i="7"/>
  <c r="BA30" i="7" s="1"/>
  <c r="AZ24" i="7"/>
  <c r="BA24" i="7" s="1"/>
  <c r="AZ21" i="7"/>
  <c r="BA21" i="7" s="1"/>
  <c r="AZ5" i="7"/>
  <c r="BA5" i="7" s="1"/>
  <c r="AS26" i="7"/>
  <c r="AX26" i="7"/>
  <c r="AU26" i="7"/>
  <c r="AW26" i="7" s="1"/>
  <c r="AS10" i="7"/>
  <c r="AX10" i="7"/>
  <c r="AU10" i="7"/>
  <c r="AW10" i="7" s="1"/>
  <c r="AU64" i="7"/>
  <c r="AW64" i="7" s="1"/>
  <c r="AX64" i="7"/>
  <c r="AS64" i="7"/>
  <c r="AU56" i="7"/>
  <c r="AW56" i="7" s="1"/>
  <c r="AX56" i="7"/>
  <c r="AS56" i="7"/>
  <c r="AS29" i="7"/>
  <c r="AX29" i="7"/>
  <c r="AU29" i="7"/>
  <c r="AW29" i="7" s="1"/>
  <c r="AS27" i="7"/>
  <c r="AX27" i="7"/>
  <c r="AU27" i="7"/>
  <c r="AW27" i="7" s="1"/>
  <c r="AX20" i="7"/>
  <c r="AU20" i="7"/>
  <c r="AW20" i="7" s="1"/>
  <c r="AS20" i="7"/>
  <c r="AS9" i="7"/>
  <c r="AX9" i="7"/>
  <c r="AU9" i="7"/>
  <c r="AW9" i="7" s="1"/>
  <c r="AS13" i="7"/>
  <c r="AX13" i="7"/>
  <c r="AU13" i="7"/>
  <c r="AW13" i="7" s="1"/>
  <c r="AU63" i="7"/>
  <c r="AW63" i="7" s="1"/>
  <c r="AX63" i="7"/>
  <c r="AS63" i="7"/>
  <c r="AX54" i="7"/>
  <c r="AS54" i="7"/>
  <c r="AU54" i="7"/>
  <c r="AW54" i="7" s="1"/>
  <c r="AX28" i="7"/>
  <c r="AU28" i="7"/>
  <c r="AW28" i="7" s="1"/>
  <c r="AS28" i="7"/>
  <c r="AX36" i="7"/>
  <c r="AU36" i="7"/>
  <c r="AS36" i="7"/>
  <c r="AS19" i="7"/>
  <c r="AX19" i="7"/>
  <c r="AU19" i="7"/>
  <c r="AW19" i="7" s="1"/>
  <c r="AX8" i="7"/>
  <c r="AU8" i="7"/>
  <c r="AW8" i="7" s="1"/>
  <c r="AS8" i="7"/>
  <c r="AS22" i="7"/>
  <c r="AX22" i="7"/>
  <c r="AU22" i="7"/>
  <c r="AW22" i="7" s="1"/>
  <c r="AX62" i="7"/>
  <c r="AS62" i="7"/>
  <c r="AU62" i="7"/>
  <c r="AW62" i="7" s="1"/>
  <c r="AS53" i="7"/>
  <c r="AU53" i="7"/>
  <c r="AW53" i="7" s="1"/>
  <c r="AX53" i="7"/>
  <c r="AX40" i="7"/>
  <c r="AS40" i="7"/>
  <c r="AU40" i="7"/>
  <c r="AW40" i="7" s="1"/>
  <c r="AU35" i="7"/>
  <c r="AW35" i="7" s="1"/>
  <c r="AS35" i="7"/>
  <c r="AX35" i="7"/>
  <c r="AS18" i="7"/>
  <c r="AX18" i="7"/>
  <c r="AU18" i="7"/>
  <c r="AW18" i="7" s="1"/>
  <c r="AU7" i="7"/>
  <c r="AW7" i="7" s="1"/>
  <c r="AS7" i="7"/>
  <c r="AX7" i="7"/>
  <c r="AS41" i="7"/>
  <c r="AU41" i="7"/>
  <c r="AW41" i="7" s="1"/>
  <c r="AX41" i="7"/>
  <c r="AS61" i="7"/>
  <c r="AU61" i="7"/>
  <c r="AW61" i="7" s="1"/>
  <c r="AX61" i="7"/>
  <c r="AU52" i="7"/>
  <c r="AW52" i="7" s="1"/>
  <c r="AX52" i="7"/>
  <c r="AS52" i="7"/>
  <c r="AX42" i="7"/>
  <c r="AS42" i="7"/>
  <c r="AU42" i="7"/>
  <c r="AW42" i="7" s="1"/>
  <c r="AS34" i="7"/>
  <c r="AX34" i="7"/>
  <c r="AU34" i="7"/>
  <c r="AW34" i="7" s="1"/>
  <c r="AS17" i="7"/>
  <c r="AX17" i="7"/>
  <c r="AU17" i="7"/>
  <c r="AW17" i="7" s="1"/>
  <c r="AS6" i="7"/>
  <c r="AX6" i="7"/>
  <c r="AU6" i="7"/>
  <c r="AW6" i="7" s="1"/>
  <c r="AX37" i="7"/>
  <c r="AU37" i="7"/>
  <c r="AW37" i="7" s="1"/>
  <c r="AS37" i="7"/>
  <c r="AU60" i="7"/>
  <c r="AW60" i="7" s="1"/>
  <c r="AX60" i="7"/>
  <c r="AS60" i="7"/>
  <c r="AU51" i="7"/>
  <c r="AW51" i="7" s="1"/>
  <c r="AX51" i="7"/>
  <c r="AS51" i="7"/>
  <c r="AU43" i="7"/>
  <c r="AW43" i="7" s="1"/>
  <c r="AX43" i="7"/>
  <c r="AS43" i="7"/>
  <c r="AS33" i="7"/>
  <c r="AX33" i="7"/>
  <c r="AU33" i="7"/>
  <c r="AW33" i="7" s="1"/>
  <c r="AX16" i="7"/>
  <c r="AU16" i="7"/>
  <c r="AW16" i="7" s="1"/>
  <c r="AS16" i="7"/>
  <c r="AS11" i="7"/>
  <c r="AX11" i="7"/>
  <c r="AU11" i="7"/>
  <c r="AW11" i="7" s="1"/>
  <c r="AX46" i="7"/>
  <c r="AS46" i="7"/>
  <c r="AU46" i="7"/>
  <c r="AW46" i="7" s="1"/>
  <c r="AU59" i="7"/>
  <c r="AW59" i="7" s="1"/>
  <c r="AX59" i="7"/>
  <c r="AS59" i="7"/>
  <c r="AX50" i="7"/>
  <c r="AS50" i="7"/>
  <c r="AU50" i="7"/>
  <c r="AW50" i="7" s="1"/>
  <c r="AU44" i="7"/>
  <c r="AW44" i="7" s="1"/>
  <c r="AX44" i="7"/>
  <c r="AS44" i="7"/>
  <c r="AX32" i="7"/>
  <c r="AU32" i="7"/>
  <c r="AW32" i="7" s="1"/>
  <c r="AS32" i="7"/>
  <c r="AS15" i="7"/>
  <c r="AX15" i="7"/>
  <c r="AU15" i="7"/>
  <c r="AW15" i="7" s="1"/>
  <c r="AX12" i="7"/>
  <c r="AU12" i="7"/>
  <c r="AW12" i="7" s="1"/>
  <c r="AS12" i="7"/>
  <c r="AU55" i="7"/>
  <c r="AW55" i="7" s="1"/>
  <c r="AX55" i="7"/>
  <c r="AS55" i="7"/>
  <c r="AX58" i="7"/>
  <c r="AS58" i="7"/>
  <c r="AU58" i="7"/>
  <c r="AW58" i="7" s="1"/>
  <c r="AS49" i="7"/>
  <c r="AU49" i="7"/>
  <c r="AW49" i="7" s="1"/>
  <c r="AX49" i="7"/>
  <c r="AS45" i="7"/>
  <c r="AU45" i="7"/>
  <c r="AW45" i="7" s="1"/>
  <c r="AX45" i="7"/>
  <c r="AU31" i="7"/>
  <c r="AW31" i="7" s="1"/>
  <c r="AS31" i="7"/>
  <c r="AX31" i="7"/>
  <c r="AS23" i="7"/>
  <c r="AX23" i="7"/>
  <c r="AU23" i="7"/>
  <c r="AW23" i="7" s="1"/>
  <c r="AS14" i="7"/>
  <c r="AX14" i="7"/>
  <c r="AU14" i="7"/>
  <c r="AW14" i="7" s="1"/>
  <c r="AS25" i="7"/>
  <c r="AX25" i="7"/>
  <c r="AU25" i="7"/>
  <c r="AW25" i="7" s="1"/>
  <c r="AS57" i="7"/>
  <c r="AU57" i="7"/>
  <c r="AW57" i="7" s="1"/>
  <c r="AX57" i="7"/>
  <c r="AU48" i="7"/>
  <c r="AW48" i="7" s="1"/>
  <c r="AX48" i="7"/>
  <c r="AS48" i="7"/>
  <c r="AU47" i="7"/>
  <c r="AW47" i="7" s="1"/>
  <c r="AX47" i="7"/>
  <c r="AS47" i="7"/>
  <c r="AS30" i="7"/>
  <c r="AX30" i="7"/>
  <c r="AU30" i="7"/>
  <c r="AW30" i="7" s="1"/>
  <c r="AX24" i="7"/>
  <c r="AU24" i="7"/>
  <c r="AW24" i="7" s="1"/>
  <c r="AS24" i="7"/>
  <c r="AS21" i="7"/>
  <c r="AX21" i="7"/>
  <c r="AU21" i="7"/>
  <c r="AW21" i="7" s="1"/>
  <c r="AX5" i="7"/>
  <c r="AS5" i="7"/>
  <c r="AU5" i="7"/>
  <c r="AW5" i="7" s="1"/>
  <c r="BM18" i="7"/>
  <c r="BD45" i="7"/>
  <c r="BD31" i="7"/>
  <c r="BD23" i="7"/>
  <c r="BD14" i="7"/>
  <c r="BD25" i="7"/>
  <c r="BD57" i="7"/>
  <c r="BD48" i="7"/>
  <c r="BD47" i="7"/>
  <c r="BD30" i="7"/>
  <c r="BD24" i="7"/>
  <c r="BD21" i="7"/>
  <c r="BM20" i="7"/>
  <c r="BM9" i="7"/>
  <c r="BM46" i="7"/>
  <c r="BM59" i="7"/>
  <c r="BM7" i="7"/>
  <c r="BM8" i="7"/>
  <c r="BD37" i="7"/>
  <c r="BD60" i="7"/>
  <c r="BD51" i="7"/>
  <c r="BD43" i="7"/>
  <c r="BD33" i="7"/>
  <c r="BD16" i="7"/>
  <c r="BD11" i="7"/>
  <c r="BD46" i="7"/>
  <c r="BD59" i="7"/>
  <c r="BD50" i="7"/>
  <c r="BD44" i="7"/>
  <c r="BD32" i="7"/>
  <c r="BD15" i="7"/>
  <c r="BD40" i="7"/>
  <c r="BD12" i="7"/>
  <c r="BM54" i="7"/>
  <c r="BM42" i="7"/>
  <c r="BM55" i="7"/>
  <c r="BM58" i="7"/>
  <c r="BD55" i="7"/>
  <c r="BD58" i="7"/>
  <c r="BD49" i="7"/>
  <c r="BM26" i="7"/>
  <c r="BM10" i="7"/>
  <c r="BM64" i="7"/>
  <c r="BM56" i="7"/>
  <c r="BM29" i="7"/>
  <c r="BM27" i="7"/>
  <c r="BM19" i="7"/>
  <c r="BM41" i="7"/>
  <c r="BM61" i="7"/>
  <c r="BM52" i="7"/>
  <c r="BM34" i="7"/>
  <c r="BM17" i="7"/>
  <c r="BM6" i="7"/>
  <c r="BM32" i="7"/>
  <c r="BM49" i="7"/>
  <c r="BM45" i="7"/>
  <c r="BM31" i="7"/>
  <c r="BM23" i="7"/>
  <c r="BM14" i="7"/>
  <c r="BM44" i="7"/>
  <c r="BM15" i="7"/>
  <c r="BD26" i="7"/>
  <c r="BD10" i="7"/>
  <c r="BD64" i="7"/>
  <c r="BD56" i="7"/>
  <c r="BD29" i="7"/>
  <c r="BD27" i="7"/>
  <c r="BD20" i="7"/>
  <c r="BD9" i="7"/>
  <c r="BD13" i="7"/>
  <c r="BD63" i="7"/>
  <c r="BD54" i="7"/>
  <c r="BD28" i="7"/>
  <c r="BD36" i="7"/>
  <c r="BD19" i="7"/>
  <c r="BD8" i="7"/>
  <c r="BD5" i="7"/>
  <c r="BM51" i="7"/>
  <c r="BM43" i="7"/>
  <c r="BM33" i="7"/>
  <c r="BM13" i="7"/>
  <c r="BM36" i="7"/>
  <c r="BY35" i="7" s="1"/>
  <c r="BY36" i="7" s="1"/>
  <c r="BY37" i="7" s="1"/>
  <c r="BY38" i="7" s="1"/>
  <c r="BY39" i="7" s="1"/>
  <c r="BM47" i="7"/>
  <c r="BM21" i="7"/>
  <c r="BM5" i="7"/>
  <c r="BM50" i="7"/>
  <c r="BM62" i="7"/>
  <c r="BM40" i="7"/>
  <c r="BM63" i="7"/>
  <c r="BM28" i="7"/>
  <c r="BD22" i="7"/>
  <c r="BD62" i="7"/>
  <c r="BD53" i="7"/>
  <c r="BD35" i="7"/>
  <c r="BD18" i="7"/>
  <c r="BD7" i="7"/>
  <c r="BD41" i="7"/>
  <c r="BD61" i="7"/>
  <c r="BD52" i="7"/>
  <c r="BD42" i="7"/>
  <c r="BD34" i="7"/>
  <c r="BD17" i="7"/>
  <c r="BD6" i="7"/>
  <c r="AE37" i="7"/>
  <c r="AE51" i="7"/>
  <c r="AE33" i="7"/>
  <c r="AE11" i="7"/>
  <c r="AE57" i="7"/>
  <c r="AE47" i="7"/>
  <c r="AE5" i="7"/>
  <c r="V69" i="7"/>
  <c r="AE55" i="7"/>
  <c r="AE49" i="7"/>
  <c r="AE31" i="7"/>
  <c r="AE14" i="7"/>
  <c r="X68" i="7"/>
  <c r="AE59" i="7"/>
  <c r="AE40" i="7"/>
  <c r="AW36" i="7"/>
  <c r="AE44" i="7"/>
  <c r="AJ66" i="7"/>
  <c r="AE48" i="7"/>
  <c r="AE26" i="7"/>
  <c r="AE56" i="7"/>
  <c r="AE29" i="7"/>
  <c r="AE20" i="7"/>
  <c r="AE41" i="7"/>
  <c r="AE52" i="7"/>
  <c r="AE34" i="7"/>
  <c r="AE6" i="7"/>
  <c r="AE62" i="7"/>
  <c r="AE18" i="7"/>
  <c r="AE13" i="7"/>
  <c r="AE54" i="7"/>
  <c r="AE8" i="7"/>
  <c r="AE15" i="7"/>
  <c r="AE60" i="7"/>
  <c r="AE64" i="7"/>
  <c r="AE43" i="7"/>
  <c r="AE16" i="7"/>
  <c r="AE25" i="7"/>
  <c r="AE30" i="7"/>
  <c r="AE24" i="7"/>
  <c r="AE21" i="7"/>
  <c r="AE58" i="7"/>
  <c r="AE45" i="7"/>
  <c r="AE23" i="7"/>
  <c r="AE46" i="7"/>
  <c r="AE50" i="7"/>
  <c r="AE32" i="7"/>
  <c r="AE10" i="7"/>
  <c r="AE27" i="7"/>
  <c r="AE9" i="7"/>
  <c r="AE61" i="7"/>
  <c r="AE42" i="7"/>
  <c r="AE17" i="7"/>
  <c r="AE22" i="7"/>
  <c r="AE53" i="7"/>
  <c r="AE35" i="7"/>
  <c r="AE7" i="7"/>
  <c r="AE63" i="7"/>
  <c r="AE28" i="7"/>
  <c r="AE36" i="7"/>
  <c r="AE19" i="7"/>
  <c r="AE12" i="7"/>
  <c r="X69" i="7"/>
  <c r="V68" i="7"/>
  <c r="W68" i="7"/>
  <c r="W69" i="7"/>
  <c r="AN31" i="7" l="1"/>
  <c r="AL31" i="7"/>
  <c r="AR31" i="7" s="1"/>
  <c r="AN49" i="7"/>
  <c r="AL49" i="7"/>
  <c r="AR49" i="7" s="1"/>
  <c r="AN7" i="7"/>
  <c r="AL7" i="7"/>
  <c r="AR7" i="7" s="1"/>
  <c r="AN35" i="7"/>
  <c r="AL35" i="7"/>
  <c r="AR35" i="7" s="1"/>
  <c r="AL21" i="7"/>
  <c r="AR21" i="7" s="1"/>
  <c r="AN21" i="7"/>
  <c r="AN47" i="7"/>
  <c r="AL47" i="7"/>
  <c r="AR47" i="7" s="1"/>
  <c r="AN48" i="7"/>
  <c r="AL48" i="7"/>
  <c r="AR48" i="7" s="1"/>
  <c r="AL25" i="7"/>
  <c r="AR25" i="7" s="1"/>
  <c r="AN25" i="7"/>
  <c r="AN14" i="7"/>
  <c r="AL14" i="7"/>
  <c r="AR14" i="7" s="1"/>
  <c r="AN23" i="7"/>
  <c r="AL23" i="7"/>
  <c r="AR23" i="7" s="1"/>
  <c r="AN55" i="7"/>
  <c r="AL55" i="7"/>
  <c r="AR55" i="7" s="1"/>
  <c r="AN15" i="7"/>
  <c r="AL15" i="7"/>
  <c r="AR15" i="7" s="1"/>
  <c r="AN44" i="7"/>
  <c r="AL44" i="7"/>
  <c r="AR44" i="7" s="1"/>
  <c r="AN59" i="7"/>
  <c r="AL59" i="7"/>
  <c r="AR59" i="7" s="1"/>
  <c r="AN11" i="7"/>
  <c r="AL11" i="7"/>
  <c r="AR11" i="7" s="1"/>
  <c r="AL33" i="7"/>
  <c r="AR33" i="7" s="1"/>
  <c r="AN33" i="7"/>
  <c r="AN43" i="7"/>
  <c r="AL43" i="7"/>
  <c r="AR43" i="7" s="1"/>
  <c r="AN51" i="7"/>
  <c r="AL51" i="7"/>
  <c r="AR51" i="7" s="1"/>
  <c r="AN60" i="7"/>
  <c r="AL60" i="7"/>
  <c r="AR60" i="7" s="1"/>
  <c r="AL6" i="7"/>
  <c r="AR6" i="7" s="1"/>
  <c r="AN6" i="7"/>
  <c r="AL17" i="7"/>
  <c r="AR17" i="7" s="1"/>
  <c r="AN17" i="7"/>
  <c r="AN34" i="7"/>
  <c r="AL34" i="7"/>
  <c r="AR34" i="7" s="1"/>
  <c r="AN52" i="7"/>
  <c r="AL52" i="7"/>
  <c r="AR52" i="7" s="1"/>
  <c r="AN18" i="7"/>
  <c r="AL18" i="7"/>
  <c r="AR18" i="7" s="1"/>
  <c r="AL22" i="7"/>
  <c r="AR22" i="7" s="1"/>
  <c r="AN22" i="7"/>
  <c r="AN19" i="7"/>
  <c r="AL19" i="7"/>
  <c r="AR19" i="7" s="1"/>
  <c r="AN63" i="7"/>
  <c r="AL63" i="7"/>
  <c r="AR63" i="7" s="1"/>
  <c r="AL13" i="7"/>
  <c r="AR13" i="7" s="1"/>
  <c r="AN13" i="7"/>
  <c r="AL9" i="7"/>
  <c r="AR9" i="7" s="1"/>
  <c r="AN9" i="7"/>
  <c r="AN27" i="7"/>
  <c r="AL27" i="7"/>
  <c r="AR27" i="7" s="1"/>
  <c r="AL29" i="7"/>
  <c r="AR29" i="7" s="1"/>
  <c r="AN29" i="7"/>
  <c r="AN56" i="7"/>
  <c r="AL56" i="7"/>
  <c r="AR56" i="7" s="1"/>
  <c r="AN64" i="7"/>
  <c r="AL64" i="7"/>
  <c r="AR64" i="7" s="1"/>
  <c r="AL10" i="7"/>
  <c r="AR10" i="7" s="1"/>
  <c r="AN10" i="7"/>
  <c r="AL26" i="7"/>
  <c r="AR26" i="7" s="1"/>
  <c r="AN26" i="7"/>
  <c r="AL45" i="7"/>
  <c r="AR45" i="7" s="1"/>
  <c r="AN45" i="7"/>
  <c r="AL41" i="7"/>
  <c r="AR41" i="7" s="1"/>
  <c r="AN41" i="7"/>
  <c r="AL53" i="7"/>
  <c r="AR53" i="7" s="1"/>
  <c r="AN53" i="7"/>
  <c r="AN30" i="7"/>
  <c r="AL30" i="7"/>
  <c r="AR30" i="7" s="1"/>
  <c r="AN5" i="7"/>
  <c r="AL5" i="7"/>
  <c r="AR5" i="7" s="1"/>
  <c r="AN24" i="7"/>
  <c r="AL24" i="7"/>
  <c r="AR24" i="7" s="1"/>
  <c r="AL58" i="7"/>
  <c r="AR58" i="7" s="1"/>
  <c r="AN58" i="7"/>
  <c r="AN12" i="7"/>
  <c r="AL12" i="7"/>
  <c r="AR12" i="7" s="1"/>
  <c r="AN32" i="7"/>
  <c r="AL32" i="7"/>
  <c r="AR32" i="7" s="1"/>
  <c r="AL50" i="7"/>
  <c r="AR50" i="7" s="1"/>
  <c r="AN50" i="7"/>
  <c r="AN46" i="7"/>
  <c r="AL46" i="7"/>
  <c r="AR46" i="7" s="1"/>
  <c r="AN16" i="7"/>
  <c r="AL16" i="7"/>
  <c r="AR16" i="7" s="1"/>
  <c r="AL37" i="7"/>
  <c r="AR37" i="7" s="1"/>
  <c r="AN37" i="7"/>
  <c r="AL42" i="7"/>
  <c r="AR42" i="7" s="1"/>
  <c r="AN42" i="7"/>
  <c r="AN40" i="7"/>
  <c r="AL40" i="7"/>
  <c r="AR40" i="7" s="1"/>
  <c r="AN62" i="7"/>
  <c r="AL62" i="7"/>
  <c r="AR62" i="7" s="1"/>
  <c r="AN8" i="7"/>
  <c r="AL8" i="7"/>
  <c r="AR8" i="7" s="1"/>
  <c r="AN36" i="7"/>
  <c r="AL36" i="7"/>
  <c r="AR36" i="7" s="1"/>
  <c r="AN28" i="7"/>
  <c r="AL28" i="7"/>
  <c r="AR28" i="7" s="1"/>
  <c r="AN54" i="7"/>
  <c r="AL54" i="7"/>
  <c r="AR54" i="7" s="1"/>
  <c r="AN20" i="7"/>
  <c r="AL20" i="7"/>
  <c r="AR20" i="7" s="1"/>
  <c r="AN57" i="7"/>
  <c r="AL57" i="7"/>
  <c r="AR57" i="7" s="1"/>
  <c r="AL61" i="7"/>
  <c r="AR61" i="7" s="1"/>
  <c r="AN61" i="7"/>
  <c r="BW30" i="7"/>
  <c r="BW31" i="7" s="1"/>
  <c r="BW32" i="7" s="1"/>
  <c r="BW33" i="7" s="1"/>
  <c r="BW34" i="7" s="1"/>
  <c r="BY60" i="7"/>
  <c r="BY61" i="7" s="1"/>
  <c r="BY62" i="7" s="1"/>
  <c r="BY63" i="7" s="1"/>
  <c r="BY64" i="7" s="1"/>
  <c r="BW25" i="7"/>
  <c r="BW26" i="7" s="1"/>
  <c r="BW27" i="7" s="1"/>
  <c r="BW28" i="7" s="1"/>
  <c r="BW29" i="7" s="1"/>
  <c r="BW40" i="7"/>
  <c r="BW41" i="7" s="1"/>
  <c r="BW42" i="7" s="1"/>
  <c r="BW43" i="7" s="1"/>
  <c r="BW44" i="7" s="1"/>
  <c r="BY40" i="7"/>
  <c r="BY41" i="7" s="1"/>
  <c r="BY42" i="7" s="1"/>
  <c r="BY43" i="7" s="1"/>
  <c r="BY44" i="7" s="1"/>
  <c r="BW55" i="7"/>
  <c r="BW56" i="7" s="1"/>
  <c r="BW57" i="7" s="1"/>
  <c r="BW58" i="7" s="1"/>
  <c r="BW59" i="7" s="1"/>
  <c r="BY55" i="7"/>
  <c r="BY56" i="7" s="1"/>
  <c r="BY57" i="7" s="1"/>
  <c r="BY58" i="7" s="1"/>
  <c r="BY59" i="7" s="1"/>
  <c r="BY25" i="7"/>
  <c r="BY26" i="7" s="1"/>
  <c r="BY27" i="7" s="1"/>
  <c r="BY28" i="7" s="1"/>
  <c r="BY29" i="7" s="1"/>
  <c r="BW60" i="7"/>
  <c r="BW61" i="7" s="1"/>
  <c r="BW62" i="7" s="1"/>
  <c r="BW63" i="7" s="1"/>
  <c r="BW64" i="7" s="1"/>
  <c r="BW35" i="7"/>
  <c r="BW36" i="7" s="1"/>
  <c r="BW37" i="7" s="1"/>
  <c r="BW38" i="7" s="1"/>
  <c r="BW39" i="7" s="1"/>
  <c r="BY30" i="7"/>
  <c r="BY31" i="7" s="1"/>
  <c r="BY32" i="7" s="1"/>
  <c r="BY33" i="7" s="1"/>
  <c r="BY34" i="7" s="1"/>
  <c r="BW45" i="7"/>
  <c r="BW46" i="7" s="1"/>
  <c r="BW47" i="7" s="1"/>
  <c r="BW48" i="7" s="1"/>
  <c r="BW49" i="7" s="1"/>
  <c r="BY45" i="7"/>
  <c r="BY46" i="7" s="1"/>
  <c r="BY47" i="7" s="1"/>
  <c r="BY48" i="7" s="1"/>
  <c r="BY49" i="7" s="1"/>
  <c r="BY50" i="7"/>
  <c r="BY51" i="7" s="1"/>
  <c r="BY52" i="7" s="1"/>
  <c r="BY53" i="7" s="1"/>
  <c r="BY54" i="7" s="1"/>
  <c r="BW50" i="7"/>
  <c r="BW51" i="7" s="1"/>
  <c r="BW52" i="7" s="1"/>
  <c r="BW53" i="7" s="1"/>
  <c r="BW54" i="7" s="1"/>
  <c r="BW10" i="7"/>
  <c r="BW11" i="7" s="1"/>
  <c r="BW12" i="7" s="1"/>
  <c r="BW13" i="7" s="1"/>
  <c r="BW14" i="7" s="1"/>
  <c r="BY10" i="7"/>
  <c r="BY11" i="7" s="1"/>
  <c r="BY12" i="7" s="1"/>
  <c r="BY13" i="7" s="1"/>
  <c r="BY14" i="7" s="1"/>
  <c r="BY5" i="7"/>
  <c r="BY6" i="7" s="1"/>
  <c r="BY7" i="7" s="1"/>
  <c r="BY8" i="7" s="1"/>
  <c r="BY9" i="7" s="1"/>
  <c r="BW5" i="7"/>
  <c r="BW6" i="7" s="1"/>
  <c r="BW7" i="7" s="1"/>
  <c r="BW8" i="7" s="1"/>
  <c r="BW9" i="7" s="1"/>
  <c r="BY15" i="7"/>
  <c r="BY16" i="7" s="1"/>
  <c r="BY17" i="7" s="1"/>
  <c r="BY18" i="7" s="1"/>
  <c r="BY19" i="7" s="1"/>
  <c r="BW15" i="7"/>
  <c r="BW16" i="7" s="1"/>
  <c r="BW17" i="7" s="1"/>
  <c r="BW18" i="7" s="1"/>
  <c r="BW19" i="7" s="1"/>
  <c r="BY20" i="7"/>
  <c r="BY21" i="7" s="1"/>
  <c r="BY22" i="7" s="1"/>
  <c r="BY23" i="7" s="1"/>
  <c r="BY24" i="7" s="1"/>
  <c r="BW20" i="7"/>
  <c r="BW21" i="7" s="1"/>
  <c r="BW22" i="7" s="1"/>
  <c r="BW23" i="7" s="1"/>
  <c r="BW24" i="7" s="1"/>
  <c r="AN66" i="7" l="1"/>
  <c r="AP31" i="7"/>
  <c r="AP48" i="7"/>
  <c r="AP46" i="7"/>
  <c r="AP12" i="7"/>
  <c r="AP30" i="7"/>
  <c r="AP33" i="7"/>
  <c r="AP60" i="7"/>
  <c r="AP9" i="7"/>
  <c r="AP28" i="7"/>
  <c r="AP25" i="7"/>
  <c r="AP49" i="7"/>
  <c r="AP59" i="7"/>
  <c r="AP41" i="7"/>
  <c r="AP18" i="7"/>
  <c r="AP32" i="7"/>
  <c r="AP37" i="7"/>
  <c r="AP57" i="7"/>
  <c r="AP14" i="7"/>
  <c r="AP26" i="7"/>
  <c r="AP62" i="7"/>
  <c r="AP43" i="7"/>
  <c r="AP21" i="7"/>
  <c r="AP16" i="7"/>
  <c r="AP35" i="7"/>
  <c r="AP11" i="7"/>
  <c r="AP36" i="7"/>
  <c r="AP6" i="7"/>
  <c r="AP56" i="7"/>
  <c r="AP61" i="7"/>
  <c r="AP63" i="7"/>
  <c r="AP19" i="7"/>
  <c r="AP47" i="7"/>
  <c r="AP34" i="7"/>
  <c r="AP58" i="7"/>
  <c r="AP42" i="7"/>
  <c r="AP24" i="7"/>
  <c r="AP10" i="7"/>
  <c r="AP64" i="7"/>
  <c r="AP8" i="7"/>
  <c r="AP51" i="7"/>
  <c r="AP29" i="7"/>
  <c r="AP50" i="7"/>
  <c r="AP55" i="7"/>
  <c r="AP45" i="7"/>
  <c r="AP53" i="7"/>
  <c r="AP44" i="7"/>
  <c r="AP23" i="7"/>
  <c r="AP27" i="7"/>
  <c r="AP17" i="7"/>
  <c r="AP7" i="7"/>
  <c r="AP52" i="7"/>
  <c r="AP13" i="7"/>
  <c r="AP40" i="7"/>
  <c r="BZ40" i="7" s="1"/>
  <c r="BZ41" i="7" s="1"/>
  <c r="BZ42" i="7" s="1"/>
  <c r="BZ43" i="7" s="1"/>
  <c r="BZ44" i="7" s="1"/>
  <c r="AP54" i="7"/>
  <c r="AP22" i="7"/>
  <c r="AP15" i="7"/>
  <c r="AP20" i="7"/>
  <c r="AL66" i="7"/>
  <c r="AP5" i="7"/>
  <c r="BX20" i="7" l="1"/>
  <c r="BZ5" i="7"/>
  <c r="BZ6" i="7" s="1"/>
  <c r="BZ7" i="7" s="1"/>
  <c r="BZ8" i="7" s="1"/>
  <c r="BZ9" i="7" s="1"/>
  <c r="BZ30" i="7"/>
  <c r="BZ31" i="7" s="1"/>
  <c r="BZ32" i="7" s="1"/>
  <c r="BZ33" i="7" s="1"/>
  <c r="BZ34" i="7" s="1"/>
  <c r="BZ60" i="7"/>
  <c r="BZ61" i="7" s="1"/>
  <c r="BZ62" i="7" s="1"/>
  <c r="BZ63" i="7" s="1"/>
  <c r="BZ64" i="7" s="1"/>
  <c r="BZ15" i="7"/>
  <c r="BZ16" i="7" s="1"/>
  <c r="BZ17" i="7" s="1"/>
  <c r="BZ18" i="7" s="1"/>
  <c r="BZ19" i="7" s="1"/>
  <c r="BZ45" i="7"/>
  <c r="BZ46" i="7" s="1"/>
  <c r="BZ47" i="7" s="1"/>
  <c r="BZ48" i="7" s="1"/>
  <c r="BZ49" i="7" s="1"/>
  <c r="BZ35" i="7"/>
  <c r="BZ36" i="7" s="1"/>
  <c r="BZ37" i="7" s="1"/>
  <c r="BZ38" i="7" s="1"/>
  <c r="BZ39" i="7" s="1"/>
  <c r="BZ20" i="7"/>
  <c r="BZ21" i="7" s="1"/>
  <c r="BZ22" i="7" s="1"/>
  <c r="BZ23" i="7" s="1"/>
  <c r="BZ24" i="7" s="1"/>
  <c r="BZ10" i="7"/>
  <c r="BZ11" i="7" s="1"/>
  <c r="BZ12" i="7" s="1"/>
  <c r="BZ13" i="7" s="1"/>
  <c r="BZ14" i="7" s="1"/>
  <c r="BZ55" i="7"/>
  <c r="BZ56" i="7" s="1"/>
  <c r="BZ57" i="7" s="1"/>
  <c r="BZ58" i="7" s="1"/>
  <c r="BZ59" i="7" s="1"/>
  <c r="BZ50" i="7"/>
  <c r="BZ51" i="7" s="1"/>
  <c r="BZ52" i="7" s="1"/>
  <c r="BZ53" i="7" s="1"/>
  <c r="BZ54" i="7" s="1"/>
  <c r="BZ25" i="7"/>
  <c r="BZ26" i="7" s="1"/>
  <c r="BZ27" i="7" s="1"/>
  <c r="BZ28" i="7" s="1"/>
  <c r="BZ29" i="7" s="1"/>
  <c r="BV5" i="7"/>
  <c r="BV6" i="7" s="1"/>
  <c r="BV7" i="7" s="1"/>
  <c r="BV8" i="7" s="1"/>
  <c r="BV9" i="7" s="1"/>
  <c r="BX5" i="7"/>
  <c r="BX6" i="7" s="1"/>
  <c r="BX7" i="7" s="1"/>
  <c r="BX8" i="7" s="1"/>
  <c r="BX9" i="7" s="1"/>
  <c r="BX55" i="7"/>
  <c r="BX56" i="7" s="1"/>
  <c r="BX57" i="7" s="1"/>
  <c r="BX58" i="7" s="1"/>
  <c r="BX59" i="7" s="1"/>
  <c r="BV55" i="7"/>
  <c r="BV56" i="7" s="1"/>
  <c r="BV57" i="7" s="1"/>
  <c r="BV58" i="7" s="1"/>
  <c r="BV59" i="7" s="1"/>
  <c r="BX60" i="7"/>
  <c r="BX61" i="7" s="1"/>
  <c r="BX62" i="7" s="1"/>
  <c r="BX63" i="7" s="1"/>
  <c r="BX64" i="7" s="1"/>
  <c r="BV60" i="7"/>
  <c r="BV61" i="7" s="1"/>
  <c r="BV62" i="7" s="1"/>
  <c r="BV63" i="7" s="1"/>
  <c r="BV64" i="7" s="1"/>
  <c r="BX25" i="7"/>
  <c r="BX26" i="7" s="1"/>
  <c r="BX27" i="7" s="1"/>
  <c r="BX28" i="7" s="1"/>
  <c r="BX29" i="7" s="1"/>
  <c r="BV25" i="7"/>
  <c r="BV26" i="7" s="1"/>
  <c r="BV27" i="7" s="1"/>
  <c r="BV28" i="7" s="1"/>
  <c r="BV29" i="7" s="1"/>
  <c r="BX21" i="7"/>
  <c r="BX22" i="7" s="1"/>
  <c r="BX23" i="7" s="1"/>
  <c r="BX24" i="7" s="1"/>
  <c r="BV20" i="7"/>
  <c r="BV21" i="7" s="1"/>
  <c r="BV22" i="7" s="1"/>
  <c r="BV23" i="7" s="1"/>
  <c r="BV24" i="7" s="1"/>
  <c r="BX40" i="7"/>
  <c r="BX41" i="7" s="1"/>
  <c r="BX42" i="7" s="1"/>
  <c r="BX43" i="7" s="1"/>
  <c r="BX44" i="7" s="1"/>
  <c r="BV40" i="7"/>
  <c r="BV41" i="7" s="1"/>
  <c r="BV42" i="7" s="1"/>
  <c r="BV43" i="7" s="1"/>
  <c r="BV44" i="7" s="1"/>
  <c r="BX10" i="7"/>
  <c r="BX11" i="7" s="1"/>
  <c r="BX12" i="7" s="1"/>
  <c r="BX13" i="7" s="1"/>
  <c r="BX14" i="7" s="1"/>
  <c r="BV10" i="7"/>
  <c r="BV11" i="7" s="1"/>
  <c r="BV12" i="7" s="1"/>
  <c r="BV13" i="7" s="1"/>
  <c r="BV14" i="7" s="1"/>
  <c r="BX30" i="7"/>
  <c r="BX31" i="7" s="1"/>
  <c r="BX32" i="7" s="1"/>
  <c r="BX33" i="7" s="1"/>
  <c r="BX34" i="7" s="1"/>
  <c r="BV30" i="7"/>
  <c r="BV31" i="7" s="1"/>
  <c r="BV32" i="7" s="1"/>
  <c r="BV33" i="7" s="1"/>
  <c r="BV34" i="7" s="1"/>
  <c r="BX50" i="7"/>
  <c r="BX51" i="7" s="1"/>
  <c r="BX52" i="7" s="1"/>
  <c r="BX53" i="7" s="1"/>
  <c r="BX54" i="7" s="1"/>
  <c r="BV50" i="7"/>
  <c r="BV51" i="7" s="1"/>
  <c r="BV52" i="7" s="1"/>
  <c r="BV53" i="7" s="1"/>
  <c r="BV54" i="7" s="1"/>
  <c r="BX15" i="7"/>
  <c r="BX16" i="7" s="1"/>
  <c r="BX17" i="7" s="1"/>
  <c r="BX18" i="7" s="1"/>
  <c r="BX19" i="7" s="1"/>
  <c r="BV15" i="7"/>
  <c r="BV16" i="7" s="1"/>
  <c r="BV17" i="7" s="1"/>
  <c r="BV18" i="7" s="1"/>
  <c r="BV19" i="7" s="1"/>
  <c r="BX45" i="7"/>
  <c r="BX46" i="7" s="1"/>
  <c r="BX47" i="7" s="1"/>
  <c r="BX48" i="7" s="1"/>
  <c r="BX49" i="7" s="1"/>
  <c r="BV45" i="7"/>
  <c r="BV46" i="7" s="1"/>
  <c r="BV47" i="7" s="1"/>
  <c r="BV48" i="7" s="1"/>
  <c r="BV49" i="7" s="1"/>
  <c r="BX35" i="7"/>
  <c r="BX36" i="7" s="1"/>
  <c r="BX37" i="7" s="1"/>
  <c r="BX38" i="7" s="1"/>
  <c r="BX39" i="7" s="1"/>
  <c r="BV35" i="7"/>
  <c r="BV36" i="7" s="1"/>
  <c r="BV37" i="7" s="1"/>
  <c r="BV38" i="7" s="1"/>
  <c r="BV39" i="7" s="1"/>
  <c r="AR66" i="7"/>
  <c r="AP66" i="7"/>
</calcChain>
</file>

<file path=xl/comments1.xml><?xml version="1.0" encoding="utf-8"?>
<comments xmlns="http://schemas.openxmlformats.org/spreadsheetml/2006/main">
  <authors>
    <author>your3353</author>
    <author>Yourek, Matthew</author>
  </authors>
  <commentList>
    <comment ref="AA50" authorId="0">
      <text>
        <r>
          <rPr>
            <b/>
            <sz val="9"/>
            <color indexed="81"/>
            <rFont val="Tahoma"/>
            <family val="2"/>
          </rPr>
          <t>your3353:</t>
        </r>
        <r>
          <rPr>
            <sz val="9"/>
            <color indexed="81"/>
            <rFont val="Tahoma"/>
            <family val="2"/>
          </rPr>
          <t xml:space="preserve">
GWC questionable (.369)
</t>
        </r>
      </text>
    </comment>
    <comment ref="AA116" authorId="0">
      <text>
        <r>
          <rPr>
            <b/>
            <sz val="9"/>
            <color indexed="81"/>
            <rFont val="Tahoma"/>
            <family val="2"/>
          </rPr>
          <t>your3353:</t>
        </r>
        <r>
          <rPr>
            <sz val="9"/>
            <color indexed="81"/>
            <rFont val="Tahoma"/>
            <family val="2"/>
          </rPr>
          <t xml:space="preserve">
anomalous measurement, removed;
</t>
        </r>
      </text>
    </comment>
    <comment ref="AA126" authorId="1">
      <text>
        <r>
          <rPr>
            <b/>
            <sz val="9"/>
            <color indexed="81"/>
            <rFont val="Tahoma"/>
            <family val="2"/>
          </rPr>
          <t>Yourek, Matthew: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<sst xmlns="http://schemas.openxmlformats.org/spreadsheetml/2006/main" count="1723" uniqueCount="236">
  <si>
    <t>WW</t>
  </si>
  <si>
    <t>Site</t>
  </si>
  <si>
    <t>Date</t>
  </si>
  <si>
    <t>Crop</t>
  </si>
  <si>
    <t>SITE</t>
  </si>
  <si>
    <t>WLF</t>
  </si>
  <si>
    <t>Farm</t>
  </si>
  <si>
    <t>Depth (ft.)</t>
  </si>
  <si>
    <t>BD_2012</t>
  </si>
  <si>
    <t>BD_2013</t>
  </si>
  <si>
    <t>BD_2014</t>
  </si>
  <si>
    <t>%error</t>
  </si>
  <si>
    <t>average</t>
  </si>
  <si>
    <t>stdev</t>
  </si>
  <si>
    <t>upper</t>
  </si>
  <si>
    <t>lower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</si>
  <si>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</si>
  <si>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</si>
  <si>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</si>
  <si>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</si>
  <si>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</si>
  <si>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</si>
  <si>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</si>
  <si>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</si>
  <si>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</si>
  <si>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</si>
  <si>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</si>
  <si>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</si>
  <si>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no comment</t>
  </si>
  <si>
    <t>60; light E, vague</t>
  </si>
  <si>
    <t>rocks</t>
  </si>
  <si>
    <t>122; Argillic layer</t>
  </si>
  <si>
    <t>120; Argillic layer</t>
  </si>
  <si>
    <t>90; E horizon</t>
  </si>
  <si>
    <t>65; E horizon</t>
  </si>
  <si>
    <t>soil horizons</t>
  </si>
  <si>
    <t>Column Labels</t>
  </si>
  <si>
    <t>Row Labels</t>
  </si>
  <si>
    <t>fc</t>
  </si>
  <si>
    <t>wp</t>
  </si>
  <si>
    <t>awc</t>
  </si>
  <si>
    <t>GARBS</t>
  </si>
  <si>
    <t>Fall-GWC</t>
  </si>
  <si>
    <t>Spring-GWC</t>
  </si>
  <si>
    <t>Fall-IN</t>
  </si>
  <si>
    <t>Spring-IN</t>
  </si>
  <si>
    <t>ΔIN</t>
  </si>
  <si>
    <t>Δθg</t>
  </si>
  <si>
    <t>Fall-VWC</t>
  </si>
  <si>
    <t>Spring-VWC</t>
  </si>
  <si>
    <t>Δθv</t>
  </si>
  <si>
    <t>2013 Observations</t>
  </si>
  <si>
    <t>porosity</t>
  </si>
  <si>
    <t>field_cap</t>
  </si>
  <si>
    <t>wilt_pt</t>
  </si>
  <si>
    <t>AWC</t>
  </si>
  <si>
    <t>θdp</t>
  </si>
  <si>
    <t>hb</t>
  </si>
  <si>
    <t>λ</t>
  </si>
  <si>
    <t>ϴr</t>
  </si>
  <si>
    <t>sand</t>
  </si>
  <si>
    <t>silt</t>
  </si>
  <si>
    <t>clay</t>
  </si>
  <si>
    <t>Fall 2011</t>
  </si>
  <si>
    <t>Fall 2012</t>
  </si>
  <si>
    <t>Year</t>
  </si>
  <si>
    <t>Grain Protein (%)</t>
  </si>
  <si>
    <t>Grain N (%)</t>
  </si>
  <si>
    <t>Yield (lb/ac)</t>
  </si>
  <si>
    <t>wp=0.0854-0.0004*%sand+0.0044*%clay+0.0122*OM-0.0182*BD</t>
  </si>
  <si>
    <t>fc=0.3486-0.0018*%sand+0.0039*%clay+0.0228*OM-0.0738*BD</t>
  </si>
  <si>
    <t>OM=1.72*%TC</t>
  </si>
  <si>
    <t>* Rawls et al., 1983</t>
  </si>
  <si>
    <t>Saxton et al., 1986</t>
  </si>
  <si>
    <t>h=A*θ^B</t>
  </si>
  <si>
    <t>A=100*exp(-4.396-0.0715*clay-0.000488*sand^2-0.00004285*sand^2*clay)</t>
  </si>
  <si>
    <t>B=-3.140-0.00222*clay^2-0.00003484*sand^2*clay</t>
  </si>
  <si>
    <r>
      <t>*</t>
    </r>
    <r>
      <rPr>
        <sz val="10"/>
        <rFont val="Calibri"/>
        <family val="2"/>
      </rPr>
      <t>Δ</t>
    </r>
    <r>
      <rPr>
        <sz val="10"/>
        <rFont val="Arial"/>
        <family val="2"/>
      </rPr>
      <t xml:space="preserve"> applies to 3/29/13-9/10/13</t>
    </r>
  </si>
  <si>
    <t>Wolff</t>
  </si>
  <si>
    <t>Winter Wheat</t>
  </si>
  <si>
    <t>Bag Label</t>
  </si>
  <si>
    <t xml:space="preserve">SPAD  </t>
  </si>
  <si>
    <t>LAI</t>
  </si>
  <si>
    <t>Height</t>
  </si>
  <si>
    <t>Notes</t>
  </si>
  <si>
    <t>N/A</t>
  </si>
  <si>
    <t>trouble locating no flags. More or less</t>
  </si>
  <si>
    <t>rainy and cloudy</t>
  </si>
  <si>
    <t>sunny; low LAI</t>
  </si>
  <si>
    <t>Grand Total</t>
  </si>
  <si>
    <t>.3 bar Vol. Moisture</t>
  </si>
  <si>
    <t>dry Bdens g/cm3</t>
  </si>
  <si>
    <t>sat.mc from dry bdense</t>
  </si>
  <si>
    <t>.3 bar Bdense</t>
  </si>
  <si>
    <t>sat.mc from .3 bar Bdense</t>
  </si>
  <si>
    <t>sat.mc-fc.mc for .3 bar bdense</t>
  </si>
  <si>
    <t>Depth (inches)</t>
  </si>
  <si>
    <t>Thatuna Silt loam at parker farm</t>
  </si>
  <si>
    <t>sat.mc-fc.mc from bdense dry</t>
  </si>
  <si>
    <t>Thatuna</t>
  </si>
  <si>
    <t>Garfield</t>
  </si>
  <si>
    <t>Palouse</t>
  </si>
  <si>
    <t>Naff</t>
  </si>
  <si>
    <t>sat.mc-wp.mc for .3 bar bdense</t>
  </si>
  <si>
    <t>sat. hydraulic cond. (in./hr)</t>
  </si>
  <si>
    <t>theta_drain=-.39BD+.72</t>
  </si>
  <si>
    <t>theta_drain</t>
  </si>
  <si>
    <t/>
  </si>
  <si>
    <t>wp=.23*BD-.16</t>
  </si>
  <si>
    <t>Depth to Argillic (cm)</t>
  </si>
  <si>
    <t>0.3 bar</t>
  </si>
  <si>
    <t>dry BD</t>
  </si>
  <si>
    <t>Bdense</t>
  </si>
  <si>
    <t>1/3 bar relationships</t>
  </si>
  <si>
    <t>filled dry Bdens g/cm3</t>
  </si>
  <si>
    <t>A</t>
  </si>
  <si>
    <t>B</t>
  </si>
  <si>
    <t>wp=(1500/A)^1/B</t>
  </si>
  <si>
    <t>fc.Saxton</t>
  </si>
  <si>
    <t>AWC.Saxton</t>
  </si>
  <si>
    <t>wp.Saxton</t>
  </si>
  <si>
    <t>wp.Rawls</t>
  </si>
  <si>
    <t>fc.Rawls</t>
  </si>
  <si>
    <t>Rawls et al., 1985</t>
  </si>
  <si>
    <t>wp.SS</t>
  </si>
  <si>
    <t>.1737x+.084</t>
  </si>
  <si>
    <t>fc=.1737BD+.084</t>
  </si>
  <si>
    <t>fc.SS</t>
  </si>
  <si>
    <t>1/λ</t>
  </si>
  <si>
    <t>filled dry BD</t>
  </si>
  <si>
    <t>wp=0.2376*BD-0.172</t>
  </si>
  <si>
    <t>fc=min((1-BD/2.65)-0.03,0.1727*BD+.084)</t>
  </si>
  <si>
    <t>awc.ss</t>
  </si>
  <si>
    <t>awc.Rawls</t>
  </si>
  <si>
    <t>Depth</t>
  </si>
  <si>
    <t>avg</t>
  </si>
  <si>
    <t>clay+bulk</t>
  </si>
  <si>
    <t>soil.depth (clay+BD)</t>
  </si>
  <si>
    <t>soil.depth (avg)</t>
  </si>
  <si>
    <t>soil.depth (cm)</t>
  </si>
  <si>
    <t>taw.Brackensiek.avg</t>
  </si>
  <si>
    <t>taw.ss.avg</t>
  </si>
  <si>
    <t>taw.Brackensiek.obs</t>
  </si>
  <si>
    <t>taw.ss.obs</t>
  </si>
  <si>
    <t>Ks (μm/s)</t>
  </si>
  <si>
    <t>Ks(cm/hr)</t>
  </si>
  <si>
    <t>depth_obs.</t>
  </si>
  <si>
    <t>taw.Brack.cores</t>
  </si>
  <si>
    <t>TN-2012</t>
  </si>
  <si>
    <t>TC-2012</t>
  </si>
  <si>
    <t>TC-2011</t>
  </si>
  <si>
    <t>TN-2011</t>
  </si>
  <si>
    <r>
      <rPr>
        <sz val="10"/>
        <rFont val="Calibri"/>
        <family val="2"/>
      </rPr>
      <t>Δ</t>
    </r>
    <r>
      <rPr>
        <sz val="10"/>
        <rFont val="Arial"/>
        <family val="2"/>
      </rPr>
      <t>TN</t>
    </r>
  </si>
  <si>
    <r>
      <rPr>
        <sz val="10"/>
        <rFont val="Calibri"/>
        <family val="2"/>
      </rPr>
      <t>Δ</t>
    </r>
    <r>
      <rPr>
        <sz val="10"/>
        <rFont val="Arial"/>
        <family val="2"/>
      </rPr>
      <t>TC</t>
    </r>
  </si>
  <si>
    <t>fc_new</t>
  </si>
  <si>
    <t>wp_new</t>
  </si>
  <si>
    <t>awc_new</t>
  </si>
  <si>
    <t>hb.new</t>
  </si>
  <si>
    <t>λ.new</t>
  </si>
  <si>
    <t>ϴr.new</t>
  </si>
  <si>
    <t>porosity_new</t>
  </si>
  <si>
    <t>wp.SS_new</t>
  </si>
  <si>
    <t>fc.SS_new</t>
  </si>
  <si>
    <t>awc.SS_new</t>
  </si>
  <si>
    <t>Sum of LAI</t>
  </si>
  <si>
    <t>Grower</t>
  </si>
  <si>
    <t>Season</t>
  </si>
  <si>
    <t>Eca</t>
  </si>
  <si>
    <t>E</t>
  </si>
  <si>
    <t>N</t>
  </si>
  <si>
    <t>Aes</t>
  </si>
  <si>
    <t>Spring</t>
  </si>
  <si>
    <t>W</t>
  </si>
  <si>
    <t>Sum of Eca</t>
  </si>
  <si>
    <t>Delta</t>
  </si>
  <si>
    <t>Fall</t>
  </si>
  <si>
    <t>J</t>
  </si>
  <si>
    <t>OD</t>
  </si>
  <si>
    <t>Hand</t>
  </si>
  <si>
    <t>Giddings</t>
  </si>
  <si>
    <t>Average Giddings</t>
  </si>
  <si>
    <t>Hand_BD</t>
  </si>
  <si>
    <t>GIDDINGS</t>
  </si>
  <si>
    <t>Observed Gravimetric Water Content Determined from Soil Samples</t>
  </si>
  <si>
    <t>1' max</t>
  </si>
  <si>
    <t>2' max</t>
  </si>
  <si>
    <t>3' max</t>
  </si>
  <si>
    <t>4' max</t>
  </si>
  <si>
    <t>5' max</t>
  </si>
  <si>
    <t>Volumetric Water Contents Using Giddings Probe Bulk Densities</t>
  </si>
  <si>
    <t>Volumetric Water Contents Using Hand Probe Bulk Densities</t>
  </si>
  <si>
    <t>SW</t>
  </si>
  <si>
    <t>withN</t>
  </si>
  <si>
    <t>noN</t>
  </si>
  <si>
    <t>from Palouse Region retention data</t>
  </si>
  <si>
    <t>Rawls et al., 1982</t>
  </si>
  <si>
    <t>DG11</t>
  </si>
  <si>
    <t>DG12</t>
  </si>
  <si>
    <t>dry</t>
  </si>
  <si>
    <t>Ground Surface To Water Surface</t>
  </si>
  <si>
    <t xml:space="preserve">Water Height </t>
  </si>
  <si>
    <t>Total (2/2/2012)</t>
  </si>
  <si>
    <t>Total (11/14/2012)</t>
  </si>
  <si>
    <t>Total (3/27/2013)</t>
  </si>
  <si>
    <t>Total (10/29/2013)</t>
  </si>
  <si>
    <t>well top (2/2/2012)</t>
  </si>
  <si>
    <t>well top (11/14/2012)</t>
  </si>
  <si>
    <t>well top (3/27/2013)</t>
  </si>
  <si>
    <t>well top (10/29/2013)</t>
  </si>
  <si>
    <t>Depth below ground</t>
  </si>
  <si>
    <t>Depth below ground (cm)</t>
  </si>
  <si>
    <t>Total</t>
  </si>
  <si>
    <t>no well</t>
  </si>
  <si>
    <t>snow depth (in.)</t>
  </si>
  <si>
    <t>snow weight</t>
  </si>
  <si>
    <t>tube</t>
  </si>
  <si>
    <t>swe (in.)</t>
  </si>
  <si>
    <t>HAND PROBE</t>
  </si>
  <si>
    <t>Estimated by assuming  the soil sample is saturated at max GWC and that porosity=1-BD/2.65</t>
  </si>
  <si>
    <t>Fall.GWC_noN</t>
  </si>
  <si>
    <t>Fall.GWC_withN</t>
  </si>
  <si>
    <t>Fall.VWC_noN</t>
  </si>
  <si>
    <t>Fall.VWC_withN</t>
  </si>
  <si>
    <t>Spring.GWC_2014</t>
  </si>
  <si>
    <t>Spring.VWC_2014</t>
  </si>
  <si>
    <t>Fall_IN_noN</t>
  </si>
  <si>
    <t>Fall_IN_withN</t>
  </si>
  <si>
    <t>Spring_IN_2014</t>
  </si>
  <si>
    <t>ΔIN_noN</t>
  </si>
  <si>
    <t>ΔIN_withN</t>
  </si>
  <si>
    <t>Δθv_withN</t>
  </si>
  <si>
    <t>Δθv_noN</t>
  </si>
  <si>
    <t>Δθg_withN</t>
  </si>
  <si>
    <t>Δθg_noN</t>
  </si>
  <si>
    <t>1 ppm NO3/NH4=13.734*BD lb/ac</t>
  </si>
  <si>
    <t>Average of AWC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</si>
</sst>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/dd/yy"/>
    <numFmt numFmtId="165" formatCode="0.000000"/>
    <numFmt numFmtId="166" formatCode="0.0"/>
    <numFmt numFmtId="167" formatCode="0.0000"/>
    <numFmt numFmtId="168" formatCode="0.0%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9" fillId="0" borderId="0"/>
    <xf numFmtId="0" fontId="8" fillId="0" borderId="0"/>
    <xf numFmtId="0" fontId="7" fillId="0" borderId="0"/>
    <xf numFmtId="9" fontId="1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</cellStyleXfs>
  <cellXfs count="94">
    <xf numFmtId="0" fontId="0" fillId="0" borderId="0" xfId="0"/>
    <xf numFmtId="164" fontId="0" fillId="2" borderId="1" xfId="0" applyNumberFormat="1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164" fontId="0" fillId="0" borderId="0" xfId="0" applyNumberFormat="1" applyFill="1" applyBorder="1"/>
    <xf numFmtId="0" fontId="0" fillId="0" borderId="0" xfId="0" applyNumberFormat="1"/>
    <xf numFmtId="14" fontId="0" fillId="0" borderId="0" xfId="0" applyNumberFormat="1"/>
    <xf numFmtId="0" fontId="0" fillId="2" borderId="0" xfId="0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0" fontId="0" fillId="0" borderId="3" xfId="0" applyFill="1" applyBorder="1"/>
    <xf numFmtId="49" fontId="0" fillId="0" borderId="3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10" fillId="0" borderId="0" xfId="0" applyFont="1"/>
    <xf numFmtId="165" fontId="0" fillId="0" borderId="0" xfId="0" applyNumberFormat="1" applyFill="1"/>
    <xf numFmtId="165" fontId="12" fillId="0" borderId="0" xfId="0" applyNumberFormat="1" applyFont="1" applyFill="1"/>
    <xf numFmtId="166" fontId="0" fillId="0" borderId="0" xfId="0" applyNumberFormat="1" applyFill="1"/>
    <xf numFmtId="0" fontId="0" fillId="0" borderId="0" xfId="0" applyNumberFormat="1" applyFill="1" applyBorder="1"/>
    <xf numFmtId="0" fontId="0" fillId="0" borderId="0" xfId="0" applyNumberFormat="1" applyBorder="1"/>
    <xf numFmtId="164" fontId="0" fillId="0" borderId="0" xfId="0" applyNumberFormat="1" applyBorder="1"/>
    <xf numFmtId="0" fontId="13" fillId="6" borderId="10" xfId="0" applyFont="1" applyFill="1" applyBorder="1"/>
    <xf numFmtId="0" fontId="14" fillId="0" borderId="0" xfId="0" quotePrefix="1" applyFont="1"/>
    <xf numFmtId="0" fontId="14" fillId="0" borderId="0" xfId="0" applyFont="1"/>
    <xf numFmtId="0" fontId="11" fillId="5" borderId="0" xfId="0" applyFont="1" applyFill="1" applyAlignment="1">
      <alignment horizontal="center"/>
    </xf>
    <xf numFmtId="0" fontId="7" fillId="0" borderId="0" xfId="3"/>
    <xf numFmtId="0" fontId="7" fillId="0" borderId="11" xfId="3" applyBorder="1"/>
    <xf numFmtId="0" fontId="7" fillId="0" borderId="11" xfId="3" applyFill="1" applyBorder="1"/>
    <xf numFmtId="14" fontId="7" fillId="0" borderId="11" xfId="3" applyNumberFormat="1" applyBorder="1"/>
    <xf numFmtId="164" fontId="7" fillId="0" borderId="0" xfId="3" applyNumberFormat="1" applyFill="1" applyBorder="1"/>
    <xf numFmtId="14" fontId="7" fillId="0" borderId="0" xfId="3" applyNumberFormat="1"/>
    <xf numFmtId="0" fontId="7" fillId="0" borderId="0" xfId="3" applyBorder="1"/>
    <xf numFmtId="0" fontId="7" fillId="0" borderId="12" xfId="3" applyFill="1" applyBorder="1"/>
    <xf numFmtId="0" fontId="0" fillId="0" borderId="0" xfId="0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0" fillId="3" borderId="0" xfId="0" applyNumberFormat="1" applyFill="1" applyAlignment="1">
      <alignment horizontal="center"/>
    </xf>
    <xf numFmtId="0" fontId="16" fillId="0" borderId="0" xfId="0" applyFont="1"/>
    <xf numFmtId="168" fontId="16" fillId="0" borderId="0" xfId="0" applyNumberFormat="1" applyFont="1" applyAlignment="1">
      <alignment horizontal="center"/>
    </xf>
    <xf numFmtId="0" fontId="17" fillId="0" borderId="0" xfId="0" applyFont="1"/>
    <xf numFmtId="0" fontId="0" fillId="0" borderId="0" xfId="0" applyFont="1"/>
    <xf numFmtId="0" fontId="13" fillId="0" borderId="0" xfId="0" applyFont="1"/>
    <xf numFmtId="0" fontId="13" fillId="0" borderId="10" xfId="0" applyFont="1" applyBorder="1"/>
    <xf numFmtId="168" fontId="0" fillId="0" borderId="0" xfId="4" applyNumberFormat="1" applyFont="1"/>
    <xf numFmtId="168" fontId="0" fillId="0" borderId="0" xfId="4" applyNumberFormat="1" applyFont="1" applyAlignment="1">
      <alignment horizontal="center" vertical="center" wrapText="1"/>
    </xf>
    <xf numFmtId="168" fontId="16" fillId="0" borderId="0" xfId="4" applyNumberFormat="1" applyFont="1"/>
    <xf numFmtId="0" fontId="0" fillId="3" borderId="0" xfId="0" applyFill="1"/>
    <xf numFmtId="0" fontId="18" fillId="0" borderId="0" xfId="0" applyFont="1"/>
    <xf numFmtId="0" fontId="13" fillId="0" borderId="0" xfId="0" applyFont="1" applyBorder="1"/>
    <xf numFmtId="0" fontId="10" fillId="3" borderId="0" xfId="0" applyFont="1" applyFill="1"/>
    <xf numFmtId="14" fontId="13" fillId="6" borderId="10" xfId="0" applyNumberFormat="1" applyFont="1" applyFill="1" applyBorder="1"/>
    <xf numFmtId="0" fontId="3" fillId="0" borderId="0" xfId="9"/>
    <xf numFmtId="0" fontId="19" fillId="0" borderId="0" xfId="9" applyFont="1"/>
    <xf numFmtId="14" fontId="3" fillId="0" borderId="0" xfId="9" applyNumberFormat="1" applyAlignment="1">
      <alignment horizontal="right"/>
    </xf>
    <xf numFmtId="14" fontId="3" fillId="0" borderId="0" xfId="9" applyNumberFormat="1"/>
    <xf numFmtId="0" fontId="3" fillId="0" borderId="0" xfId="9" applyFill="1"/>
    <xf numFmtId="0" fontId="3" fillId="0" borderId="0" xfId="9" applyNumberFormat="1"/>
    <xf numFmtId="0" fontId="3" fillId="0" borderId="0" xfId="9" applyAlignment="1">
      <alignment horizontal="left"/>
    </xf>
    <xf numFmtId="0" fontId="20" fillId="0" borderId="0" xfId="9" applyFont="1" applyFill="1"/>
    <xf numFmtId="14" fontId="3" fillId="0" borderId="0" xfId="9" applyNumberFormat="1" applyFill="1" applyAlignment="1">
      <alignment horizontal="right"/>
    </xf>
    <xf numFmtId="22" fontId="3" fillId="0" borderId="0" xfId="9" applyNumberFormat="1" applyFill="1" applyAlignment="1">
      <alignment horizontal="left"/>
    </xf>
    <xf numFmtId="14" fontId="3" fillId="0" borderId="0" xfId="9" applyNumberFormat="1" applyFill="1"/>
    <xf numFmtId="0" fontId="21" fillId="0" borderId="0" xfId="9" applyFont="1"/>
    <xf numFmtId="0" fontId="3" fillId="0" borderId="0" xfId="9" applyNumberFormat="1" applyFill="1"/>
    <xf numFmtId="0" fontId="2" fillId="0" borderId="0" xfId="11"/>
    <xf numFmtId="14" fontId="2" fillId="0" borderId="0" xfId="11" applyNumberFormat="1"/>
    <xf numFmtId="20" fontId="2" fillId="0" borderId="0" xfId="11" applyNumberFormat="1"/>
    <xf numFmtId="0" fontId="2" fillId="3" borderId="0" xfId="11" applyFill="1"/>
    <xf numFmtId="0" fontId="2" fillId="0" borderId="0" xfId="11" applyAlignment="1">
      <alignment horizontal="center" wrapText="1"/>
    </xf>
    <xf numFmtId="0" fontId="15" fillId="0" borderId="0" xfId="11" applyFont="1"/>
    <xf numFmtId="0" fontId="2" fillId="7" borderId="0" xfId="11" applyFill="1"/>
    <xf numFmtId="0" fontId="2" fillId="8" borderId="0" xfId="11" applyFill="1"/>
    <xf numFmtId="14" fontId="2" fillId="7" borderId="0" xfId="11" applyNumberFormat="1" applyFill="1"/>
    <xf numFmtId="0" fontId="2" fillId="0" borderId="0" xfId="11" applyNumberFormat="1"/>
    <xf numFmtId="0" fontId="0" fillId="0" borderId="0" xfId="0" applyNumberFormat="1" applyFill="1"/>
    <xf numFmtId="0" fontId="10" fillId="0" borderId="0" xfId="0" applyFont="1" applyFill="1"/>
    <xf numFmtId="0" fontId="3" fillId="8" borderId="0" xfId="9" applyFill="1"/>
    <xf numFmtId="0" fontId="1" fillId="0" borderId="0" xfId="9" applyFont="1" applyFill="1"/>
    <xf numFmtId="0" fontId="1" fillId="8" borderId="0" xfId="9" applyFont="1" applyFill="1"/>
    <xf numFmtId="0" fontId="0" fillId="4" borderId="0" xfId="0" applyNumberFormat="1" applyFill="1"/>
    <xf numFmtId="0" fontId="0" fillId="7" borderId="0" xfId="0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</cellXfs>
  <cellStyles count="12">
    <cellStyle name="Normal" xfId="0" builtinId="0"/>
    <cellStyle name="Normal 2" xfId="1"/>
    <cellStyle name="Normal 3" xfId="2"/>
    <cellStyle name="Normal 4" xfId="3"/>
    <cellStyle name="Normal 5" xfId="5"/>
    <cellStyle name="Normal 5 2" xfId="8"/>
    <cellStyle name="Normal 6" xfId="6"/>
    <cellStyle name="Normal 6 2" xfId="10"/>
    <cellStyle name="Normal 7" xfId="7"/>
    <cellStyle name="Normal 8" xfId="11"/>
    <cellStyle name="Normal 9" xfId="9"/>
    <cellStyle name="Percent" xfId="4" builtinId="5"/>
  </cellStyles>
  <dxfs count="7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5000B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3467282106978"/>
          <c:y val="1.9033197460275673E-2"/>
          <c:w val="0.6661352158566386"/>
          <c:h val="0.93074452508854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745189609919449"/>
                  <c:y val="6.3289335789341122E-2"/>
                </c:manualLayout>
              </c:layout>
              <c:numFmt formatCode="General" sourceLinked="0"/>
            </c:trendlineLbl>
          </c:trendline>
          <c:xVal>
            <c:numRef>
              <c:f>'Palouse PTF'!$D$4:$D$59</c:f>
              <c:numCache>
                <c:formatCode>General</c:formatCode>
                <c:ptCount val="56"/>
                <c:pt idx="0">
                  <c:v>1.2077120000000001</c:v>
                </c:pt>
                <c:pt idx="1">
                  <c:v>1.4</c:v>
                </c:pt>
                <c:pt idx="2">
                  <c:v>1.47</c:v>
                </c:pt>
                <c:pt idx="3">
                  <c:v>1.5</c:v>
                </c:pt>
                <c:pt idx="4">
                  <c:v>1.66</c:v>
                </c:pt>
                <c:pt idx="5">
                  <c:v>1.71</c:v>
                </c:pt>
                <c:pt idx="6">
                  <c:v>1.66</c:v>
                </c:pt>
                <c:pt idx="9">
                  <c:v>1.37</c:v>
                </c:pt>
                <c:pt idx="10">
                  <c:v>1.38</c:v>
                </c:pt>
                <c:pt idx="11">
                  <c:v>1.37</c:v>
                </c:pt>
                <c:pt idx="12">
                  <c:v>1.51</c:v>
                </c:pt>
                <c:pt idx="13">
                  <c:v>1.53</c:v>
                </c:pt>
                <c:pt idx="14">
                  <c:v>1.68</c:v>
                </c:pt>
                <c:pt idx="15">
                  <c:v>1.65</c:v>
                </c:pt>
                <c:pt idx="16">
                  <c:v>1.67</c:v>
                </c:pt>
                <c:pt idx="20">
                  <c:v>1.56</c:v>
                </c:pt>
                <c:pt idx="21">
                  <c:v>1.81</c:v>
                </c:pt>
                <c:pt idx="22">
                  <c:v>1.71</c:v>
                </c:pt>
                <c:pt idx="23">
                  <c:v>1.55</c:v>
                </c:pt>
                <c:pt idx="26">
                  <c:v>1.5239870000000002</c:v>
                </c:pt>
                <c:pt idx="27">
                  <c:v>1.77</c:v>
                </c:pt>
                <c:pt idx="28">
                  <c:v>1.73</c:v>
                </c:pt>
                <c:pt idx="31">
                  <c:v>1.1824100000000002</c:v>
                </c:pt>
                <c:pt idx="32">
                  <c:v>1.49</c:v>
                </c:pt>
                <c:pt idx="33">
                  <c:v>1.48</c:v>
                </c:pt>
                <c:pt idx="34">
                  <c:v>1.67</c:v>
                </c:pt>
                <c:pt idx="35">
                  <c:v>1.6</c:v>
                </c:pt>
                <c:pt idx="38">
                  <c:v>1.2077120000000001</c:v>
                </c:pt>
                <c:pt idx="39">
                  <c:v>1.270967</c:v>
                </c:pt>
                <c:pt idx="40">
                  <c:v>1.63</c:v>
                </c:pt>
                <c:pt idx="41">
                  <c:v>1.61</c:v>
                </c:pt>
                <c:pt idx="42">
                  <c:v>1.51</c:v>
                </c:pt>
                <c:pt idx="45">
                  <c:v>1.4</c:v>
                </c:pt>
                <c:pt idx="46">
                  <c:v>1.43</c:v>
                </c:pt>
                <c:pt idx="47">
                  <c:v>1.77</c:v>
                </c:pt>
                <c:pt idx="48">
                  <c:v>1.79</c:v>
                </c:pt>
                <c:pt idx="49">
                  <c:v>1.4607320000000001</c:v>
                </c:pt>
                <c:pt idx="52">
                  <c:v>1.1950610000000002</c:v>
                </c:pt>
                <c:pt idx="53">
                  <c:v>1.43</c:v>
                </c:pt>
                <c:pt idx="54">
                  <c:v>1.8</c:v>
                </c:pt>
                <c:pt idx="55">
                  <c:v>1.69</c:v>
                </c:pt>
              </c:numCache>
            </c:numRef>
          </c:xVal>
          <c:yVal>
            <c:numRef>
              <c:f>'Palouse PTF'!$K$4:$K$59</c:f>
              <c:numCache>
                <c:formatCode>0.0%</c:formatCode>
                <c:ptCount val="56"/>
                <c:pt idx="0">
                  <c:v>0.1363</c:v>
                </c:pt>
                <c:pt idx="1">
                  <c:v>0.19789999999999999</c:v>
                </c:pt>
                <c:pt idx="2">
                  <c:v>0.17760000000000001</c:v>
                </c:pt>
                <c:pt idx="4">
                  <c:v>0.27149999999999996</c:v>
                </c:pt>
                <c:pt idx="6">
                  <c:v>0.27399999999999997</c:v>
                </c:pt>
                <c:pt idx="9">
                  <c:v>0.1593</c:v>
                </c:pt>
                <c:pt idx="10">
                  <c:v>0.15839999999999999</c:v>
                </c:pt>
                <c:pt idx="11">
                  <c:v>0.1575</c:v>
                </c:pt>
                <c:pt idx="12">
                  <c:v>0.17670000000000002</c:v>
                </c:pt>
                <c:pt idx="13">
                  <c:v>0.17510000000000001</c:v>
                </c:pt>
                <c:pt idx="14">
                  <c:v>0.19570000000000001</c:v>
                </c:pt>
                <c:pt idx="15">
                  <c:v>0.25650000000000001</c:v>
                </c:pt>
                <c:pt idx="16">
                  <c:v>0.26250000000000001</c:v>
                </c:pt>
                <c:pt idx="20">
                  <c:v>0.1449</c:v>
                </c:pt>
                <c:pt idx="21">
                  <c:v>0.24109999999999998</c:v>
                </c:pt>
                <c:pt idx="22">
                  <c:v>0.24299999999999999</c:v>
                </c:pt>
                <c:pt idx="23">
                  <c:v>0.21030000000000001</c:v>
                </c:pt>
                <c:pt idx="26">
                  <c:v>0.17300000000000001</c:v>
                </c:pt>
                <c:pt idx="27">
                  <c:v>0.22640000000000002</c:v>
                </c:pt>
                <c:pt idx="28">
                  <c:v>0.23329999999999998</c:v>
                </c:pt>
                <c:pt idx="31">
                  <c:v>9.8000000000000004E-2</c:v>
                </c:pt>
                <c:pt idx="32">
                  <c:v>0.17010000000000003</c:v>
                </c:pt>
                <c:pt idx="33">
                  <c:v>0.1736</c:v>
                </c:pt>
                <c:pt idx="34">
                  <c:v>0.19079999999999997</c:v>
                </c:pt>
                <c:pt idx="35">
                  <c:v>0.1956</c:v>
                </c:pt>
                <c:pt idx="38">
                  <c:v>0.13189999999999999</c:v>
                </c:pt>
                <c:pt idx="39">
                  <c:v>0.1386</c:v>
                </c:pt>
                <c:pt idx="40">
                  <c:v>0.21899999999999997</c:v>
                </c:pt>
                <c:pt idx="41">
                  <c:v>0.2213</c:v>
                </c:pt>
                <c:pt idx="42">
                  <c:v>0.18230000000000002</c:v>
                </c:pt>
                <c:pt idx="45">
                  <c:v>0.13200000000000001</c:v>
                </c:pt>
                <c:pt idx="46">
                  <c:v>0.1736</c:v>
                </c:pt>
                <c:pt idx="47">
                  <c:v>0.23760000000000001</c:v>
                </c:pt>
                <c:pt idx="48">
                  <c:v>0.22949999999999998</c:v>
                </c:pt>
                <c:pt idx="49">
                  <c:v>0.17309999999999998</c:v>
                </c:pt>
                <c:pt idx="52">
                  <c:v>0.1124</c:v>
                </c:pt>
                <c:pt idx="53">
                  <c:v>0.17460000000000001</c:v>
                </c:pt>
                <c:pt idx="54">
                  <c:v>0.2515</c:v>
                </c:pt>
                <c:pt idx="55">
                  <c:v>0.25819999999999999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21568"/>
        <c:axId val="386223488"/>
      </c:scatterChart>
      <c:valAx>
        <c:axId val="38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223488"/>
        <c:crosses val="autoZero"/>
        <c:crossBetween val="midCat"/>
      </c:valAx>
      <c:valAx>
        <c:axId val="38622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38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05656620508646"/>
          <c:y val="0.55732175978792386"/>
          <c:w val="0.21294343379491357"/>
          <c:h val="0.1225440811421716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'SOIL PROPERTIES'!$DX$6:$DX$17</c:f>
              <c:strCache>
                <c:ptCount val="12"/>
                <c:pt idx="0">
                  <c:v>0.150593929</c:v>
                </c:pt>
                <c:pt idx="1">
                  <c:v>0.135031379</c:v>
                </c:pt>
                <c:pt idx="2">
                  <c:v>0.077357068</c:v>
                </c:pt>
                <c:pt idx="3">
                  <c:v>0.071295175</c:v>
                </c:pt>
                <c:pt idx="5">
                  <c:v>0.149112392</c:v>
                </c:pt>
                <c:pt idx="6">
                  <c:v>0.134567895</c:v>
                </c:pt>
                <c:pt idx="7">
                  <c:v>0.112518562</c:v>
                </c:pt>
                <c:pt idx="8">
                  <c:v>0.073275319</c:v>
                </c:pt>
                <c:pt idx="10">
                  <c:v>0.103883695</c:v>
                </c:pt>
                <c:pt idx="11">
                  <c:v>0.106688601</c:v>
                </c:pt>
              </c:strCache>
            </c:strRef>
          </c:xVal>
          <c:yVal>
            <c:numRef>
              <c:f>'SOIL PROPERTIES'!$DY$6:$DY$17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91904"/>
        <c:axId val="384918272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xVal>
            <c:strRef>
              <c:f>'SOIL PROPERTIES'!$DX$6:$DX$17</c:f>
              <c:strCache>
                <c:ptCount val="12"/>
                <c:pt idx="0">
                  <c:v>0.150593929</c:v>
                </c:pt>
                <c:pt idx="1">
                  <c:v>0.135031379</c:v>
                </c:pt>
                <c:pt idx="2">
                  <c:v>0.077357068</c:v>
                </c:pt>
                <c:pt idx="3">
                  <c:v>0.071295175</c:v>
                </c:pt>
                <c:pt idx="5">
                  <c:v>0.149112392</c:v>
                </c:pt>
                <c:pt idx="6">
                  <c:v>0.134567895</c:v>
                </c:pt>
                <c:pt idx="7">
                  <c:v>0.112518562</c:v>
                </c:pt>
                <c:pt idx="8">
                  <c:v>0.073275319</c:v>
                </c:pt>
                <c:pt idx="10">
                  <c:v>0.103883695</c:v>
                </c:pt>
                <c:pt idx="11">
                  <c:v>0.106688601</c:v>
                </c:pt>
              </c:strCache>
            </c:strRef>
          </c:xVal>
          <c:yVal>
            <c:numRef>
              <c:f>'SOIL PROPERTIES'!$DZ$6:$DZ$17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37984"/>
        <c:axId val="384919808"/>
      </c:scatterChart>
      <c:valAx>
        <c:axId val="3848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918272"/>
        <c:crosses val="autoZero"/>
        <c:crossBetween val="midCat"/>
      </c:valAx>
      <c:valAx>
        <c:axId val="38491827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891904"/>
        <c:crosses val="autoZero"/>
        <c:crossBetween val="midCat"/>
      </c:valAx>
      <c:valAx>
        <c:axId val="384919808"/>
        <c:scaling>
          <c:orientation val="minMax"/>
          <c:min val="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crossAx val="384937984"/>
        <c:crosses val="max"/>
        <c:crossBetween val="midCat"/>
      </c:valAx>
      <c:valAx>
        <c:axId val="38493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91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859230096237968"/>
                  <c:y val="-8.1917104111986008E-2"/>
                </c:manualLayout>
              </c:layout>
              <c:numFmt formatCode="General" sourceLinked="0"/>
            </c:trendlineLbl>
          </c:trendline>
          <c:xVal>
            <c:numRef>
              <c:f>'SOIL PROPERTIES'!$DH$68:$DH$127</c:f>
              <c:numCache>
                <c:formatCode>General</c:formatCode>
                <c:ptCount val="60"/>
                <c:pt idx="0">
                  <c:v>1.3962562491546295</c:v>
                </c:pt>
                <c:pt idx="1">
                  <c:v>1.5175583946040812</c:v>
                </c:pt>
                <c:pt idx="2">
                  <c:v>1.5849106786647507</c:v>
                </c:pt>
                <c:pt idx="3">
                  <c:v>1.6611161015691513</c:v>
                </c:pt>
                <c:pt idx="4">
                  <c:v>1.6674709646091144</c:v>
                </c:pt>
                <c:pt idx="5">
                  <c:v>1.2685383634082836</c:v>
                </c:pt>
                <c:pt idx="6">
                  <c:v>1.456387927209005</c:v>
                </c:pt>
                <c:pt idx="7">
                  <c:v>1.5610190843491971</c:v>
                </c:pt>
                <c:pt idx="8">
                  <c:v>1.6843541440224425</c:v>
                </c:pt>
                <c:pt idx="9">
                  <c:v>1.7082414117433771</c:v>
                </c:pt>
                <c:pt idx="10">
                  <c:v>1.5030152557707523</c:v>
                </c:pt>
                <c:pt idx="11">
                  <c:v>1.5726175896923127</c:v>
                </c:pt>
                <c:pt idx="12">
                  <c:v>1.7291293319926879</c:v>
                </c:pt>
                <c:pt idx="13">
                  <c:v>1.7383848334740779</c:v>
                </c:pt>
                <c:pt idx="14">
                  <c:v>1.708561510556988</c:v>
                </c:pt>
                <c:pt idx="15">
                  <c:v>1.3899263072462471</c:v>
                </c:pt>
                <c:pt idx="16">
                  <c:v>1.3735443328570403</c:v>
                </c:pt>
                <c:pt idx="17">
                  <c:v>1.4490724423956467</c:v>
                </c:pt>
                <c:pt idx="18">
                  <c:v>1.546651000227472</c:v>
                </c:pt>
                <c:pt idx="19">
                  <c:v>1.6470256226674413</c:v>
                </c:pt>
                <c:pt idx="20">
                  <c:v>1.2786215655211459</c:v>
                </c:pt>
                <c:pt idx="21">
                  <c:v>1.2146328776859296</c:v>
                </c:pt>
                <c:pt idx="22">
                  <c:v>1.5982524369413778</c:v>
                </c:pt>
                <c:pt idx="23">
                  <c:v>1.7093753731375603</c:v>
                </c:pt>
                <c:pt idx="24">
                  <c:v>1.7604386462822996</c:v>
                </c:pt>
                <c:pt idx="25">
                  <c:v>1.3134209268942334</c:v>
                </c:pt>
                <c:pt idx="26">
                  <c:v>1.6035417948615416</c:v>
                </c:pt>
                <c:pt idx="27">
                  <c:v>1.7136418736022454</c:v>
                </c:pt>
                <c:pt idx="28">
                  <c:v>1.7429679820949477</c:v>
                </c:pt>
                <c:pt idx="29">
                  <c:v>1.8421691234882054</c:v>
                </c:pt>
                <c:pt idx="30">
                  <c:v>1.5438284112464755</c:v>
                </c:pt>
                <c:pt idx="31">
                  <c:v>1.6303514873119838</c:v>
                </c:pt>
                <c:pt idx="32">
                  <c:v>1.6110682372194973</c:v>
                </c:pt>
                <c:pt idx="35">
                  <c:v>1.4224810869277817</c:v>
                </c:pt>
                <c:pt idx="36">
                  <c:v>1.3277709137445484</c:v>
                </c:pt>
                <c:pt idx="37">
                  <c:v>1.5651903907382188</c:v>
                </c:pt>
                <c:pt idx="38">
                  <c:v>1.6121705778540232</c:v>
                </c:pt>
                <c:pt idx="39">
                  <c:v>1.6599651281595174</c:v>
                </c:pt>
                <c:pt idx="40">
                  <c:v>1.3952987258908192</c:v>
                </c:pt>
                <c:pt idx="41">
                  <c:v>1.6191466929704497</c:v>
                </c:pt>
                <c:pt idx="42">
                  <c:v>1.6019552674821222</c:v>
                </c:pt>
                <c:pt idx="43">
                  <c:v>1.5648525995234264</c:v>
                </c:pt>
                <c:pt idx="44">
                  <c:v>1.6037476056497983</c:v>
                </c:pt>
                <c:pt idx="45">
                  <c:v>1.3850208001931632</c:v>
                </c:pt>
                <c:pt idx="46">
                  <c:v>1.5341569475386778</c:v>
                </c:pt>
                <c:pt idx="47">
                  <c:v>1.5541760981507056</c:v>
                </c:pt>
                <c:pt idx="48">
                  <c:v>1.6102665905825742</c:v>
                </c:pt>
                <c:pt idx="49">
                  <c:v>1.6313196655831845</c:v>
                </c:pt>
                <c:pt idx="50">
                  <c:v>1.3502729168327627</c:v>
                </c:pt>
                <c:pt idx="51">
                  <c:v>1.5547492319544176</c:v>
                </c:pt>
                <c:pt idx="52">
                  <c:v>1.6971594209860337</c:v>
                </c:pt>
                <c:pt idx="53">
                  <c:v>1.6296271907485738</c:v>
                </c:pt>
                <c:pt idx="54">
                  <c:v>1.6937670787933878</c:v>
                </c:pt>
                <c:pt idx="55">
                  <c:v>1.421024577106814</c:v>
                </c:pt>
                <c:pt idx="56">
                  <c:v>1.5423627750622302</c:v>
                </c:pt>
                <c:pt idx="57">
                  <c:v>1.5932625520597972</c:v>
                </c:pt>
                <c:pt idx="58">
                  <c:v>1.6243051100792503</c:v>
                </c:pt>
                <c:pt idx="59">
                  <c:v>1.6038992667397254</c:v>
                </c:pt>
              </c:numCache>
            </c:numRef>
          </c:xVal>
          <c:yVal>
            <c:numRef>
              <c:f>'SOIL PROPERTIES'!$DI$68:$DI$127</c:f>
              <c:numCache>
                <c:formatCode>General</c:formatCode>
                <c:ptCount val="60"/>
                <c:pt idx="0">
                  <c:v>31.788295260876097</c:v>
                </c:pt>
                <c:pt idx="1">
                  <c:v>30.814754038342301</c:v>
                </c:pt>
                <c:pt idx="2">
                  <c:v>40.605079638398401</c:v>
                </c:pt>
                <c:pt idx="3">
                  <c:v>41.713717384464097</c:v>
                </c:pt>
                <c:pt idx="4">
                  <c:v>39.265577108825603</c:v>
                </c:pt>
                <c:pt idx="5">
                  <c:v>31.768207814765002</c:v>
                </c:pt>
                <c:pt idx="6">
                  <c:v>29.743258793360798</c:v>
                </c:pt>
                <c:pt idx="7">
                  <c:v>29.9397506241197</c:v>
                </c:pt>
                <c:pt idx="8">
                  <c:v>35.1144500055387</c:v>
                </c:pt>
                <c:pt idx="9">
                  <c:v>36.825720094766702</c:v>
                </c:pt>
                <c:pt idx="10">
                  <c:v>32.16536218124407</c:v>
                </c:pt>
                <c:pt idx="11">
                  <c:v>32.728568388985401</c:v>
                </c:pt>
                <c:pt idx="12">
                  <c:v>42.908123827329199</c:v>
                </c:pt>
                <c:pt idx="13">
                  <c:v>42.111460895560398</c:v>
                </c:pt>
                <c:pt idx="14">
                  <c:v>40.5030006078455</c:v>
                </c:pt>
                <c:pt idx="15">
                  <c:v>27.209838244294332</c:v>
                </c:pt>
                <c:pt idx="16">
                  <c:v>27.0809779900679</c:v>
                </c:pt>
                <c:pt idx="17">
                  <c:v>37.752328437870602</c:v>
                </c:pt>
                <c:pt idx="18">
                  <c:v>43.513679294350098</c:v>
                </c:pt>
                <c:pt idx="19">
                  <c:v>33.871007908582698</c:v>
                </c:pt>
                <c:pt idx="20">
                  <c:v>31.874455558437663</c:v>
                </c:pt>
                <c:pt idx="21">
                  <c:v>26.516944233602903</c:v>
                </c:pt>
                <c:pt idx="22">
                  <c:v>39.418176646472901</c:v>
                </c:pt>
                <c:pt idx="23">
                  <c:v>31.139216541408899</c:v>
                </c:pt>
                <c:pt idx="24">
                  <c:v>42.832215459419501</c:v>
                </c:pt>
                <c:pt idx="25">
                  <c:v>32.182586590836699</c:v>
                </c:pt>
                <c:pt idx="27">
                  <c:v>37.206496455184102</c:v>
                </c:pt>
                <c:pt idx="28">
                  <c:v>38.249530402410898</c:v>
                </c:pt>
                <c:pt idx="29">
                  <c:v>38.816333220576702</c:v>
                </c:pt>
                <c:pt idx="30">
                  <c:v>30.498143328960463</c:v>
                </c:pt>
                <c:pt idx="32">
                  <c:v>39.308816503284397</c:v>
                </c:pt>
                <c:pt idx="33">
                  <c:v>31.078622504394897</c:v>
                </c:pt>
                <c:pt idx="35">
                  <c:v>30.010352220696333</c:v>
                </c:pt>
                <c:pt idx="36">
                  <c:v>27.581670763577197</c:v>
                </c:pt>
                <c:pt idx="37">
                  <c:v>44.645671151244002</c:v>
                </c:pt>
                <c:pt idx="38">
                  <c:v>40.42889320442</c:v>
                </c:pt>
                <c:pt idx="39">
                  <c:v>46.060710508264698</c:v>
                </c:pt>
                <c:pt idx="40">
                  <c:v>35.068569136598207</c:v>
                </c:pt>
                <c:pt idx="41">
                  <c:v>36.7913556344716</c:v>
                </c:pt>
                <c:pt idx="42">
                  <c:v>37.777436960920802</c:v>
                </c:pt>
                <c:pt idx="44">
                  <c:v>42.663075859767801</c:v>
                </c:pt>
                <c:pt idx="45">
                  <c:v>36.496135248066693</c:v>
                </c:pt>
                <c:pt idx="46">
                  <c:v>36.069358974802498</c:v>
                </c:pt>
                <c:pt idx="47">
                  <c:v>40.743509193695402</c:v>
                </c:pt>
                <c:pt idx="48">
                  <c:v>46.575773040824998</c:v>
                </c:pt>
                <c:pt idx="49">
                  <c:v>40.408163265305902</c:v>
                </c:pt>
                <c:pt idx="50">
                  <c:v>33.712285247486335</c:v>
                </c:pt>
                <c:pt idx="51">
                  <c:v>31.084460669749404</c:v>
                </c:pt>
                <c:pt idx="52">
                  <c:v>37.6987990365336</c:v>
                </c:pt>
                <c:pt idx="53">
                  <c:v>43.538536766316703</c:v>
                </c:pt>
                <c:pt idx="54">
                  <c:v>39.4337960269308</c:v>
                </c:pt>
                <c:pt idx="55">
                  <c:v>33.266038167739133</c:v>
                </c:pt>
                <c:pt idx="56">
                  <c:v>32.044021869276101</c:v>
                </c:pt>
                <c:pt idx="57">
                  <c:v>44.653748468110003</c:v>
                </c:pt>
                <c:pt idx="58">
                  <c:v>44.1100048443868</c:v>
                </c:pt>
                <c:pt idx="59">
                  <c:v>44.693108949510503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79328"/>
        <c:axId val="384980864"/>
      </c:scatterChart>
      <c:valAx>
        <c:axId val="3849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980864"/>
        <c:crosses val="autoZero"/>
        <c:crossBetween val="midCat"/>
      </c:valAx>
      <c:valAx>
        <c:axId val="3849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97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261854768153983"/>
                  <c:y val="-0.13049394867308253"/>
                </c:manualLayout>
              </c:layout>
              <c:numFmt formatCode="General" sourceLinked="0"/>
            </c:trendlineLbl>
          </c:trendline>
          <c:xVal>
            <c:numRef>
              <c:f>Yields!$R$17:$R$28</c:f>
              <c:numCache>
                <c:formatCode>General</c:formatCode>
                <c:ptCount val="12"/>
                <c:pt idx="0">
                  <c:v>0.11459999999999999</c:v>
                </c:pt>
                <c:pt idx="1">
                  <c:v>0.13039999999999999</c:v>
                </c:pt>
                <c:pt idx="2">
                  <c:v>8.1100000000000005E-2</c:v>
                </c:pt>
                <c:pt idx="3">
                  <c:v>0.1399</c:v>
                </c:pt>
                <c:pt idx="4">
                  <c:v>9.0899999999999995E-2</c:v>
                </c:pt>
                <c:pt idx="5">
                  <c:v>7.85E-2</c:v>
                </c:pt>
                <c:pt idx="6">
                  <c:v>8.2500000000000004E-2</c:v>
                </c:pt>
                <c:pt idx="7">
                  <c:v>0.12770000000000001</c:v>
                </c:pt>
                <c:pt idx="8">
                  <c:v>9.3600000000000003E-2</c:v>
                </c:pt>
                <c:pt idx="9">
                  <c:v>7.2499999999999995E-2</c:v>
                </c:pt>
                <c:pt idx="10">
                  <c:v>9.0899999999999995E-2</c:v>
                </c:pt>
                <c:pt idx="11">
                  <c:v>0.1135</c:v>
                </c:pt>
              </c:numCache>
            </c:numRef>
          </c:xVal>
          <c:yVal>
            <c:numRef>
              <c:f>Yields!$N$17:$N$28</c:f>
              <c:numCache>
                <c:formatCode>General</c:formatCode>
                <c:ptCount val="12"/>
                <c:pt idx="0">
                  <c:v>86.611488947368414</c:v>
                </c:pt>
                <c:pt idx="1">
                  <c:v>101.61688421052631</c:v>
                </c:pt>
                <c:pt idx="2">
                  <c:v>57.637293947368427</c:v>
                </c:pt>
                <c:pt idx="3">
                  <c:v>97.137883684210536</c:v>
                </c:pt>
                <c:pt idx="4">
                  <c:v>75.862044210526335</c:v>
                </c:pt>
                <c:pt idx="5">
                  <c:v>78.265114473684207</c:v>
                </c:pt>
                <c:pt idx="6">
                  <c:v>77.386610526315792</c:v>
                </c:pt>
                <c:pt idx="7">
                  <c:v>99.841093157894719</c:v>
                </c:pt>
                <c:pt idx="8">
                  <c:v>85.951730526315799</c:v>
                </c:pt>
                <c:pt idx="9">
                  <c:v>#N/A</c:v>
                </c:pt>
                <c:pt idx="10">
                  <c:v>67.093831315789473</c:v>
                </c:pt>
                <c:pt idx="11">
                  <c:v>87.742000263157891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86528"/>
        <c:axId val="385716992"/>
      </c:scatterChart>
      <c:valAx>
        <c:axId val="3856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16992"/>
        <c:crosses val="autoZero"/>
        <c:crossBetween val="midCat"/>
      </c:valAx>
      <c:valAx>
        <c:axId val="3857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68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194728783902013"/>
                  <c:y val="-0.55862204724409448"/>
                </c:manualLayout>
              </c:layout>
              <c:numFmt formatCode="General" sourceLinked="0"/>
            </c:trendlineLbl>
          </c:trendline>
          <c:xVal>
            <c:numRef>
              <c:f>'Palouse PTF'!$D$4:$D$59</c:f>
              <c:numCache>
                <c:formatCode>General</c:formatCode>
                <c:ptCount val="56"/>
                <c:pt idx="0">
                  <c:v>1.2077120000000001</c:v>
                </c:pt>
                <c:pt idx="1">
                  <c:v>1.4</c:v>
                </c:pt>
                <c:pt idx="2">
                  <c:v>1.47</c:v>
                </c:pt>
                <c:pt idx="3">
                  <c:v>1.5</c:v>
                </c:pt>
                <c:pt idx="4">
                  <c:v>1.66</c:v>
                </c:pt>
                <c:pt idx="5">
                  <c:v>1.71</c:v>
                </c:pt>
                <c:pt idx="6">
                  <c:v>1.66</c:v>
                </c:pt>
                <c:pt idx="9">
                  <c:v>1.37</c:v>
                </c:pt>
                <c:pt idx="10">
                  <c:v>1.38</c:v>
                </c:pt>
                <c:pt idx="11">
                  <c:v>1.37</c:v>
                </c:pt>
                <c:pt idx="12">
                  <c:v>1.51</c:v>
                </c:pt>
                <c:pt idx="13">
                  <c:v>1.53</c:v>
                </c:pt>
                <c:pt idx="14">
                  <c:v>1.68</c:v>
                </c:pt>
                <c:pt idx="15">
                  <c:v>1.65</c:v>
                </c:pt>
                <c:pt idx="16">
                  <c:v>1.67</c:v>
                </c:pt>
                <c:pt idx="20">
                  <c:v>1.56</c:v>
                </c:pt>
                <c:pt idx="21">
                  <c:v>1.81</c:v>
                </c:pt>
                <c:pt idx="22">
                  <c:v>1.71</c:v>
                </c:pt>
                <c:pt idx="23">
                  <c:v>1.55</c:v>
                </c:pt>
                <c:pt idx="26">
                  <c:v>1.5239870000000002</c:v>
                </c:pt>
                <c:pt idx="27">
                  <c:v>1.77</c:v>
                </c:pt>
                <c:pt idx="28">
                  <c:v>1.73</c:v>
                </c:pt>
                <c:pt idx="31">
                  <c:v>1.1824100000000002</c:v>
                </c:pt>
                <c:pt idx="32">
                  <c:v>1.49</c:v>
                </c:pt>
                <c:pt idx="33">
                  <c:v>1.48</c:v>
                </c:pt>
                <c:pt idx="34">
                  <c:v>1.67</c:v>
                </c:pt>
                <c:pt idx="35">
                  <c:v>1.6</c:v>
                </c:pt>
                <c:pt idx="38">
                  <c:v>1.2077120000000001</c:v>
                </c:pt>
                <c:pt idx="39">
                  <c:v>1.270967</c:v>
                </c:pt>
                <c:pt idx="40">
                  <c:v>1.63</c:v>
                </c:pt>
                <c:pt idx="41">
                  <c:v>1.61</c:v>
                </c:pt>
                <c:pt idx="42">
                  <c:v>1.51</c:v>
                </c:pt>
                <c:pt idx="45">
                  <c:v>1.4</c:v>
                </c:pt>
                <c:pt idx="46">
                  <c:v>1.43</c:v>
                </c:pt>
                <c:pt idx="47">
                  <c:v>1.77</c:v>
                </c:pt>
                <c:pt idx="48">
                  <c:v>1.79</c:v>
                </c:pt>
                <c:pt idx="49">
                  <c:v>1.4607320000000001</c:v>
                </c:pt>
                <c:pt idx="52">
                  <c:v>1.1950610000000002</c:v>
                </c:pt>
                <c:pt idx="53">
                  <c:v>1.43</c:v>
                </c:pt>
                <c:pt idx="54">
                  <c:v>1.8</c:v>
                </c:pt>
                <c:pt idx="55">
                  <c:v>1.69</c:v>
                </c:pt>
              </c:numCache>
            </c:numRef>
          </c:xVal>
          <c:yVal>
            <c:numRef>
              <c:f>'Palouse PTF'!$B$4:$B$59</c:f>
              <c:numCache>
                <c:formatCode>0.0%</c:formatCode>
                <c:ptCount val="56"/>
                <c:pt idx="0">
                  <c:v>0.2989</c:v>
                </c:pt>
                <c:pt idx="1">
                  <c:v>0.36979999999999996</c:v>
                </c:pt>
                <c:pt idx="2">
                  <c:v>0.40509999999999996</c:v>
                </c:pt>
                <c:pt idx="3">
                  <c:v>0.35590000000000005</c:v>
                </c:pt>
                <c:pt idx="4">
                  <c:v>0.39789999999999998</c:v>
                </c:pt>
                <c:pt idx="5">
                  <c:v>0.39909999999999995</c:v>
                </c:pt>
                <c:pt idx="6">
                  <c:v>0.32350000000000001</c:v>
                </c:pt>
                <c:pt idx="7">
                  <c:v>0</c:v>
                </c:pt>
                <c:pt idx="9">
                  <c:v>0.3407</c:v>
                </c:pt>
                <c:pt idx="10">
                  <c:v>0.36030000000000001</c:v>
                </c:pt>
                <c:pt idx="11">
                  <c:v>0.35070000000000001</c:v>
                </c:pt>
                <c:pt idx="12">
                  <c:v>0.3836</c:v>
                </c:pt>
                <c:pt idx="13">
                  <c:v>0.37270000000000003</c:v>
                </c:pt>
                <c:pt idx="14">
                  <c:v>0.4108</c:v>
                </c:pt>
                <c:pt idx="15">
                  <c:v>0.42119999999999996</c:v>
                </c:pt>
                <c:pt idx="16">
                  <c:v>0.40639999999999998</c:v>
                </c:pt>
                <c:pt idx="17">
                  <c:v>0</c:v>
                </c:pt>
                <c:pt idx="18">
                  <c:v>0</c:v>
                </c:pt>
                <c:pt idx="20">
                  <c:v>0.31329999999999997</c:v>
                </c:pt>
                <c:pt idx="21">
                  <c:v>0.40029999999999999</c:v>
                </c:pt>
                <c:pt idx="22">
                  <c:v>0.3926</c:v>
                </c:pt>
                <c:pt idx="23">
                  <c:v>0.35220000000000001</c:v>
                </c:pt>
                <c:pt idx="24">
                  <c:v>0</c:v>
                </c:pt>
                <c:pt idx="26">
                  <c:v>0.33189999999999997</c:v>
                </c:pt>
                <c:pt idx="27">
                  <c:v>0.36280000000000001</c:v>
                </c:pt>
                <c:pt idx="28">
                  <c:v>0.3705</c:v>
                </c:pt>
                <c:pt idx="29">
                  <c:v>0</c:v>
                </c:pt>
                <c:pt idx="31">
                  <c:v>0.28300000000000003</c:v>
                </c:pt>
                <c:pt idx="32">
                  <c:v>0.2999</c:v>
                </c:pt>
                <c:pt idx="33">
                  <c:v>0.3332</c:v>
                </c:pt>
                <c:pt idx="34">
                  <c:v>0.36820000000000003</c:v>
                </c:pt>
                <c:pt idx="35">
                  <c:v>0.37340000000000001</c:v>
                </c:pt>
                <c:pt idx="36">
                  <c:v>0</c:v>
                </c:pt>
                <c:pt idx="38">
                  <c:v>0.3054</c:v>
                </c:pt>
                <c:pt idx="39">
                  <c:v>0.31370000000000003</c:v>
                </c:pt>
                <c:pt idx="40">
                  <c:v>0.3725</c:v>
                </c:pt>
                <c:pt idx="41">
                  <c:v>0.37060000000000004</c:v>
                </c:pt>
                <c:pt idx="42">
                  <c:v>0.34189999999999998</c:v>
                </c:pt>
                <c:pt idx="43">
                  <c:v>0</c:v>
                </c:pt>
                <c:pt idx="45">
                  <c:v>0.31170000000000003</c:v>
                </c:pt>
                <c:pt idx="46">
                  <c:v>0.2848</c:v>
                </c:pt>
                <c:pt idx="47">
                  <c:v>0.35220000000000001</c:v>
                </c:pt>
                <c:pt idx="48">
                  <c:v>0.37390000000000001</c:v>
                </c:pt>
                <c:pt idx="49">
                  <c:v>0.26679999999999998</c:v>
                </c:pt>
                <c:pt idx="50">
                  <c:v>0</c:v>
                </c:pt>
                <c:pt idx="52">
                  <c:v>0.2427</c:v>
                </c:pt>
                <c:pt idx="53">
                  <c:v>0.29160000000000003</c:v>
                </c:pt>
                <c:pt idx="54">
                  <c:v>0.38380000000000003</c:v>
                </c:pt>
                <c:pt idx="55">
                  <c:v>0.40429999999999999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597056"/>
        <c:axId val="279598592"/>
      </c:scatterChart>
      <c:valAx>
        <c:axId val="2795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598592"/>
        <c:crosses val="autoZero"/>
        <c:crossBetween val="midCat"/>
      </c:valAx>
      <c:valAx>
        <c:axId val="2795985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7959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PTF'!$AA$5:$AA$12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PTF'!$AB$5:$AB$12</c:f>
              <c:numCache>
                <c:formatCode>General</c:formatCode>
                <c:ptCount val="8"/>
                <c:pt idx="0">
                  <c:v>8.1500000000000017E-2</c:v>
                </c:pt>
                <c:pt idx="1">
                  <c:v>0.11083000000000004</c:v>
                </c:pt>
                <c:pt idx="2">
                  <c:v>0.14016000000000001</c:v>
                </c:pt>
                <c:pt idx="3">
                  <c:v>0.16949000000000003</c:v>
                </c:pt>
                <c:pt idx="4">
                  <c:v>0.19882</c:v>
                </c:pt>
                <c:pt idx="5">
                  <c:v>0.22815000000000002</c:v>
                </c:pt>
                <c:pt idx="6">
                  <c:v>0.25748000000000004</c:v>
                </c:pt>
                <c:pt idx="7">
                  <c:v>0.28681000000000001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PTF'!$AC$5:$AC$12</c:f>
              <c:numCache>
                <c:formatCode>General</c:formatCode>
                <c:ptCount val="8"/>
                <c:pt idx="0">
                  <c:v>0.2591</c:v>
                </c:pt>
                <c:pt idx="1">
                  <c:v>0.28327000000000002</c:v>
                </c:pt>
                <c:pt idx="2">
                  <c:v>0.30743999999999994</c:v>
                </c:pt>
                <c:pt idx="3">
                  <c:v>0.33160999999999996</c:v>
                </c:pt>
                <c:pt idx="4">
                  <c:v>0.35577999999999999</c:v>
                </c:pt>
                <c:pt idx="5">
                  <c:v>0.37995000000000001</c:v>
                </c:pt>
                <c:pt idx="6">
                  <c:v>0.36622641509433951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PTF'!$AD$5:$AD$12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12800"/>
        <c:axId val="279618688"/>
      </c:scatterChart>
      <c:valAx>
        <c:axId val="2796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618688"/>
        <c:crosses val="autoZero"/>
        <c:crossBetween val="midCat"/>
      </c:valAx>
      <c:valAx>
        <c:axId val="2796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61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PTF'!$AG$4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PTF'!$AG$5:$AG$12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'Palouse PTF'!$AH$4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PTF'!$AH$5:$AH$12</c:f>
              <c:numCache>
                <c:formatCode>General</c:formatCode>
                <c:ptCount val="8"/>
                <c:pt idx="0">
                  <c:v>7.1500000000000008E-2</c:v>
                </c:pt>
                <c:pt idx="1">
                  <c:v>9.4350000000000017E-2</c:v>
                </c:pt>
                <c:pt idx="2">
                  <c:v>0.1172</c:v>
                </c:pt>
                <c:pt idx="3">
                  <c:v>0.14005000000000004</c:v>
                </c:pt>
                <c:pt idx="4">
                  <c:v>0.16290000000000002</c:v>
                </c:pt>
                <c:pt idx="5">
                  <c:v>0.18575</c:v>
                </c:pt>
                <c:pt idx="6">
                  <c:v>0.20860000000000004</c:v>
                </c:pt>
                <c:pt idx="7">
                  <c:v>0.23145000000000002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'Palouse PTF'!$AI$4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PTF'!$AI$5:$AI$12</c:f>
              <c:numCache>
                <c:formatCode>General</c:formatCode>
                <c:ptCount val="8"/>
                <c:pt idx="0">
                  <c:v>0.28259999999999996</c:v>
                </c:pt>
                <c:pt idx="1">
                  <c:v>0.29632000000000003</c:v>
                </c:pt>
                <c:pt idx="2">
                  <c:v>0.31003999999999998</c:v>
                </c:pt>
                <c:pt idx="3">
                  <c:v>0.32375999999999999</c:v>
                </c:pt>
                <c:pt idx="4">
                  <c:v>0.33748</c:v>
                </c:pt>
                <c:pt idx="5">
                  <c:v>0.35119999999999996</c:v>
                </c:pt>
                <c:pt idx="6">
                  <c:v>0.36492000000000002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'Palouse PTF'!$AJ$4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PTF'!$AF$5:$AF$12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PTF'!$AJ$5:$AJ$12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81088"/>
        <c:axId val="376591488"/>
      </c:scatterChart>
      <c:valAx>
        <c:axId val="3758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591488"/>
        <c:crosses val="autoZero"/>
        <c:crossBetween val="midCat"/>
      </c:valAx>
      <c:valAx>
        <c:axId val="37659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881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PTF'!$AD$4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PTF'!$AD$5:$AD$12</c:f>
              <c:numCache>
                <c:formatCode>General</c:formatCode>
                <c:ptCount val="8"/>
                <c:pt idx="0">
                  <c:v>0.17759999999999998</c:v>
                </c:pt>
                <c:pt idx="1">
                  <c:v>0.17243999999999998</c:v>
                </c:pt>
                <c:pt idx="2">
                  <c:v>0.16727999999999993</c:v>
                </c:pt>
                <c:pt idx="3">
                  <c:v>0.16211999999999993</c:v>
                </c:pt>
                <c:pt idx="4">
                  <c:v>0.15695999999999999</c:v>
                </c:pt>
                <c:pt idx="5">
                  <c:v>0.15179999999999999</c:v>
                </c:pt>
                <c:pt idx="6">
                  <c:v>0.10874641509433947</c:v>
                </c:pt>
                <c:pt idx="7">
                  <c:v>4.1680566037735844E-2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'Palouse PTF'!$AJ$4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PTF'!$Z$5:$Z$12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PTF'!$AJ$5:$AJ$12</c:f>
              <c:numCache>
                <c:formatCode>General</c:formatCode>
                <c:ptCount val="8"/>
                <c:pt idx="0">
                  <c:v>0.21109999999999995</c:v>
                </c:pt>
                <c:pt idx="1">
                  <c:v>0.20197000000000001</c:v>
                </c:pt>
                <c:pt idx="2">
                  <c:v>0.19283999999999998</c:v>
                </c:pt>
                <c:pt idx="3">
                  <c:v>0.18370999999999996</c:v>
                </c:pt>
                <c:pt idx="4">
                  <c:v>0.17457999999999999</c:v>
                </c:pt>
                <c:pt idx="5">
                  <c:v>0.16544999999999996</c:v>
                </c:pt>
                <c:pt idx="6">
                  <c:v>0.15631999999999999</c:v>
                </c:pt>
                <c:pt idx="7">
                  <c:v>9.7040566037735837E-2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69312"/>
        <c:axId val="376670848"/>
      </c:scatterChart>
      <c:valAx>
        <c:axId val="3766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670848"/>
        <c:crosses val="autoZero"/>
        <c:crossBetween val="midCat"/>
      </c:valAx>
      <c:valAx>
        <c:axId val="37667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666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'Palouse PTF'!$AW$4:$AW$65</c:f>
              <c:numCache>
                <c:formatCode>General</c:formatCode>
                <c:ptCount val="62"/>
                <c:pt idx="1">
                  <c:v>1.24</c:v>
                </c:pt>
                <c:pt idx="2">
                  <c:v>1.26</c:v>
                </c:pt>
                <c:pt idx="3">
                  <c:v>1.26</c:v>
                </c:pt>
                <c:pt idx="4">
                  <c:v>1.27</c:v>
                </c:pt>
                <c:pt idx="5">
                  <c:v>1.27</c:v>
                </c:pt>
                <c:pt idx="6">
                  <c:v>1.28</c:v>
                </c:pt>
                <c:pt idx="7">
                  <c:v>1.29</c:v>
                </c:pt>
                <c:pt idx="8">
                  <c:v>1.34</c:v>
                </c:pt>
                <c:pt idx="9">
                  <c:v>1.34</c:v>
                </c:pt>
                <c:pt idx="10">
                  <c:v>1.35</c:v>
                </c:pt>
                <c:pt idx="11">
                  <c:v>1.37</c:v>
                </c:pt>
                <c:pt idx="12">
                  <c:v>1.39</c:v>
                </c:pt>
                <c:pt idx="13">
                  <c:v>1.39</c:v>
                </c:pt>
                <c:pt idx="14">
                  <c:v>1.41</c:v>
                </c:pt>
                <c:pt idx="15">
                  <c:v>1.42</c:v>
                </c:pt>
                <c:pt idx="16">
                  <c:v>1.43</c:v>
                </c:pt>
                <c:pt idx="17">
                  <c:v>1.43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1.46</c:v>
                </c:pt>
                <c:pt idx="22">
                  <c:v>1.47</c:v>
                </c:pt>
                <c:pt idx="23">
                  <c:v>1.48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1.54</c:v>
                </c:pt>
                <c:pt idx="32">
                  <c:v>1.54</c:v>
                </c:pt>
                <c:pt idx="33">
                  <c:v>1.58</c:v>
                </c:pt>
                <c:pt idx="34">
                  <c:v>1.59</c:v>
                </c:pt>
              </c:numCache>
            </c:numRef>
          </c:xVal>
          <c:yVal>
            <c:numRef>
              <c:f>'Palouse PTF'!$AX$4:$AX$65</c:f>
              <c:numCache>
                <c:formatCode>General</c:formatCode>
                <c:ptCount val="62"/>
                <c:pt idx="1">
                  <c:v>1.37</c:v>
                </c:pt>
                <c:pt idx="2">
                  <c:v>1.4</c:v>
                </c:pt>
                <c:pt idx="3">
                  <c:v>1.37</c:v>
                </c:pt>
                <c:pt idx="4">
                  <c:v>1.4</c:v>
                </c:pt>
                <c:pt idx="5">
                  <c:v>1.43</c:v>
                </c:pt>
                <c:pt idx="6">
                  <c:v>1.38</c:v>
                </c:pt>
                <c:pt idx="7">
                  <c:v>1.43</c:v>
                </c:pt>
                <c:pt idx="8">
                  <c:v>1.48</c:v>
                </c:pt>
                <c:pt idx="9">
                  <c:v>1.51</c:v>
                </c:pt>
                <c:pt idx="10">
                  <c:v>1.49</c:v>
                </c:pt>
                <c:pt idx="11">
                  <c:v>1.47</c:v>
                </c:pt>
                <c:pt idx="12">
                  <c:v>1.53</c:v>
                </c:pt>
                <c:pt idx="13">
                  <c:v>1.55</c:v>
                </c:pt>
                <c:pt idx="14">
                  <c:v>1.56</c:v>
                </c:pt>
                <c:pt idx="15">
                  <c:v>1.51</c:v>
                </c:pt>
                <c:pt idx="16">
                  <c:v>1.5</c:v>
                </c:pt>
                <c:pt idx="17">
                  <c:v>1.61</c:v>
                </c:pt>
                <c:pt idx="18">
                  <c:v>1.66</c:v>
                </c:pt>
                <c:pt idx="19">
                  <c:v>1.81</c:v>
                </c:pt>
                <c:pt idx="20">
                  <c:v>1.6</c:v>
                </c:pt>
                <c:pt idx="21">
                  <c:v>1.63</c:v>
                </c:pt>
                <c:pt idx="22">
                  <c:v>1.66</c:v>
                </c:pt>
                <c:pt idx="23">
                  <c:v>1.69</c:v>
                </c:pt>
                <c:pt idx="24">
                  <c:v>1.65</c:v>
                </c:pt>
                <c:pt idx="25">
                  <c:v>1.77</c:v>
                </c:pt>
                <c:pt idx="26">
                  <c:v>1.68</c:v>
                </c:pt>
                <c:pt idx="27">
                  <c:v>1.67</c:v>
                </c:pt>
                <c:pt idx="28">
                  <c:v>1.67</c:v>
                </c:pt>
                <c:pt idx="29">
                  <c:v>1.77</c:v>
                </c:pt>
                <c:pt idx="30">
                  <c:v>1.8</c:v>
                </c:pt>
                <c:pt idx="31">
                  <c:v>1.71</c:v>
                </c:pt>
                <c:pt idx="32">
                  <c:v>1.73</c:v>
                </c:pt>
                <c:pt idx="33">
                  <c:v>1.71</c:v>
                </c:pt>
                <c:pt idx="34">
                  <c:v>1.79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97216"/>
        <c:axId val="377103104"/>
      </c:scatterChart>
      <c:valAx>
        <c:axId val="3770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103104"/>
        <c:crosses val="autoZero"/>
        <c:crossBetween val="midCat"/>
      </c:valAx>
      <c:valAx>
        <c:axId val="3771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09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274081364829399"/>
                  <c:y val="-0.27273038786818316"/>
                </c:manualLayout>
              </c:layout>
              <c:numFmt formatCode="General" sourceLinked="0"/>
            </c:trendlineLbl>
          </c:trendline>
          <c:xVal>
            <c:numRef>
              <c:f>'Palouse PTF'!$AW$5:$AW$38</c:f>
              <c:numCache>
                <c:formatCode>General</c:formatCode>
                <c:ptCount val="34"/>
                <c:pt idx="0">
                  <c:v>1.24</c:v>
                </c:pt>
                <c:pt idx="1">
                  <c:v>1.26</c:v>
                </c:pt>
                <c:pt idx="2">
                  <c:v>1.26</c:v>
                </c:pt>
                <c:pt idx="3">
                  <c:v>1.27</c:v>
                </c:pt>
                <c:pt idx="4">
                  <c:v>1.27</c:v>
                </c:pt>
                <c:pt idx="5">
                  <c:v>1.28</c:v>
                </c:pt>
                <c:pt idx="6">
                  <c:v>1.29</c:v>
                </c:pt>
                <c:pt idx="7">
                  <c:v>1.34</c:v>
                </c:pt>
                <c:pt idx="8">
                  <c:v>1.34</c:v>
                </c:pt>
                <c:pt idx="9">
                  <c:v>1.35</c:v>
                </c:pt>
                <c:pt idx="10">
                  <c:v>1.37</c:v>
                </c:pt>
                <c:pt idx="11">
                  <c:v>1.39</c:v>
                </c:pt>
                <c:pt idx="12">
                  <c:v>1.39</c:v>
                </c:pt>
                <c:pt idx="13">
                  <c:v>1.41</c:v>
                </c:pt>
                <c:pt idx="14">
                  <c:v>1.42</c:v>
                </c:pt>
                <c:pt idx="15">
                  <c:v>1.43</c:v>
                </c:pt>
                <c:pt idx="16">
                  <c:v>1.43</c:v>
                </c:pt>
                <c:pt idx="17">
                  <c:v>1.46</c:v>
                </c:pt>
                <c:pt idx="18">
                  <c:v>1.46</c:v>
                </c:pt>
                <c:pt idx="19">
                  <c:v>1.46</c:v>
                </c:pt>
                <c:pt idx="20">
                  <c:v>1.46</c:v>
                </c:pt>
                <c:pt idx="21">
                  <c:v>1.47</c:v>
                </c:pt>
                <c:pt idx="22">
                  <c:v>1.48</c:v>
                </c:pt>
                <c:pt idx="23">
                  <c:v>1.49</c:v>
                </c:pt>
                <c:pt idx="24">
                  <c:v>1.49</c:v>
                </c:pt>
                <c:pt idx="25">
                  <c:v>1.5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1.54</c:v>
                </c:pt>
                <c:pt idx="31">
                  <c:v>1.54</c:v>
                </c:pt>
                <c:pt idx="32">
                  <c:v>1.58</c:v>
                </c:pt>
                <c:pt idx="33">
                  <c:v>1.59</c:v>
                </c:pt>
              </c:numCache>
            </c:numRef>
          </c:xVal>
          <c:yVal>
            <c:numRef>
              <c:f>'Palouse PTF'!$AY$5:$AY$38</c:f>
              <c:numCache>
                <c:formatCode>General</c:formatCode>
                <c:ptCount val="34"/>
                <c:pt idx="0">
                  <c:v>0.13000000000000012</c:v>
                </c:pt>
                <c:pt idx="1">
                  <c:v>0.1399999999999999</c:v>
                </c:pt>
                <c:pt idx="2">
                  <c:v>0.1100000000000001</c:v>
                </c:pt>
                <c:pt idx="3">
                  <c:v>0.12999999999999989</c:v>
                </c:pt>
                <c:pt idx="4">
                  <c:v>0.15999999999999992</c:v>
                </c:pt>
                <c:pt idx="5">
                  <c:v>9.9999999999999867E-2</c:v>
                </c:pt>
                <c:pt idx="6">
                  <c:v>0.1399999999999999</c:v>
                </c:pt>
                <c:pt idx="7">
                  <c:v>0.1399999999999999</c:v>
                </c:pt>
                <c:pt idx="8">
                  <c:v>0.16999999999999993</c:v>
                </c:pt>
                <c:pt idx="9">
                  <c:v>0.1399999999999999</c:v>
                </c:pt>
                <c:pt idx="10">
                  <c:v>9.9999999999999867E-2</c:v>
                </c:pt>
                <c:pt idx="11">
                  <c:v>0.14000000000000012</c:v>
                </c:pt>
                <c:pt idx="12">
                  <c:v>0.16000000000000014</c:v>
                </c:pt>
                <c:pt idx="13">
                  <c:v>0.15000000000000013</c:v>
                </c:pt>
                <c:pt idx="14">
                  <c:v>9.000000000000008E-2</c:v>
                </c:pt>
                <c:pt idx="15">
                  <c:v>7.0000000000000062E-2</c:v>
                </c:pt>
                <c:pt idx="16">
                  <c:v>0.18000000000000016</c:v>
                </c:pt>
                <c:pt idx="17">
                  <c:v>0.19999999999999996</c:v>
                </c:pt>
                <c:pt idx="18">
                  <c:v>0.35000000000000009</c:v>
                </c:pt>
                <c:pt idx="19">
                  <c:v>0.14000000000000012</c:v>
                </c:pt>
                <c:pt idx="20">
                  <c:v>0.16999999999999993</c:v>
                </c:pt>
                <c:pt idx="21">
                  <c:v>0.18999999999999995</c:v>
                </c:pt>
                <c:pt idx="22">
                  <c:v>0.20999999999999996</c:v>
                </c:pt>
                <c:pt idx="23">
                  <c:v>0.15999999999999992</c:v>
                </c:pt>
                <c:pt idx="24">
                  <c:v>0.28000000000000003</c:v>
                </c:pt>
                <c:pt idx="25">
                  <c:v>0.17999999999999994</c:v>
                </c:pt>
                <c:pt idx="26">
                  <c:v>0.15999999999999992</c:v>
                </c:pt>
                <c:pt idx="27">
                  <c:v>0.15999999999999992</c:v>
                </c:pt>
                <c:pt idx="28">
                  <c:v>0.26</c:v>
                </c:pt>
                <c:pt idx="29">
                  <c:v>0.29000000000000004</c:v>
                </c:pt>
                <c:pt idx="30">
                  <c:v>0.16999999999999993</c:v>
                </c:pt>
                <c:pt idx="31">
                  <c:v>0.18999999999999995</c:v>
                </c:pt>
                <c:pt idx="32">
                  <c:v>0.12999999999999989</c:v>
                </c:pt>
                <c:pt idx="33">
                  <c:v>0.19999999999999996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36256"/>
        <c:axId val="377137792"/>
      </c:scatterChart>
      <c:valAx>
        <c:axId val="3771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137792"/>
        <c:crosses val="autoZero"/>
        <c:crossBetween val="midCat"/>
      </c:valAx>
      <c:valAx>
        <c:axId val="3771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136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PTF'!$AN$4</c:f>
              <c:strCache>
                <c:ptCount val="1"/>
                <c:pt idx="0">
                  <c:v>porosity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PTF'!$AN$5:$AN$12</c:f>
              <c:numCache>
                <c:formatCode>General</c:formatCode>
                <c:ptCount val="8"/>
                <c:pt idx="0">
                  <c:v>0.62264150943396224</c:v>
                </c:pt>
                <c:pt idx="1">
                  <c:v>0.58490566037735836</c:v>
                </c:pt>
                <c:pt idx="2">
                  <c:v>0.54716981132075471</c:v>
                </c:pt>
                <c:pt idx="3">
                  <c:v>0.50943396226415083</c:v>
                </c:pt>
                <c:pt idx="4">
                  <c:v>0.47169811320754718</c:v>
                </c:pt>
                <c:pt idx="5">
                  <c:v>0.43396226415094341</c:v>
                </c:pt>
                <c:pt idx="6">
                  <c:v>0.39622641509433953</c:v>
                </c:pt>
                <c:pt idx="7">
                  <c:v>0.35849056603773588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'Palouse PTF'!$AO$4</c:f>
              <c:strCache>
                <c:ptCount val="1"/>
                <c:pt idx="0">
                  <c:v>wp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PTF'!$AO$5:$AO$12</c:f>
              <c:numCache>
                <c:formatCode>General</c:formatCode>
                <c:ptCount val="8"/>
                <c:pt idx="0">
                  <c:v>6.5600000000000019E-2</c:v>
                </c:pt>
                <c:pt idx="1">
                  <c:v>8.9360000000000051E-2</c:v>
                </c:pt>
                <c:pt idx="2">
                  <c:v>0.11312</c:v>
                </c:pt>
                <c:pt idx="3">
                  <c:v>0.13688000000000006</c:v>
                </c:pt>
                <c:pt idx="4">
                  <c:v>0.16064000000000001</c:v>
                </c:pt>
                <c:pt idx="5">
                  <c:v>0.18440000000000001</c:v>
                </c:pt>
                <c:pt idx="6">
                  <c:v>0.20816000000000007</c:v>
                </c:pt>
                <c:pt idx="7">
                  <c:v>0.23192000000000002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'Palouse PTF'!$AP$4</c:f>
              <c:strCache>
                <c:ptCount val="1"/>
                <c:pt idx="0">
                  <c:v>fc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PTF'!$AP$5:$AP$12</c:f>
              <c:numCache>
                <c:formatCode>General</c:formatCode>
                <c:ptCount val="8"/>
                <c:pt idx="0">
                  <c:v>0.25769999999999998</c:v>
                </c:pt>
                <c:pt idx="1">
                  <c:v>0.27507000000000004</c:v>
                </c:pt>
                <c:pt idx="2">
                  <c:v>0.29243999999999998</c:v>
                </c:pt>
                <c:pt idx="3">
                  <c:v>0.30981000000000003</c:v>
                </c:pt>
                <c:pt idx="4">
                  <c:v>0.32717999999999997</c:v>
                </c:pt>
                <c:pt idx="5">
                  <c:v>0.34455000000000002</c:v>
                </c:pt>
                <c:pt idx="6">
                  <c:v>0.36192000000000002</c:v>
                </c:pt>
                <c:pt idx="7">
                  <c:v>0.32849056603773585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'Palouse PTF'!$AQ$4</c:f>
              <c:strCache>
                <c:ptCount val="1"/>
                <c:pt idx="0">
                  <c:v>awc</c:v>
                </c:pt>
              </c:strCache>
            </c:strRef>
          </c:tx>
          <c:xVal>
            <c:numRef>
              <c:f>'Palouse PTF'!$AM$5:$AM$12</c:f>
              <c:numCache>
                <c:formatCode>General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</c:numCache>
            </c:numRef>
          </c:xVal>
          <c:yVal>
            <c:numRef>
              <c:f>'Palouse PTF'!$AQ$5:$AQ$12</c:f>
              <c:numCache>
                <c:formatCode>General</c:formatCode>
                <c:ptCount val="8"/>
                <c:pt idx="0">
                  <c:v>0.19209999999999997</c:v>
                </c:pt>
                <c:pt idx="1">
                  <c:v>0.18570999999999999</c:v>
                </c:pt>
                <c:pt idx="2">
                  <c:v>0.17931999999999998</c:v>
                </c:pt>
                <c:pt idx="3">
                  <c:v>0.17292999999999997</c:v>
                </c:pt>
                <c:pt idx="4">
                  <c:v>0.16653999999999997</c:v>
                </c:pt>
                <c:pt idx="5">
                  <c:v>0.16015000000000001</c:v>
                </c:pt>
                <c:pt idx="6">
                  <c:v>0.15375999999999995</c:v>
                </c:pt>
                <c:pt idx="7">
                  <c:v>9.6570566037735839E-2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69408"/>
        <c:axId val="384370944"/>
      </c:scatterChart>
      <c:valAx>
        <c:axId val="3843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370944"/>
        <c:crosses val="autoZero"/>
        <c:crossBetween val="midCat"/>
      </c:valAx>
      <c:valAx>
        <c:axId val="384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369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'Palouse PTF'!$O$4</c:f>
              <c:strCache>
                <c:ptCount val="1"/>
              </c:strCache>
            </c:strRef>
          </c:tx>
          <c:spPr>
            <a:ln w="19050">
              <a:noFill/>
            </a:ln>
          </c:spPr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579273840769904"/>
                  <c:y val="-0.27727216389617965"/>
                </c:manualLayout>
              </c:layout>
              <c:numFmt formatCode="General" sourceLinked="0"/>
            </c:trendlineLbl>
          </c:trendline>
          <c:xVal>
            <c:numRef>
              <c:f>'Palouse PTF'!$C$5:$C$59</c:f>
              <c:numCache>
                <c:formatCode>General</c:formatCode>
                <c:ptCount val="55"/>
                <c:pt idx="0">
                  <c:v>1.4</c:v>
                </c:pt>
                <c:pt idx="1">
                  <c:v>1.47</c:v>
                </c:pt>
                <c:pt idx="2">
                  <c:v>1.5</c:v>
                </c:pt>
                <c:pt idx="3">
                  <c:v>1.66</c:v>
                </c:pt>
                <c:pt idx="4">
                  <c:v>1.71</c:v>
                </c:pt>
                <c:pt idx="5">
                  <c:v>1.66</c:v>
                </c:pt>
                <c:pt idx="8">
                  <c:v>1.37</c:v>
                </c:pt>
                <c:pt idx="9">
                  <c:v>1.38</c:v>
                </c:pt>
                <c:pt idx="10">
                  <c:v>1.37</c:v>
                </c:pt>
                <c:pt idx="11">
                  <c:v>1.51</c:v>
                </c:pt>
                <c:pt idx="12">
                  <c:v>1.53</c:v>
                </c:pt>
                <c:pt idx="13">
                  <c:v>1.68</c:v>
                </c:pt>
                <c:pt idx="14">
                  <c:v>1.65</c:v>
                </c:pt>
                <c:pt idx="15">
                  <c:v>1.67</c:v>
                </c:pt>
                <c:pt idx="19">
                  <c:v>1.56</c:v>
                </c:pt>
                <c:pt idx="20">
                  <c:v>1.81</c:v>
                </c:pt>
                <c:pt idx="21">
                  <c:v>1.71</c:v>
                </c:pt>
                <c:pt idx="22">
                  <c:v>1.55</c:v>
                </c:pt>
                <c:pt idx="26">
                  <c:v>1.77</c:v>
                </c:pt>
                <c:pt idx="27">
                  <c:v>1.73</c:v>
                </c:pt>
                <c:pt idx="31">
                  <c:v>1.49</c:v>
                </c:pt>
                <c:pt idx="32">
                  <c:v>1.48</c:v>
                </c:pt>
                <c:pt idx="33">
                  <c:v>1.67</c:v>
                </c:pt>
                <c:pt idx="34">
                  <c:v>1.6</c:v>
                </c:pt>
                <c:pt idx="39">
                  <c:v>1.63</c:v>
                </c:pt>
                <c:pt idx="40">
                  <c:v>1.61</c:v>
                </c:pt>
                <c:pt idx="41">
                  <c:v>1.51</c:v>
                </c:pt>
                <c:pt idx="44">
                  <c:v>1.4</c:v>
                </c:pt>
                <c:pt idx="45">
                  <c:v>1.43</c:v>
                </c:pt>
                <c:pt idx="46">
                  <c:v>1.77</c:v>
                </c:pt>
                <c:pt idx="47">
                  <c:v>1.79</c:v>
                </c:pt>
                <c:pt idx="52">
                  <c:v>1.43</c:v>
                </c:pt>
                <c:pt idx="53">
                  <c:v>1.8</c:v>
                </c:pt>
                <c:pt idx="54">
                  <c:v>1.69</c:v>
                </c:pt>
              </c:numCache>
            </c:numRef>
          </c:xVal>
          <c:yVal>
            <c:numRef>
              <c:f>'Palouse PTF'!$O$5:$O$59</c:f>
              <c:numCache>
                <c:formatCode>General</c:formatCode>
                <c:ptCount val="55"/>
                <c:pt idx="0">
                  <c:v>7.9727777777777771</c:v>
                </c:pt>
                <c:pt idx="1">
                  <c:v>2.681111111111111</c:v>
                </c:pt>
                <c:pt idx="2">
                  <c:v>1.27</c:v>
                </c:pt>
                <c:pt idx="3">
                  <c:v>0</c:v>
                </c:pt>
                <c:pt idx="4">
                  <c:v>0.49388888888888893</c:v>
                </c:pt>
                <c:pt idx="5">
                  <c:v>0.84666666666666668</c:v>
                </c:pt>
                <c:pt idx="8">
                  <c:v>5.362222222222222</c:v>
                </c:pt>
                <c:pt idx="9">
                  <c:v>4.0569444444444445</c:v>
                </c:pt>
                <c:pt idx="10">
                  <c:v>8.2550000000000008</c:v>
                </c:pt>
                <c:pt idx="11">
                  <c:v>0.49388888888888893</c:v>
                </c:pt>
                <c:pt idx="12">
                  <c:v>1.0583333333333333</c:v>
                </c:pt>
                <c:pt idx="13">
                  <c:v>0.14111111111111113</c:v>
                </c:pt>
                <c:pt idx="14">
                  <c:v>0</c:v>
                </c:pt>
                <c:pt idx="15">
                  <c:v>0</c:v>
                </c:pt>
                <c:pt idx="19">
                  <c:v>3.6688888888888891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0.56444444444444453</c:v>
                </c:pt>
                <c:pt idx="30">
                  <c:v>0</c:v>
                </c:pt>
                <c:pt idx="31">
                  <c:v>1.1994444444444445</c:v>
                </c:pt>
                <c:pt idx="32">
                  <c:v>3.0338888888888889</c:v>
                </c:pt>
                <c:pt idx="33">
                  <c:v>0.91722222222222227</c:v>
                </c:pt>
                <c:pt idx="34">
                  <c:v>0.63500000000000001</c:v>
                </c:pt>
                <c:pt idx="37">
                  <c:v>0</c:v>
                </c:pt>
                <c:pt idx="38">
                  <c:v>0</c:v>
                </c:pt>
                <c:pt idx="39">
                  <c:v>1.6227777777777781</c:v>
                </c:pt>
                <c:pt idx="40">
                  <c:v>0.84666666666666668</c:v>
                </c:pt>
                <c:pt idx="41">
                  <c:v>1.6227777777777781</c:v>
                </c:pt>
                <c:pt idx="44">
                  <c:v>3.598333333333334</c:v>
                </c:pt>
                <c:pt idx="45">
                  <c:v>3.5277777777777777</c:v>
                </c:pt>
                <c:pt idx="46">
                  <c:v>0.49388888888888893</c:v>
                </c:pt>
                <c:pt idx="47">
                  <c:v>0.28222222222222226</c:v>
                </c:pt>
                <c:pt idx="48">
                  <c:v>0</c:v>
                </c:pt>
                <c:pt idx="51">
                  <c:v>0</c:v>
                </c:pt>
                <c:pt idx="52">
                  <c:v>6.0677777777777777</c:v>
                </c:pt>
                <c:pt idx="53">
                  <c:v>1.1994444444444445</c:v>
                </c:pt>
                <c:pt idx="54">
                  <c:v>1.1994444444444445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04864"/>
        <c:axId val="384410752"/>
      </c:scatterChart>
      <c:valAx>
        <c:axId val="3844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410752"/>
        <c:crosses val="autoZero"/>
        <c:crossBetween val="midCat"/>
      </c:valAx>
      <c:valAx>
        <c:axId val="3844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40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0</xdr:row>
      <xdr:rowOff>38100</xdr:rowOff>
    </xdr:from>
    <xdr:to>
      <xdr:col>25</xdr:col>
      <xdr:colOff>114300</xdr:colOff>
      <xdr:row>19</xdr:row>
      <xdr:rowOff>61913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714375</xdr:colOff>
      <xdr:row>14</xdr:row>
      <xdr:rowOff>100012</xdr:rowOff>
    </xdr:from>
    <xdr:to>
      <xdr:col>19</xdr:col>
      <xdr:colOff>295275</xdr:colOff>
      <xdr:row>31</xdr:row>
      <xdr:rowOff>90487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276225</xdr:colOff>
      <xdr:row>22</xdr:row>
      <xdr:rowOff>23812</xdr:rowOff>
    </xdr:from>
    <xdr:to>
      <xdr:col>29</xdr:col>
      <xdr:colOff>581025</xdr:colOff>
      <xdr:row>39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476250</xdr:colOff>
      <xdr:row>18</xdr:row>
      <xdr:rowOff>109537</xdr:rowOff>
    </xdr:from>
    <xdr:to>
      <xdr:col>38</xdr:col>
      <xdr:colOff>171450</xdr:colOff>
      <xdr:row>35</xdr:row>
      <xdr:rowOff>100012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523875</xdr:colOff>
      <xdr:row>36</xdr:row>
      <xdr:rowOff>14287</xdr:rowOff>
    </xdr:from>
    <xdr:to>
      <xdr:col>38</xdr:col>
      <xdr:colOff>219075</xdr:colOff>
      <xdr:row>53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209550</xdr:colOff>
      <xdr:row>48</xdr:row>
      <xdr:rowOff>80962</xdr:rowOff>
    </xdr:from>
    <xdr:to>
      <xdr:col>51</xdr:col>
      <xdr:colOff>514350</xdr:colOff>
      <xdr:row>65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57150</xdr:colOff>
      <xdr:row>15</xdr:row>
      <xdr:rowOff>61912</xdr:rowOff>
    </xdr:from>
    <xdr:to>
      <xdr:col>50</xdr:col>
      <xdr:colOff>361950</xdr:colOff>
      <xdr:row>32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333375</xdr:colOff>
      <xdr:row>18</xdr:row>
      <xdr:rowOff>157162</xdr:rowOff>
    </xdr:from>
    <xdr:to>
      <xdr:col>46</xdr:col>
      <xdr:colOff>28575</xdr:colOff>
      <xdr:row>35</xdr:row>
      <xdr:rowOff>147637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69</xdr:row>
      <xdr:rowOff>128587</xdr:rowOff>
    </xdr:from>
    <xdr:to>
      <xdr:col>13</xdr:col>
      <xdr:colOff>104775</xdr:colOff>
      <xdr:row>86</xdr:row>
      <xdr:rowOff>119062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129</xdr:col>
      <xdr:colOff>781050</xdr:colOff>
      <xdr:row>24</xdr:row>
      <xdr:rowOff>33337</xdr:rowOff>
    </xdr:from>
    <xdr:to>
      <xdr:col>134</xdr:col>
      <xdr:colOff>685800</xdr:colOff>
      <xdr:row>40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113</xdr:col>
      <xdr:colOff>381000</xdr:colOff>
      <xdr:row>116</xdr:row>
      <xdr:rowOff>147637</xdr:rowOff>
    </xdr:from>
    <xdr:to>
      <xdr:col>117</xdr:col>
      <xdr:colOff>114300</xdr:colOff>
      <xdr:row>133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809625</xdr:colOff>
      <xdr:row>16</xdr:row>
      <xdr:rowOff>52387</xdr:rowOff>
    </xdr:from>
    <xdr:to>
      <xdr:col>10</xdr:col>
      <xdr:colOff>400050</xdr:colOff>
      <xdr:row>33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_site_analysis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C_lookup"/>
      <sheetName val="em_2013"/>
      <sheetName val="soil.depth"/>
      <sheetName val="RapidEye"/>
      <sheetName val="2013_crop_data"/>
      <sheetName val="SOIL PROPERTIES"/>
      <sheetName val="correlations"/>
      <sheetName val="Yields"/>
      <sheetName val="retention_data"/>
    </sheetNames>
    <sheetDataSet>
      <sheetData sheetId="0"/>
      <sheetData sheetId="1"/>
      <sheetData sheetId="2"/>
      <sheetData sheetId="3">
        <row r="29">
          <cell r="K29">
            <v>70</v>
          </cell>
        </row>
      </sheetData>
      <sheetData sheetId="4"/>
      <sheetData sheetId="5">
        <row r="5">
          <cell r="J5">
            <v>8.5189504535219296</v>
          </cell>
          <cell r="L5">
            <v>31.788295260876097</v>
          </cell>
          <cell r="AJ5">
            <v>0.47311084937561143</v>
          </cell>
        </row>
        <row r="6">
          <cell r="J6">
            <v>12.755848226586775</v>
          </cell>
          <cell r="L6">
            <v>30.814754038342301</v>
          </cell>
          <cell r="AJ6">
            <v>0.4273364548663845</v>
          </cell>
        </row>
        <row r="7">
          <cell r="J7">
            <v>8.0475247524752405</v>
          </cell>
          <cell r="L7">
            <v>40.605079638398401</v>
          </cell>
          <cell r="AJ7">
            <v>0.40192049861707524</v>
          </cell>
        </row>
        <row r="8">
          <cell r="J8">
            <v>7.6440360889435901</v>
          </cell>
          <cell r="L8">
            <v>41.713717384464097</v>
          </cell>
          <cell r="AJ8">
            <v>0.37316373525692403</v>
          </cell>
        </row>
        <row r="9">
          <cell r="J9">
            <v>7.1050236590036304</v>
          </cell>
          <cell r="L9">
            <v>39.265577108825603</v>
          </cell>
          <cell r="AJ9">
            <v>0.37076567373240965</v>
          </cell>
        </row>
        <row r="10">
          <cell r="J10">
            <v>8.2062055332568491</v>
          </cell>
          <cell r="L10">
            <v>31.768207814765002</v>
          </cell>
          <cell r="AJ10">
            <v>0.5213062779591382</v>
          </cell>
        </row>
        <row r="11">
          <cell r="J11">
            <v>8.1799339622963991</v>
          </cell>
          <cell r="L11">
            <v>29.743258793360798</v>
          </cell>
          <cell r="AJ11">
            <v>0.45041965010980944</v>
          </cell>
        </row>
        <row r="12">
          <cell r="J12">
            <v>8.8572372476693797</v>
          </cell>
          <cell r="L12">
            <v>29.9397506241197</v>
          </cell>
          <cell r="AJ12">
            <v>0.41093619458520858</v>
          </cell>
        </row>
        <row r="13">
          <cell r="J13">
            <v>8.0214029398830107</v>
          </cell>
          <cell r="L13">
            <v>35.1144500055387</v>
          </cell>
          <cell r="AJ13">
            <v>0.36439466263304054</v>
          </cell>
        </row>
        <row r="14">
          <cell r="J14">
            <v>8.7621672958174806</v>
          </cell>
          <cell r="L14">
            <v>36.825720094766702</v>
          </cell>
          <cell r="AJ14">
            <v>0.35538059934212185</v>
          </cell>
        </row>
        <row r="15">
          <cell r="J15">
            <v>15.543499840865465</v>
          </cell>
          <cell r="L15">
            <v>32.16536218124407</v>
          </cell>
          <cell r="AJ15">
            <v>0.43282443178462171</v>
          </cell>
        </row>
        <row r="16">
          <cell r="J16">
            <v>9.8232649876897007</v>
          </cell>
          <cell r="L16">
            <v>32.728568388985401</v>
          </cell>
          <cell r="AJ16">
            <v>0.40655940011610836</v>
          </cell>
        </row>
        <row r="17">
          <cell r="J17">
            <v>11.1554924455255</v>
          </cell>
          <cell r="L17">
            <v>42.908123827329199</v>
          </cell>
          <cell r="AJ17">
            <v>0.34749836528577815</v>
          </cell>
        </row>
        <row r="18">
          <cell r="J18">
            <v>10.8194741086403</v>
          </cell>
          <cell r="L18">
            <v>42.111460895560398</v>
          </cell>
          <cell r="AJ18">
            <v>0.34400572321732903</v>
          </cell>
        </row>
        <row r="19">
          <cell r="J19">
            <v>11.9775802372949</v>
          </cell>
          <cell r="L19">
            <v>40.5030006078455</v>
          </cell>
          <cell r="AJ19">
            <v>0.35525980733698559</v>
          </cell>
        </row>
        <row r="20">
          <cell r="J20">
            <v>8.6890606275594191</v>
          </cell>
          <cell r="L20">
            <v>27.209838244294332</v>
          </cell>
          <cell r="AJ20">
            <v>0.47549950669952934</v>
          </cell>
        </row>
        <row r="21">
          <cell r="J21">
            <v>12.335870517688599</v>
          </cell>
          <cell r="L21">
            <v>27.0809779900679</v>
          </cell>
          <cell r="AJ21">
            <v>0.48168138382753201</v>
          </cell>
        </row>
        <row r="22">
          <cell r="J22">
            <v>9.9704858349682404</v>
          </cell>
          <cell r="L22">
            <v>37.752328437870602</v>
          </cell>
          <cell r="AJ22">
            <v>0.45318021041673706</v>
          </cell>
        </row>
        <row r="23">
          <cell r="J23">
            <v>6.6260371118339902</v>
          </cell>
          <cell r="L23">
            <v>43.513679294350098</v>
          </cell>
          <cell r="AJ23">
            <v>0.41635811312170867</v>
          </cell>
        </row>
        <row r="24">
          <cell r="J24">
            <v>9.3138423335122802</v>
          </cell>
          <cell r="L24">
            <v>33.871007908582698</v>
          </cell>
          <cell r="AJ24">
            <v>0.37848089710662591</v>
          </cell>
        </row>
        <row r="25">
          <cell r="J25">
            <v>7.8170422435055329</v>
          </cell>
          <cell r="L25">
            <v>31.874455558437663</v>
          </cell>
          <cell r="AJ25">
            <v>0.51750129602975625</v>
          </cell>
        </row>
        <row r="26">
          <cell r="J26">
            <v>11.0433746277831</v>
          </cell>
          <cell r="L26">
            <v>26.516944233602903</v>
          </cell>
          <cell r="AJ26">
            <v>0.54164797068455484</v>
          </cell>
        </row>
        <row r="27">
          <cell r="J27">
            <v>8.7723872636828801</v>
          </cell>
          <cell r="L27">
            <v>39.418176646472901</v>
          </cell>
          <cell r="AJ27">
            <v>0.39688587285231025</v>
          </cell>
        </row>
        <row r="28">
          <cell r="J28">
            <v>9.7988106467066007</v>
          </cell>
          <cell r="L28">
            <v>31.139216541408899</v>
          </cell>
          <cell r="AJ28">
            <v>0.35495268938205271</v>
          </cell>
        </row>
        <row r="29">
          <cell r="J29">
            <v>9.3722089073571908</v>
          </cell>
          <cell r="L29">
            <v>42.832215459419501</v>
          </cell>
          <cell r="AJ29">
            <v>0.33568352970479254</v>
          </cell>
        </row>
        <row r="30">
          <cell r="J30">
            <v>8.4303476742636043</v>
          </cell>
          <cell r="L30">
            <v>32.182586590836699</v>
          </cell>
          <cell r="AJ30">
            <v>0.50436946154934592</v>
          </cell>
        </row>
        <row r="31">
          <cell r="J31">
            <v>10.980682950722599</v>
          </cell>
          <cell r="L31">
            <v>24.731197425754399</v>
          </cell>
          <cell r="AJ31">
            <v>0.39488988873149378</v>
          </cell>
        </row>
        <row r="32">
          <cell r="J32">
            <v>8.8649979311759406</v>
          </cell>
          <cell r="L32">
            <v>37.206496455184102</v>
          </cell>
          <cell r="AJ32">
            <v>0.35334268920669987</v>
          </cell>
        </row>
        <row r="33">
          <cell r="J33">
            <v>8.0142390820683893</v>
          </cell>
          <cell r="L33">
            <v>38.249530402410898</v>
          </cell>
          <cell r="AJ33">
            <v>0.34227623317171785</v>
          </cell>
        </row>
        <row r="34">
          <cell r="J34">
            <v>9.6410499628600093</v>
          </cell>
          <cell r="L34">
            <v>38.816333220576702</v>
          </cell>
          <cell r="AJ34">
            <v>0.30484184019312999</v>
          </cell>
        </row>
        <row r="35">
          <cell r="J35">
            <v>9.949091122504317</v>
          </cell>
          <cell r="L35">
            <v>30.498143328960463</v>
          </cell>
          <cell r="AJ35">
            <v>0.41742324103906581</v>
          </cell>
        </row>
        <row r="36">
          <cell r="J36">
            <v>7.7829360981037796</v>
          </cell>
          <cell r="L36">
            <v>49.702700263709403</v>
          </cell>
          <cell r="AJ36">
            <v>0.3847730236558552</v>
          </cell>
        </row>
        <row r="37">
          <cell r="J37">
            <v>10.338272617300801</v>
          </cell>
          <cell r="L37">
            <v>39.308816503284397</v>
          </cell>
          <cell r="AJ37">
            <v>0.39204972180396325</v>
          </cell>
        </row>
        <row r="38">
          <cell r="J38">
            <v>26.401428067278097</v>
          </cell>
          <cell r="L38">
            <v>31.078622504394897</v>
          </cell>
          <cell r="AJ38" t="str">
            <v/>
          </cell>
        </row>
        <row r="39">
          <cell r="AJ39" t="str">
            <v/>
          </cell>
        </row>
        <row r="40">
          <cell r="J40">
            <v>11.822743575097975</v>
          </cell>
          <cell r="L40">
            <v>30.010352220696333</v>
          </cell>
          <cell r="AJ40">
            <v>0.46321468417819556</v>
          </cell>
        </row>
        <row r="41">
          <cell r="J41">
            <v>12.3577396339938</v>
          </cell>
          <cell r="L41">
            <v>27.581670763577197</v>
          </cell>
          <cell r="AJ41">
            <v>0.49895437217186855</v>
          </cell>
        </row>
        <row r="42">
          <cell r="J42">
            <v>6.69548404077619</v>
          </cell>
          <cell r="L42">
            <v>44.645671151244002</v>
          </cell>
          <cell r="AJ42">
            <v>0.40936211670255895</v>
          </cell>
        </row>
        <row r="43">
          <cell r="J43">
            <v>8.0721881693911399</v>
          </cell>
          <cell r="L43">
            <v>40.42889320442</v>
          </cell>
          <cell r="AJ43">
            <v>0.39163374420602892</v>
          </cell>
        </row>
        <row r="44">
          <cell r="J44">
            <v>7.67819308009694</v>
          </cell>
          <cell r="L44">
            <v>46.060710508264698</v>
          </cell>
          <cell r="AJ44">
            <v>0.37359806484546509</v>
          </cell>
        </row>
        <row r="45">
          <cell r="J45">
            <v>9.7227805125582574</v>
          </cell>
          <cell r="L45">
            <v>35.068569136598207</v>
          </cell>
          <cell r="AJ45">
            <v>0.47347217890912485</v>
          </cell>
        </row>
        <row r="46">
          <cell r="J46">
            <v>7.0589209728017703</v>
          </cell>
          <cell r="L46">
            <v>36.7913556344716</v>
          </cell>
          <cell r="AJ46">
            <v>0.38900124793567936</v>
          </cell>
        </row>
        <row r="47">
          <cell r="J47">
            <v>5.6099195486992102</v>
          </cell>
          <cell r="L47">
            <v>37.777436960920802</v>
          </cell>
          <cell r="AJ47">
            <v>0.39548857830863304</v>
          </cell>
        </row>
        <row r="48">
          <cell r="J48">
            <v>5.3221694189129796</v>
          </cell>
          <cell r="L48">
            <v>52.577389031657297</v>
          </cell>
          <cell r="AJ48">
            <v>0.40948958508549949</v>
          </cell>
        </row>
        <row r="49">
          <cell r="J49">
            <v>6.5390364062877904</v>
          </cell>
          <cell r="L49">
            <v>42.663075859767801</v>
          </cell>
          <cell r="AJ49">
            <v>0.39481222428309493</v>
          </cell>
        </row>
        <row r="50">
          <cell r="J50">
            <v>8.3388330574289657</v>
          </cell>
          <cell r="L50">
            <v>36.496135248066693</v>
          </cell>
          <cell r="AJ50">
            <v>0.47735064143654216</v>
          </cell>
        </row>
        <row r="51">
          <cell r="J51">
            <v>7.4315159505624697</v>
          </cell>
          <cell r="L51">
            <v>36.069358974802498</v>
          </cell>
          <cell r="AJ51">
            <v>0.42107284998540462</v>
          </cell>
        </row>
        <row r="52">
          <cell r="J52">
            <v>7.9428411734799198</v>
          </cell>
          <cell r="L52">
            <v>40.743509193695402</v>
          </cell>
          <cell r="AJ52">
            <v>0.41351845352803562</v>
          </cell>
        </row>
        <row r="53">
          <cell r="J53">
            <v>5.8368849217750096</v>
          </cell>
          <cell r="L53">
            <v>46.575773040824998</v>
          </cell>
          <cell r="AJ53">
            <v>0.39235222996883989</v>
          </cell>
        </row>
        <row r="54">
          <cell r="J54">
            <v>8.4431291376567703</v>
          </cell>
          <cell r="L54">
            <v>40.408163265305902</v>
          </cell>
          <cell r="AJ54">
            <v>0.38440767336483606</v>
          </cell>
        </row>
        <row r="55">
          <cell r="J55">
            <v>7.7620460865632763</v>
          </cell>
          <cell r="L55">
            <v>33.712285247486335</v>
          </cell>
          <cell r="AJ55">
            <v>0.4904630502517876</v>
          </cell>
        </row>
        <row r="56">
          <cell r="J56">
            <v>9.5832409287092197</v>
          </cell>
          <cell r="L56">
            <v>31.084460669749404</v>
          </cell>
          <cell r="AJ56">
            <v>0.41330217662097446</v>
          </cell>
        </row>
        <row r="57">
          <cell r="J57">
            <v>6.2786976368137699</v>
          </cell>
          <cell r="L57">
            <v>37.6987990365336</v>
          </cell>
          <cell r="AJ57">
            <v>0.3595624826467797</v>
          </cell>
        </row>
        <row r="58">
          <cell r="J58">
            <v>6.6191174734853888</v>
          </cell>
          <cell r="L58">
            <v>43.538536766316703</v>
          </cell>
          <cell r="AJ58">
            <v>0.38504634311374575</v>
          </cell>
        </row>
        <row r="59">
          <cell r="J59">
            <v>8.2347269553652893</v>
          </cell>
          <cell r="L59">
            <v>39.4337960269308</v>
          </cell>
          <cell r="AJ59">
            <v>0.36084261177608001</v>
          </cell>
        </row>
        <row r="60">
          <cell r="J60">
            <v>9.055450367661626</v>
          </cell>
          <cell r="L60">
            <v>33.266038167739133</v>
          </cell>
          <cell r="AJ60">
            <v>0.46376431052573053</v>
          </cell>
        </row>
        <row r="61">
          <cell r="J61">
            <v>8.4596730401464093</v>
          </cell>
          <cell r="L61">
            <v>32.044021869276101</v>
          </cell>
          <cell r="AJ61">
            <v>0.41797631129727164</v>
          </cell>
        </row>
        <row r="62">
          <cell r="J62">
            <v>9.6648491199403992</v>
          </cell>
          <cell r="L62">
            <v>44.653748468110003</v>
          </cell>
          <cell r="AJ62">
            <v>0.3987688482793218</v>
          </cell>
        </row>
        <row r="63">
          <cell r="J63">
            <v>6.6669602658654288</v>
          </cell>
          <cell r="L63">
            <v>44.1100048443868</v>
          </cell>
          <cell r="AJ63">
            <v>0.38705467544179228</v>
          </cell>
        </row>
        <row r="64">
          <cell r="J64">
            <v>6.6880989053019491</v>
          </cell>
          <cell r="L64">
            <v>44.693108949510503</v>
          </cell>
          <cell r="AJ64">
            <v>0.3947549936831225</v>
          </cell>
        </row>
      </sheetData>
      <sheetData sheetId="6"/>
      <sheetData sheetId="7"/>
      <sheetData sheetId="8">
        <row r="4">
          <cell r="B4">
            <v>0.2989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rek, Matthew" refreshedDate="42142.694991666664" createdVersion="4" refreshedVersion="4" minRefreshableVersion="3" recordCount="180">
  <cacheSource type="worksheet">
    <worksheetSource ref="B2:F182" sheet="2013_crop_data"/>
  </cacheSource>
  <cacheFields count="5">
    <cacheField name="Date" numFmtId="14">
      <sharedItems containsSemiMixedTypes="0" containsNonDate="0" containsDate="1" containsString="0" minDate="2013-04-17T00:00:00" maxDate="2013-07-24T00:00:00" count="15">
        <d v="2013-04-17T00:00:00"/>
        <d v="2013-04-24T00:00:00"/>
        <d v="2013-05-01T00:00:00"/>
        <d v="2013-05-10T00:00:00"/>
        <d v="2013-05-16T00:00:00"/>
        <d v="2013-05-23T00:00:00"/>
        <d v="2013-05-29T00:00:00"/>
        <d v="2013-06-05T00:00:00"/>
        <d v="2013-06-13T00:00:00"/>
        <d v="2013-06-22T00:00:00"/>
        <d v="2013-06-26T00:00:00"/>
        <d v="2013-07-01T00:00:00"/>
        <d v="2013-07-08T00:00:00"/>
        <d v="2013-07-15T00:00:00"/>
        <d v="2013-07-23T00:00:00"/>
      </sharedItems>
    </cacheField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PAD  " numFmtId="0">
      <sharedItems containsSemiMixedTypes="0" containsString="0" containsNumber="1" minValue="4.3" maxValue="54"/>
    </cacheField>
    <cacheField name="LAI" numFmtId="0">
      <sharedItems containsSemiMixedTypes="0" containsString="0" containsNumber="1" minValue="0.72" maxValue="4.71"/>
    </cacheField>
    <cacheField name="Height" numFmtId="0">
      <sharedItems containsSemiMixedTypes="0" containsString="0" containsNumber="1" minValue="22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our3353" refreshedDate="42402.659513541665" createdVersion="5" refreshedVersion="5" minRefreshableVersion="3" recordCount="426">
  <cacheSource type="worksheet">
    <worksheetSource ref="A1:F427" sheet="em_2013"/>
  </cacheSource>
  <cacheFields count="6">
    <cacheField name="Grower" numFmtId="0">
      <sharedItems count="4">
        <s v="Aes"/>
        <s v="J"/>
        <s v="OD"/>
        <s v="W"/>
      </sharedItems>
    </cacheField>
    <cacheField name="Season" numFmtId="0">
      <sharedItems count="3">
        <s v="Spring"/>
        <s v="Fall"/>
        <s v="Delta"/>
      </sharedItems>
    </cacheField>
    <cacheField name="Site" numFmtId="0">
      <sharedItems containsSemiMixedTypes="0" containsString="0" containsNumber="1" containsInteger="1" minValue="1" maxValue="36" count="3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Eca" numFmtId="0">
      <sharedItems containsSemiMixedTypes="0" containsString="0" containsNumber="1" minValue="0" maxValue="63.144799999999996"/>
    </cacheField>
    <cacheField name="E" numFmtId="0">
      <sharedItems containsSemiMixedTypes="0" containsString="0" containsNumber="1" minValue="466123.66" maxValue="5151171.67"/>
    </cacheField>
    <cacheField name="N" numFmtId="0">
      <sharedItems containsSemiMixedTypes="0" containsString="0" containsNumber="1" minValue="0" maxValue="63144608.64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our3353" refreshedDate="42402.661495023145" createdVersion="5" refreshedVersion="5" minRefreshableVersion="3" recordCount="60">
  <cacheSource type="worksheet">
    <worksheetSource ref="H4:BZ64" sheet="SOIL PROPERTIES"/>
  </cacheSource>
  <cacheFields count="71">
    <cacheField name="Si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epth (ft.)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and" numFmtId="0">
      <sharedItems containsString="0" containsBlank="1" containsNumber="1" minValue="5.3221694189129796" maxValue="26.401428067278097"/>
    </cacheField>
    <cacheField name="silt" numFmtId="0">
      <sharedItems containsString="0" containsBlank="1" containsNumber="1" minValue="42.100441549429704" maxValue="64.288119623523002"/>
    </cacheField>
    <cacheField name="clay" numFmtId="0">
      <sharedItems containsString="0" containsBlank="1" containsNumber="1" minValue="24.731197425754399" maxValue="52.577389031657297"/>
    </cacheField>
    <cacheField name="TN-2012" numFmtId="0">
      <sharedItems containsString="0" containsBlank="1" containsNumber="1" minValue="2.7470000000000001E-2" maxValue="0.14990000000000001"/>
    </cacheField>
    <cacheField name="TC-2012" numFmtId="0">
      <sharedItems containsString="0" containsBlank="1" containsNumber="1" minValue="0.22012999999999999" maxValue="2.0589"/>
    </cacheField>
    <cacheField name="TN-2011" numFmtId="0">
      <sharedItems containsString="0" containsBlank="1" containsNumber="1" minValue="2.5860000000000001E-2" maxValue="0.15840666666666667"/>
    </cacheField>
    <cacheField name="TC-2011" numFmtId="0">
      <sharedItems containsString="0" containsBlank="1" containsNumber="1" minValue="0.23608999999999999" maxValue="2.1579999999999999"/>
    </cacheField>
    <cacheField name="ΔTN" numFmtId="0">
      <sharedItems containsMixedTypes="1" containsNumber="1" minValue="-8.4330000000000002E-2" maxValue="3.2869999999999996E-2"/>
    </cacheField>
    <cacheField name="ΔTC" numFmtId="0">
      <sharedItems containsMixedTypes="1" containsNumber="1" minValue="-1.45974" maxValue="0.53712666666666675"/>
    </cacheField>
    <cacheField name="BD_2012" numFmtId="0">
      <sharedItems containsString="0" containsBlank="1" containsNumber="1" minValue="1.0764608679539625" maxValue="1.9510974520297701"/>
    </cacheField>
    <cacheField name="BD_2013" numFmtId="0">
      <sharedItems containsString="0" containsBlank="1" containsNumber="1" minValue="1.209532218518677" maxValue="1.7665183046393165"/>
    </cacheField>
    <cacheField name="BD_2014" numFmtId="0">
      <sharedItems containsString="0" containsBlank="1" containsNumber="1" minValue="1.2670392698602519" maxValue="1.8852731783788297"/>
    </cacheField>
    <cacheField name="%error" numFmtId="0">
      <sharedItems containsMixedTypes="1" containsNumber="1" minValue="-0.31614434951390991" maxValue="0.18142478579749102"/>
    </cacheField>
    <cacheField name="%error2" numFmtId="0">
      <sharedItems containsMixedTypes="1" containsNumber="1" minValue="-0.22122035320348801" maxValue="0.1351515312483258"/>
    </cacheField>
    <cacheField name="%error3" numFmtId="0">
      <sharedItems containsMixedTypes="1" containsNumber="1" minValue="-0.29171198878831339" maxValue="0.14467382902572418"/>
    </cacheField>
    <cacheField name="Average Giddings" numFmtId="0">
      <sharedItems containsString="0" containsBlank="1" containsNumber="1" minValue="1.2146328776859296" maxValue="1.8421691234882054"/>
    </cacheField>
    <cacheField name="Hand_BD" numFmtId="0">
      <sharedItems containsBlank="1" containsMixedTypes="1" containsNumber="1" minValue="0.9843475340279646" maxValue="1.5547816917509649"/>
    </cacheField>
    <cacheField name="Fall-GWC" numFmtId="0">
      <sharedItems containsString="0" containsBlank="1" containsNumber="1" minValue="7.3117450526856809E-2" maxValue="0.23673019373129631"/>
    </cacheField>
    <cacheField name="Spring-GWC" numFmtId="0">
      <sharedItems containsString="0" containsBlank="1" containsNumber="1" minValue="0.21148148148148152" maxValue="0.33594089526292897"/>
    </cacheField>
    <cacheField name="Fall-VWC" numFmtId="0">
      <sharedItems containsMixedTypes="1" containsNumber="1" minValue="8.8810859342494677E-2" maxValue="0.38121128289554657"/>
    </cacheField>
    <cacheField name="Spring-VWC" numFmtId="0">
      <sharedItems containsMixedTypes="1" containsNumber="1" minValue="0.30031834754545056" maxValue="0.51958332167572152"/>
    </cacheField>
    <cacheField name="Δθv" numFmtId="0">
      <sharedItems containsMixedTypes="1" containsNumber="1" minValue="2.8838276275534369E-2" maxValue="0.34671803796509976"/>
    </cacheField>
    <cacheField name="Fall-IN" numFmtId="0">
      <sharedItems containsString="0" containsBlank="1" containsNumber="1" minValue="0.52008399096167568" maxValue="40.4544595074752"/>
    </cacheField>
    <cacheField name="Spring-IN" numFmtId="0">
      <sharedItems containsString="0" containsBlank="1" containsNumber="1" minValue="19.939030008849183" maxValue="84.114369213217543"/>
    </cacheField>
    <cacheField name="ΔIN" numFmtId="0">
      <sharedItems containsMixedTypes="1" containsNumber="1" minValue="15.646729562978955" maxValue="73.154649322003095"/>
    </cacheField>
    <cacheField name="Δθg" numFmtId="0">
      <sharedItems containsMixedTypes="1" containsNumber="1" minValue="1.8001923562360772E-2" maxValue="0.23926894737705168"/>
    </cacheField>
    <cacheField name="porosity" numFmtId="0">
      <sharedItems containsMixedTypes="1" containsNumber="1" minValue="0.30484184019312999" maxValue="0.54164797068455484"/>
    </cacheField>
    <cacheField name="porosity_new" numFmtId="0">
      <sharedItems containsMixedTypes="1" containsNumber="1" minValue="0.41328992764114525" maxValue="0.62854810036680586"/>
    </cacheField>
    <cacheField name="field_cap" numFmtId="0">
      <sharedItems containsMixedTypes="1" containsNumber="1" minValue="0.30562566165773719" maxValue="0.39702395927997824"/>
    </cacheField>
    <cacheField name="fc_new" numFmtId="0">
      <sharedItems containsMixedTypes="1" containsNumber="1" minValue="0.32643224465841714" maxValue="0.42746105064225715"/>
    </cacheField>
    <cacheField name="wilt_pt" numFmtId="0">
      <sharedItems containsMixedTypes="1" containsNumber="1" minValue="0.16399971170291863" maxValue="0.30639581716616926"/>
    </cacheField>
    <cacheField name="wp_new" numFmtId="0">
      <sharedItems containsMixedTypes="1" containsNumber="1" minValue="0.16405904932049498" maxValue="0.26834975749900747"/>
    </cacheField>
    <cacheField name="AWC" numFmtId="0">
      <sharedItems containsString="0" containsBlank="1" containsNumber="1" minValue="7.6886401791187525E-2" maxValue="0.16907590506820031"/>
    </cacheField>
    <cacheField name="awc_new" numFmtId="0">
      <sharedItems containsMixedTypes="1" containsNumber="1" minValue="0.12976543227022208" maxValue="0.18101164502878991"/>
    </cacheField>
    <cacheField name="θdp" numFmtId="0">
      <sharedItems containsMixedTypes="1" containsNumber="1" minValue="-7.8382146460720392E-4" maxValue="0.2018127879709688"/>
    </cacheField>
    <cacheField name="hb" numFmtId="0">
      <sharedItems containsMixedTypes="1" containsNumber="1" minValue="44.502421354194539" maxValue="340.79527819260056"/>
    </cacheField>
    <cacheField name="hb.new" numFmtId="0">
      <sharedItems containsMixedTypes="1" containsNumber="1" minValue="32.752013974266539" maxValue="137.63078095004346"/>
    </cacheField>
    <cacheField name="λ" numFmtId="165">
      <sharedItems containsMixedTypes="1" containsNumber="1" minValue="8.739895338628062E-2" maxValue="0.29527640646388326"/>
    </cacheField>
    <cacheField name="λ.new" numFmtId="165">
      <sharedItems containsMixedTypes="1" containsNumber="1" minValue="0.15585183209820949" maxValue="0.30116797161663678"/>
    </cacheField>
    <cacheField name="1/λ" numFmtId="165">
      <sharedItems containsString="0" containsBlank="1" containsNumber="1" minValue="3.3866573085727221" maxValue="11.44178461245709"/>
    </cacheField>
    <cacheField name="ϴr" numFmtId="165">
      <sharedItems containsMixedTypes="1" containsNumber="1" minValue="7.0288090348445714E-2" maxValue="0.10136007028817427"/>
    </cacheField>
    <cacheField name="ϴr.new" numFmtId="165">
      <sharedItems containsMixedTypes="1" containsNumber="1" minValue="8.3455659712477814E-2" maxValue="0.11636225347248375"/>
    </cacheField>
    <cacheField name="Ks(cm/hr)" numFmtId="165">
      <sharedItems containsString="0" containsBlank="1" containsNumber="1" minValue="1.2607513411828344E-4" maxValue="0.26409871493254294"/>
    </cacheField>
    <cacheField name="Ks (μm/s)" numFmtId="165">
      <sharedItems containsString="0" containsBlank="1" containsNumber="1" minValue="3.5020870588412065E-4" maxValue="0.73360754147928597"/>
    </cacheField>
    <cacheField name="wp.Rawls" numFmtId="0">
      <sharedItems containsString="0" containsBlank="1" containsNumber="1" minValue="0.16" maxValue="0.3"/>
    </cacheField>
    <cacheField name="fc.Rawls" numFmtId="0">
      <sharedItems containsString="0" containsBlank="1" containsNumber="1" minValue="0.34" maxValue="0.45"/>
    </cacheField>
    <cacheField name="awc.Rawls" numFmtId="0">
      <sharedItems containsString="0" containsBlank="1" containsNumber="1" minValue="0.14999999999999997" maxValue="0.2"/>
    </cacheField>
    <cacheField name="A" numFmtId="0">
      <sharedItems containsString="0" containsBlank="1" containsNumber="1" minValue="2.65758698679124E-2" maxValue="0.17451775249753743"/>
    </cacheField>
    <cacheField name="B" numFmtId="0">
      <sharedItems containsString="0" containsBlank="1" containsNumber="1" minValue="-9.3288141999991741" maxValue="-4.6017152932295593"/>
    </cacheField>
    <cacheField name="wp.Saxton" numFmtId="0">
      <sharedItems containsString="0" containsBlank="1" containsNumber="1" minValue="0.14000000000000001" maxValue="0.31"/>
    </cacheField>
    <cacheField name="fc.Saxton" numFmtId="0">
      <sharedItems containsString="0" containsBlank="1" containsNumber="1" minValue="0.32" maxValue="0.47"/>
    </cacheField>
    <cacheField name="AWC.Saxton" numFmtId="0">
      <sharedItems containsString="0" containsBlank="1" containsNumber="1" minValue="0.15999999999999998" maxValue="0.18000000000000002"/>
    </cacheField>
    <cacheField name="theta_drain" numFmtId="0">
      <sharedItems containsMixedTypes="1" containsNumber="1" minValue="1.5540418395998401E-3" maxValue="0.24629317770248738"/>
    </cacheField>
    <cacheField name="wp.SS" numFmtId="0">
      <sharedItems containsMixedTypes="1" containsNumber="1" minValue="0.1165967717381769" maxValue="0.2656993837407976"/>
    </cacheField>
    <cacheField name="fc.SS" numFmtId="0">
      <sharedItems containsMixedTypes="1" containsNumber="1" minValue="0.27484184019312996" maxValue="0.3625973026326903"/>
    </cacheField>
    <cacheField name="awc.ss" numFmtId="0">
      <sharedItems containsString="0" containsBlank="1" containsNumber="1" minValue="9.1424564523323593E-3" maxValue="0.1783849591158691"/>
    </cacheField>
    <cacheField name="wp.SS_new" numFmtId="0">
      <sharedItems containsMixedTypes="1" containsNumber="1" minValue="6.1880974085044421E-2" maxValue="0.19741612996002927"/>
    </cacheField>
    <cacheField name="fc.SS_new" numFmtId="0">
      <sharedItems containsMixedTypes="1" containsNumber="1" minValue="0.25498116666065745" maxValue="0.3540655798571426"/>
    </cacheField>
    <cacheField name="awc.SS_new" numFmtId="0">
      <sharedItems containsMixedTypes="1" containsNumber="1" minValue="0.15664944989711332" maxValue="0.19310019257561303"/>
    </cacheField>
    <cacheField name="depth_obs." numFmtId="0">
      <sharedItems containsSemiMixedTypes="0" containsString="0" containsNumber="1" containsInteger="1" minValue="33" maxValue="85"/>
    </cacheField>
    <cacheField name="soil.depth (avg)" numFmtId="0">
      <sharedItems containsSemiMixedTypes="0" containsString="0" containsNumber="1" containsInteger="1" minValue="3" maxValue="5"/>
    </cacheField>
    <cacheField name="Depth to Argillic (cm)" numFmtId="0">
      <sharedItems containsSemiMixedTypes="0" containsString="0" containsNumber="1" containsInteger="1" minValue="91" maxValue="152"/>
    </cacheField>
    <cacheField name="soil.depth (clay+BD)" numFmtId="0">
      <sharedItems containsSemiMixedTypes="0" containsString="0" containsNumber="1" containsInteger="1" minValue="2" maxValue="5"/>
    </cacheField>
    <cacheField name="soil.depth (cm)" numFmtId="0">
      <sharedItems containsSemiMixedTypes="0" containsString="0" containsNumber="1" containsInteger="1" minValue="61" maxValue="152"/>
    </cacheField>
    <cacheField name="taw.Brackensiek.avg" numFmtId="0">
      <sharedItems containsSemiMixedTypes="0" containsString="0" containsNumber="1" minValue="10.694791914526117" maxValue="21.998541308996138"/>
    </cacheField>
    <cacheField name="taw.ss.avg" numFmtId="0">
      <sharedItems containsSemiMixedTypes="0" containsString="0" containsNumber="1" minValue="11.955103681103175" maxValue="23.868107261148584"/>
    </cacheField>
    <cacheField name="taw.Brackensiek.obs" numFmtId="0">
      <sharedItems containsSemiMixedTypes="0" containsString="0" containsNumber="1" minValue="7.0792964204631774" maxValue="21.998541308996138"/>
    </cacheField>
    <cacheField name="taw.ss.obs" numFmtId="0">
      <sharedItems containsSemiMixedTypes="0" containsString="0" containsNumber="1" minValue="9.0509016811522791" maxValue="23.868107261148584"/>
    </cacheField>
    <cacheField name="taw.Brack.cores" numFmtId="0">
      <sharedItems containsSemiMixedTypes="0" containsString="0" containsNumber="1" minValue="3.8297833094308991" maxValue="12.979329025891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x v="0"/>
    <x v="0"/>
    <n v="50.1"/>
    <n v="1.05"/>
    <n v="25"/>
  </r>
  <r>
    <x v="0"/>
    <x v="1"/>
    <n v="47.3"/>
    <n v="0.73"/>
    <n v="22"/>
  </r>
  <r>
    <x v="0"/>
    <x v="2"/>
    <n v="48"/>
    <n v="0.72"/>
    <n v="23"/>
  </r>
  <r>
    <x v="0"/>
    <x v="3"/>
    <n v="45.8"/>
    <n v="1.1100000000000001"/>
    <n v="28"/>
  </r>
  <r>
    <x v="0"/>
    <x v="4"/>
    <n v="44.1"/>
    <n v="1.1299999999999999"/>
    <n v="30"/>
  </r>
  <r>
    <x v="0"/>
    <x v="5"/>
    <n v="51.6"/>
    <n v="1.1499999999999999"/>
    <n v="28"/>
  </r>
  <r>
    <x v="0"/>
    <x v="6"/>
    <n v="50.3"/>
    <n v="1.17"/>
    <n v="26"/>
  </r>
  <r>
    <x v="0"/>
    <x v="7"/>
    <n v="45.3"/>
    <n v="1.07"/>
    <n v="25"/>
  </r>
  <r>
    <x v="0"/>
    <x v="8"/>
    <n v="50.8"/>
    <n v="1.74"/>
    <n v="33"/>
  </r>
  <r>
    <x v="0"/>
    <x v="9"/>
    <n v="49"/>
    <n v="1.01"/>
    <n v="30"/>
  </r>
  <r>
    <x v="0"/>
    <x v="10"/>
    <n v="42.1"/>
    <n v="0.95"/>
    <n v="22"/>
  </r>
  <r>
    <x v="0"/>
    <x v="11"/>
    <n v="38"/>
    <n v="0.95"/>
    <n v="25"/>
  </r>
  <r>
    <x v="1"/>
    <x v="0"/>
    <n v="50"/>
    <n v="1.37"/>
    <n v="30"/>
  </r>
  <r>
    <x v="1"/>
    <x v="1"/>
    <n v="53.8"/>
    <n v="0.99"/>
    <n v="25"/>
  </r>
  <r>
    <x v="1"/>
    <x v="2"/>
    <n v="47.7"/>
    <n v="1.0900000000000001"/>
    <n v="28"/>
  </r>
  <r>
    <x v="1"/>
    <x v="3"/>
    <n v="50.7"/>
    <n v="2.0299999999999998"/>
    <n v="34"/>
  </r>
  <r>
    <x v="1"/>
    <x v="4"/>
    <n v="47.8"/>
    <n v="2.0099999999999998"/>
    <n v="35"/>
  </r>
  <r>
    <x v="1"/>
    <x v="5"/>
    <n v="47.9"/>
    <n v="1.79"/>
    <n v="29"/>
  </r>
  <r>
    <x v="1"/>
    <x v="6"/>
    <n v="52.2"/>
    <n v="1.68"/>
    <n v="31"/>
  </r>
  <r>
    <x v="1"/>
    <x v="7"/>
    <n v="53.5"/>
    <n v="1.25"/>
    <n v="30"/>
  </r>
  <r>
    <x v="1"/>
    <x v="8"/>
    <n v="46.8"/>
    <n v="2.2999999999999998"/>
    <n v="34"/>
  </r>
  <r>
    <x v="1"/>
    <x v="9"/>
    <n v="48.2"/>
    <n v="2.0499999999999998"/>
    <n v="35"/>
  </r>
  <r>
    <x v="1"/>
    <x v="10"/>
    <n v="47.4"/>
    <n v="1.21"/>
    <n v="25"/>
  </r>
  <r>
    <x v="1"/>
    <x v="11"/>
    <n v="46.5"/>
    <n v="1.74"/>
    <n v="26"/>
  </r>
  <r>
    <x v="2"/>
    <x v="0"/>
    <n v="50"/>
    <n v="1.82"/>
    <n v="43"/>
  </r>
  <r>
    <x v="2"/>
    <x v="1"/>
    <n v="47"/>
    <n v="1.71"/>
    <n v="41"/>
  </r>
  <r>
    <x v="2"/>
    <x v="2"/>
    <n v="45.2"/>
    <n v="1.79"/>
    <n v="32"/>
  </r>
  <r>
    <x v="2"/>
    <x v="3"/>
    <n v="48.3"/>
    <n v="2.34"/>
    <n v="39"/>
  </r>
  <r>
    <x v="2"/>
    <x v="4"/>
    <n v="43.9"/>
    <n v="2.38"/>
    <n v="43"/>
  </r>
  <r>
    <x v="2"/>
    <x v="5"/>
    <n v="48.2"/>
    <n v="2.3199999999999998"/>
    <n v="39"/>
  </r>
  <r>
    <x v="2"/>
    <x v="6"/>
    <n v="45"/>
    <n v="2.08"/>
    <n v="34"/>
  </r>
  <r>
    <x v="2"/>
    <x v="7"/>
    <n v="54"/>
    <n v="1.56"/>
    <n v="39"/>
  </r>
  <r>
    <x v="2"/>
    <x v="8"/>
    <n v="45.2"/>
    <n v="2.4900000000000002"/>
    <n v="39"/>
  </r>
  <r>
    <x v="2"/>
    <x v="9"/>
    <n v="48.1"/>
    <n v="2.35"/>
    <n v="39"/>
  </r>
  <r>
    <x v="2"/>
    <x v="10"/>
    <n v="46.2"/>
    <n v="1.5"/>
    <n v="33"/>
  </r>
  <r>
    <x v="2"/>
    <x v="11"/>
    <n v="47.9"/>
    <n v="1.99"/>
    <n v="31"/>
  </r>
  <r>
    <x v="3"/>
    <x v="0"/>
    <n v="49.2"/>
    <n v="2.15"/>
    <n v="45"/>
  </r>
  <r>
    <x v="3"/>
    <x v="1"/>
    <n v="45.7"/>
    <n v="2.1800000000000002"/>
    <n v="44"/>
  </r>
  <r>
    <x v="3"/>
    <x v="2"/>
    <n v="43.6"/>
    <n v="2.52"/>
    <n v="41"/>
  </r>
  <r>
    <x v="3"/>
    <x v="3"/>
    <n v="45.8"/>
    <n v="2.31"/>
    <n v="42"/>
  </r>
  <r>
    <x v="3"/>
    <x v="4"/>
    <n v="41.4"/>
    <n v="2.71"/>
    <n v="48"/>
  </r>
  <r>
    <x v="3"/>
    <x v="5"/>
    <n v="45"/>
    <n v="2.74"/>
    <n v="43"/>
  </r>
  <r>
    <x v="3"/>
    <x v="6"/>
    <n v="43.9"/>
    <n v="2.59"/>
    <n v="43"/>
  </r>
  <r>
    <x v="3"/>
    <x v="7"/>
    <n v="43.9"/>
    <n v="2.34"/>
    <n v="42"/>
  </r>
  <r>
    <x v="3"/>
    <x v="8"/>
    <n v="42.6"/>
    <n v="3.01"/>
    <n v="47"/>
  </r>
  <r>
    <x v="3"/>
    <x v="9"/>
    <n v="45.1"/>
    <n v="3.02"/>
    <n v="54"/>
  </r>
  <r>
    <x v="3"/>
    <x v="10"/>
    <n v="44.9"/>
    <n v="2.3199999999999998"/>
    <n v="45"/>
  </r>
  <r>
    <x v="3"/>
    <x v="11"/>
    <n v="45.9"/>
    <n v="2.5"/>
    <n v="49"/>
  </r>
  <r>
    <x v="4"/>
    <x v="0"/>
    <n v="53.3"/>
    <n v="2.89"/>
    <n v="52"/>
  </r>
  <r>
    <x v="4"/>
    <x v="1"/>
    <n v="46.3"/>
    <n v="2.82"/>
    <n v="50"/>
  </r>
  <r>
    <x v="4"/>
    <x v="2"/>
    <n v="46.4"/>
    <n v="2.95"/>
    <n v="53"/>
  </r>
  <r>
    <x v="4"/>
    <x v="3"/>
    <n v="49.1"/>
    <n v="3.07"/>
    <n v="54"/>
  </r>
  <r>
    <x v="4"/>
    <x v="4"/>
    <n v="42.8"/>
    <n v="3.49"/>
    <n v="57"/>
  </r>
  <r>
    <x v="4"/>
    <x v="5"/>
    <n v="44.5"/>
    <n v="3.28"/>
    <n v="54"/>
  </r>
  <r>
    <x v="4"/>
    <x v="6"/>
    <n v="48.6"/>
    <n v="3.25"/>
    <n v="53"/>
  </r>
  <r>
    <x v="4"/>
    <x v="7"/>
    <n v="45.9"/>
    <n v="3.38"/>
    <n v="54"/>
  </r>
  <r>
    <x v="4"/>
    <x v="8"/>
    <n v="47"/>
    <n v="4.09"/>
    <n v="56"/>
  </r>
  <r>
    <x v="4"/>
    <x v="9"/>
    <n v="46.4"/>
    <n v="3.48"/>
    <n v="60"/>
  </r>
  <r>
    <x v="4"/>
    <x v="10"/>
    <n v="49.2"/>
    <n v="2.52"/>
    <n v="64"/>
  </r>
  <r>
    <x v="4"/>
    <x v="11"/>
    <n v="45.1"/>
    <n v="4.5599999999999996"/>
    <n v="52"/>
  </r>
  <r>
    <x v="5"/>
    <x v="0"/>
    <n v="49.2"/>
    <n v="4.21"/>
    <n v="60.5"/>
  </r>
  <r>
    <x v="5"/>
    <x v="1"/>
    <n v="45.7"/>
    <n v="2.57"/>
    <n v="62.5"/>
  </r>
  <r>
    <x v="5"/>
    <x v="2"/>
    <n v="42"/>
    <n v="1.98"/>
    <n v="63.5"/>
  </r>
  <r>
    <x v="5"/>
    <x v="3"/>
    <n v="48.2"/>
    <n v="3.4400000000000004"/>
    <n v="68"/>
  </r>
  <r>
    <x v="5"/>
    <x v="4"/>
    <n v="43.4"/>
    <n v="3.92"/>
    <n v="68"/>
  </r>
  <r>
    <x v="5"/>
    <x v="5"/>
    <n v="46.3"/>
    <n v="3.1100000000000003"/>
    <n v="67"/>
  </r>
  <r>
    <x v="5"/>
    <x v="6"/>
    <n v="47.8"/>
    <n v="3.7"/>
    <n v="66"/>
  </r>
  <r>
    <x v="5"/>
    <x v="7"/>
    <n v="46.4"/>
    <n v="3.2199999999999998"/>
    <n v="67"/>
  </r>
  <r>
    <x v="5"/>
    <x v="8"/>
    <n v="46.7"/>
    <n v="3.16"/>
    <n v="68"/>
  </r>
  <r>
    <x v="5"/>
    <x v="9"/>
    <n v="46.2"/>
    <n v="3.29"/>
    <n v="76"/>
  </r>
  <r>
    <x v="5"/>
    <x v="10"/>
    <n v="43.6"/>
    <n v="1.73"/>
    <n v="64"/>
  </r>
  <r>
    <x v="5"/>
    <x v="11"/>
    <n v="47.4"/>
    <n v="3.6100000000000003"/>
    <n v="73"/>
  </r>
  <r>
    <x v="6"/>
    <x v="0"/>
    <n v="50.6"/>
    <n v="3.05"/>
    <n v="69"/>
  </r>
  <r>
    <x v="6"/>
    <x v="1"/>
    <n v="47.9"/>
    <n v="3.4"/>
    <n v="75"/>
  </r>
  <r>
    <x v="6"/>
    <x v="2"/>
    <n v="44.2"/>
    <n v="3.26"/>
    <n v="67"/>
  </r>
  <r>
    <x v="6"/>
    <x v="3"/>
    <n v="50.9"/>
    <n v="3.8"/>
    <n v="74"/>
  </r>
  <r>
    <x v="6"/>
    <x v="4"/>
    <n v="44.1"/>
    <n v="3.58"/>
    <n v="80"/>
  </r>
  <r>
    <x v="6"/>
    <x v="5"/>
    <n v="45.7"/>
    <n v="4.1500000000000004"/>
    <n v="76"/>
  </r>
  <r>
    <x v="6"/>
    <x v="6"/>
    <n v="49"/>
    <n v="3.65"/>
    <n v="69"/>
  </r>
  <r>
    <x v="6"/>
    <x v="7"/>
    <n v="48.9"/>
    <n v="4.05"/>
    <n v="70"/>
  </r>
  <r>
    <x v="6"/>
    <x v="8"/>
    <n v="46"/>
    <n v="3.22"/>
    <n v="80"/>
  </r>
  <r>
    <x v="6"/>
    <x v="9"/>
    <n v="47"/>
    <n v="4.7"/>
    <n v="78"/>
  </r>
  <r>
    <x v="6"/>
    <x v="10"/>
    <n v="45.4"/>
    <n v="3.06"/>
    <n v="71"/>
  </r>
  <r>
    <x v="6"/>
    <x v="11"/>
    <n v="44.5"/>
    <n v="3.92"/>
    <n v="75"/>
  </r>
  <r>
    <x v="7"/>
    <x v="0"/>
    <n v="47.3"/>
    <n v="3.39"/>
    <n v="84"/>
  </r>
  <r>
    <x v="7"/>
    <x v="1"/>
    <n v="46.2"/>
    <n v="3.41"/>
    <n v="90"/>
  </r>
  <r>
    <x v="7"/>
    <x v="2"/>
    <n v="45.6"/>
    <n v="3.3"/>
    <n v="83.5"/>
  </r>
  <r>
    <x v="7"/>
    <x v="3"/>
    <n v="45.6"/>
    <n v="3.57"/>
    <n v="89"/>
  </r>
  <r>
    <x v="7"/>
    <x v="4"/>
    <n v="51.5"/>
    <n v="3.57"/>
    <n v="95"/>
  </r>
  <r>
    <x v="7"/>
    <x v="5"/>
    <n v="47.4"/>
    <n v="3.33"/>
    <n v="90.5"/>
  </r>
  <r>
    <x v="7"/>
    <x v="6"/>
    <n v="46.4"/>
    <n v="3.44"/>
    <n v="83"/>
  </r>
  <r>
    <x v="7"/>
    <x v="7"/>
    <n v="46.6"/>
    <n v="3.92"/>
    <n v="87"/>
  </r>
  <r>
    <x v="7"/>
    <x v="8"/>
    <n v="48.9"/>
    <n v="3.19"/>
    <n v="93"/>
  </r>
  <r>
    <x v="7"/>
    <x v="9"/>
    <n v="46.6"/>
    <n v="3.71"/>
    <n v="91"/>
  </r>
  <r>
    <x v="7"/>
    <x v="10"/>
    <n v="45"/>
    <n v="3.34"/>
    <n v="85.5"/>
  </r>
  <r>
    <x v="7"/>
    <x v="11"/>
    <n v="43.6"/>
    <n v="4"/>
    <n v="91.5"/>
  </r>
  <r>
    <x v="8"/>
    <x v="0"/>
    <n v="53"/>
    <n v="3.73"/>
    <n v="99"/>
  </r>
  <r>
    <x v="8"/>
    <x v="1"/>
    <n v="46.1"/>
    <n v="3.54"/>
    <n v="105"/>
  </r>
  <r>
    <x v="8"/>
    <x v="2"/>
    <n v="43.3"/>
    <n v="3.46"/>
    <n v="100"/>
  </r>
  <r>
    <x v="8"/>
    <x v="3"/>
    <n v="48.2"/>
    <n v="4.1100000000000003"/>
    <n v="104"/>
  </r>
  <r>
    <x v="8"/>
    <x v="4"/>
    <n v="41.5"/>
    <n v="4.71"/>
    <n v="110"/>
  </r>
  <r>
    <x v="8"/>
    <x v="5"/>
    <n v="46.2"/>
    <n v="3.76"/>
    <n v="105"/>
  </r>
  <r>
    <x v="8"/>
    <x v="6"/>
    <n v="42.7"/>
    <n v="3.43"/>
    <n v="97"/>
  </r>
  <r>
    <x v="8"/>
    <x v="7"/>
    <n v="47.7"/>
    <n v="3.79"/>
    <n v="104"/>
  </r>
  <r>
    <x v="8"/>
    <x v="8"/>
    <n v="46.9"/>
    <n v="3.56"/>
    <n v="106"/>
  </r>
  <r>
    <x v="8"/>
    <x v="9"/>
    <n v="46.8"/>
    <n v="3.27"/>
    <n v="104"/>
  </r>
  <r>
    <x v="8"/>
    <x v="10"/>
    <n v="48.2"/>
    <n v="3.67"/>
    <n v="100"/>
  </r>
  <r>
    <x v="8"/>
    <x v="11"/>
    <n v="50.4"/>
    <n v="3.85"/>
    <n v="108"/>
  </r>
  <r>
    <x v="9"/>
    <x v="0"/>
    <n v="48.1"/>
    <n v="3.05"/>
    <n v="100"/>
  </r>
  <r>
    <x v="9"/>
    <x v="1"/>
    <n v="44.7"/>
    <n v="3.05"/>
    <n v="105"/>
  </r>
  <r>
    <x v="9"/>
    <x v="2"/>
    <n v="38.4"/>
    <n v="2.41"/>
    <n v="95"/>
  </r>
  <r>
    <x v="9"/>
    <x v="3"/>
    <n v="47.9"/>
    <n v="3.6"/>
    <n v="108"/>
  </r>
  <r>
    <x v="9"/>
    <x v="4"/>
    <n v="39.700000000000003"/>
    <n v="3.55"/>
    <n v="106"/>
  </r>
  <r>
    <x v="9"/>
    <x v="5"/>
    <n v="40.700000000000003"/>
    <n v="3.7"/>
    <n v="105"/>
  </r>
  <r>
    <x v="9"/>
    <x v="6"/>
    <n v="41.8"/>
    <n v="2.73"/>
    <n v="95"/>
  </r>
  <r>
    <x v="9"/>
    <x v="7"/>
    <n v="48.2"/>
    <n v="3.84"/>
    <n v="103"/>
  </r>
  <r>
    <x v="9"/>
    <x v="8"/>
    <n v="47.8"/>
    <n v="3.49"/>
    <n v="110"/>
  </r>
  <r>
    <x v="9"/>
    <x v="9"/>
    <n v="45.6"/>
    <n v="3.36"/>
    <n v="105"/>
  </r>
  <r>
    <x v="9"/>
    <x v="10"/>
    <n v="44.7"/>
    <n v="2.88"/>
    <n v="103"/>
  </r>
  <r>
    <x v="9"/>
    <x v="11"/>
    <n v="37.200000000000003"/>
    <n v="3.1"/>
    <n v="107"/>
  </r>
  <r>
    <x v="10"/>
    <x v="0"/>
    <n v="43.2"/>
    <n v="3.21"/>
    <n v="97"/>
  </r>
  <r>
    <x v="10"/>
    <x v="1"/>
    <n v="42.1"/>
    <n v="3.59"/>
    <n v="103"/>
  </r>
  <r>
    <x v="10"/>
    <x v="2"/>
    <n v="30.5"/>
    <n v="3.08"/>
    <n v="97.5"/>
  </r>
  <r>
    <x v="10"/>
    <x v="3"/>
    <n v="37.700000000000003"/>
    <n v="3.78"/>
    <n v="104.5"/>
  </r>
  <r>
    <x v="10"/>
    <x v="4"/>
    <n v="30.1"/>
    <n v="3.29"/>
    <n v="106.5"/>
  </r>
  <r>
    <x v="10"/>
    <x v="5"/>
    <n v="37.5"/>
    <n v="3.44"/>
    <n v="103.5"/>
  </r>
  <r>
    <x v="10"/>
    <x v="6"/>
    <n v="32.6"/>
    <n v="2.89"/>
    <n v="97"/>
  </r>
  <r>
    <x v="10"/>
    <x v="7"/>
    <n v="47.4"/>
    <n v="3.82"/>
    <n v="103"/>
  </r>
  <r>
    <x v="10"/>
    <x v="8"/>
    <n v="40.1"/>
    <n v="4.09"/>
    <n v="107.5"/>
  </r>
  <r>
    <x v="10"/>
    <x v="9"/>
    <n v="35.6"/>
    <n v="4.05"/>
    <n v="106.5"/>
  </r>
  <r>
    <x v="10"/>
    <x v="10"/>
    <n v="37.5"/>
    <n v="3.01"/>
    <n v="102"/>
  </r>
  <r>
    <x v="10"/>
    <x v="11"/>
    <n v="34.799999999999997"/>
    <n v="4.2300000000000004"/>
    <n v="106.5"/>
  </r>
  <r>
    <x v="11"/>
    <x v="0"/>
    <n v="40.9"/>
    <n v="3.14"/>
    <n v="94"/>
  </r>
  <r>
    <x v="11"/>
    <x v="1"/>
    <n v="31.7"/>
    <n v="3.18"/>
    <n v="101"/>
  </r>
  <r>
    <x v="11"/>
    <x v="2"/>
    <n v="23.1"/>
    <n v="2.98"/>
    <n v="100"/>
  </r>
  <r>
    <x v="11"/>
    <x v="3"/>
    <n v="37"/>
    <n v="3.56"/>
    <n v="101"/>
  </r>
  <r>
    <x v="11"/>
    <x v="4"/>
    <n v="27.5"/>
    <n v="2.99"/>
    <n v="107"/>
  </r>
  <r>
    <x v="11"/>
    <x v="5"/>
    <n v="30.4"/>
    <n v="3.52"/>
    <n v="102"/>
  </r>
  <r>
    <x v="11"/>
    <x v="6"/>
    <n v="30.3"/>
    <n v="2.63"/>
    <n v="99"/>
  </r>
  <r>
    <x v="11"/>
    <x v="7"/>
    <n v="40.200000000000003"/>
    <n v="3.49"/>
    <n v="103"/>
  </r>
  <r>
    <x v="11"/>
    <x v="8"/>
    <n v="33.700000000000003"/>
    <n v="3.53"/>
    <n v="105"/>
  </r>
  <r>
    <x v="11"/>
    <x v="9"/>
    <n v="34.200000000000003"/>
    <n v="3.69"/>
    <n v="108"/>
  </r>
  <r>
    <x v="11"/>
    <x v="10"/>
    <n v="33.4"/>
    <n v="2.77"/>
    <n v="101"/>
  </r>
  <r>
    <x v="11"/>
    <x v="11"/>
    <n v="30.3"/>
    <n v="3.7"/>
    <n v="106"/>
  </r>
  <r>
    <x v="12"/>
    <x v="0"/>
    <n v="17.2"/>
    <n v="3.5"/>
    <n v="98"/>
  </r>
  <r>
    <x v="12"/>
    <x v="1"/>
    <n v="14.9"/>
    <n v="3.26"/>
    <n v="104"/>
  </r>
  <r>
    <x v="12"/>
    <x v="2"/>
    <n v="6.4"/>
    <n v="2.91"/>
    <n v="97"/>
  </r>
  <r>
    <x v="12"/>
    <x v="3"/>
    <n v="21.5"/>
    <n v="4.47"/>
    <n v="108"/>
  </r>
  <r>
    <x v="12"/>
    <x v="4"/>
    <n v="13.2"/>
    <n v="4.46"/>
    <n v="105"/>
  </r>
  <r>
    <x v="12"/>
    <x v="5"/>
    <n v="15.1"/>
    <n v="3.24"/>
    <n v="108"/>
  </r>
  <r>
    <x v="12"/>
    <x v="6"/>
    <n v="8.5"/>
    <n v="2.44"/>
    <n v="96"/>
  </r>
  <r>
    <x v="12"/>
    <x v="7"/>
    <n v="22.5"/>
    <n v="2.75"/>
    <n v="103"/>
  </r>
  <r>
    <x v="12"/>
    <x v="8"/>
    <n v="9.1"/>
    <n v="2.2200000000000002"/>
    <n v="101"/>
  </r>
  <r>
    <x v="12"/>
    <x v="9"/>
    <n v="5.7"/>
    <n v="2.29"/>
    <n v="104"/>
  </r>
  <r>
    <x v="12"/>
    <x v="10"/>
    <n v="17.5"/>
    <n v="2.31"/>
    <n v="104"/>
  </r>
  <r>
    <x v="12"/>
    <x v="11"/>
    <n v="7.5"/>
    <n v="3.32"/>
    <n v="109"/>
  </r>
  <r>
    <x v="13"/>
    <x v="0"/>
    <n v="10.8"/>
    <n v="3.12"/>
    <n v="98"/>
  </r>
  <r>
    <x v="13"/>
    <x v="1"/>
    <n v="4.5999999999999996"/>
    <n v="1.98"/>
    <n v="104"/>
  </r>
  <r>
    <x v="13"/>
    <x v="2"/>
    <n v="4.3"/>
    <n v="1.45"/>
    <n v="103"/>
  </r>
  <r>
    <x v="13"/>
    <x v="3"/>
    <n v="7.2"/>
    <n v="3.3"/>
    <n v="106"/>
  </r>
  <r>
    <x v="13"/>
    <x v="4"/>
    <n v="6.5"/>
    <n v="2.42"/>
    <n v="108"/>
  </r>
  <r>
    <x v="13"/>
    <x v="5"/>
    <n v="8.5"/>
    <n v="2.21"/>
    <n v="107"/>
  </r>
  <r>
    <x v="13"/>
    <x v="6"/>
    <n v="5.5"/>
    <n v="2.93"/>
    <n v="96"/>
  </r>
  <r>
    <x v="13"/>
    <x v="7"/>
    <n v="8.1"/>
    <n v="2.4500000000000002"/>
    <n v="102"/>
  </r>
  <r>
    <x v="13"/>
    <x v="8"/>
    <n v="5.4"/>
    <n v="2.9"/>
    <n v="100"/>
  </r>
  <r>
    <x v="13"/>
    <x v="9"/>
    <n v="5.6"/>
    <n v="3.53"/>
    <n v="101"/>
  </r>
  <r>
    <x v="13"/>
    <x v="10"/>
    <n v="9"/>
    <n v="2.0499999999999998"/>
    <n v="104"/>
  </r>
  <r>
    <x v="13"/>
    <x v="11"/>
    <n v="6.5"/>
    <n v="2.96"/>
    <n v="103"/>
  </r>
  <r>
    <x v="14"/>
    <x v="0"/>
    <n v="7.9"/>
    <n v="2.79"/>
    <n v="96"/>
  </r>
  <r>
    <x v="14"/>
    <x v="1"/>
    <n v="5.9"/>
    <n v="2.25"/>
    <n v="105"/>
  </r>
  <r>
    <x v="14"/>
    <x v="2"/>
    <n v="6"/>
    <n v="2.4700000000000002"/>
    <n v="97"/>
  </r>
  <r>
    <x v="14"/>
    <x v="3"/>
    <n v="7.1"/>
    <n v="3.72"/>
    <n v="104"/>
  </r>
  <r>
    <x v="14"/>
    <x v="4"/>
    <n v="5.5"/>
    <n v="2.8"/>
    <n v="105"/>
  </r>
  <r>
    <x v="14"/>
    <x v="5"/>
    <n v="6.9"/>
    <n v="2.4300000000000002"/>
    <n v="103"/>
  </r>
  <r>
    <x v="14"/>
    <x v="6"/>
    <n v="5.7"/>
    <n v="2.2000000000000002"/>
    <n v="93"/>
  </r>
  <r>
    <x v="14"/>
    <x v="7"/>
    <n v="7.6"/>
    <n v="2.71"/>
    <n v="91"/>
  </r>
  <r>
    <x v="14"/>
    <x v="8"/>
    <n v="4.5999999999999996"/>
    <n v="2.33"/>
    <n v="99"/>
  </r>
  <r>
    <x v="14"/>
    <x v="9"/>
    <n v="5"/>
    <n v="2.77"/>
    <n v="98"/>
  </r>
  <r>
    <x v="14"/>
    <x v="10"/>
    <n v="5.3"/>
    <n v="2.0299999999999998"/>
    <n v="98"/>
  </r>
  <r>
    <x v="14"/>
    <x v="11"/>
    <n v="4.7"/>
    <n v="3.15"/>
    <n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6">
  <r>
    <x v="0"/>
    <x v="0"/>
    <x v="0"/>
    <n v="39.1"/>
    <n v="466413.66"/>
    <n v="5182371.3600000003"/>
  </r>
  <r>
    <x v="0"/>
    <x v="0"/>
    <x v="1"/>
    <n v="41.246499999999997"/>
    <n v="466493.66"/>
    <n v="5182421.3600000003"/>
  </r>
  <r>
    <x v="0"/>
    <x v="0"/>
    <x v="2"/>
    <n v="17.642600000000002"/>
    <n v="466373.66"/>
    <n v="5182241.3600000003"/>
  </r>
  <r>
    <x v="0"/>
    <x v="0"/>
    <x v="3"/>
    <n v="30.5152"/>
    <n v="466233.66"/>
    <n v="5182211.3600000003"/>
  </r>
  <r>
    <x v="0"/>
    <x v="0"/>
    <x v="4"/>
    <n v="17.4221"/>
    <n v="466273.66"/>
    <n v="5182151.3600000003"/>
  </r>
  <r>
    <x v="0"/>
    <x v="0"/>
    <x v="5"/>
    <n v="20.7699"/>
    <n v="466363.66"/>
    <n v="5182131.3600000003"/>
  </r>
  <r>
    <x v="0"/>
    <x v="0"/>
    <x v="6"/>
    <n v="26.6892"/>
    <n v="466393.66"/>
    <n v="5182061.3600000003"/>
  </r>
  <r>
    <x v="0"/>
    <x v="0"/>
    <x v="7"/>
    <n v="32.1006"/>
    <n v="466423.66"/>
    <n v="5182161.3600000003"/>
  </r>
  <r>
    <x v="0"/>
    <x v="0"/>
    <x v="8"/>
    <n v="29.983699999999999"/>
    <n v="466463.66"/>
    <n v="5182181.3600000003"/>
  </r>
  <r>
    <x v="0"/>
    <x v="0"/>
    <x v="9"/>
    <n v="23.362400000000001"/>
    <n v="466493.66"/>
    <n v="5182251.3600000003"/>
  </r>
  <r>
    <x v="0"/>
    <x v="0"/>
    <x v="10"/>
    <n v="23.506699999999999"/>
    <n v="466493.66"/>
    <n v="5182281.3600000003"/>
  </r>
  <r>
    <x v="0"/>
    <x v="0"/>
    <x v="11"/>
    <n v="17.7301"/>
    <n v="466553.66"/>
    <n v="5182171.3600000003"/>
  </r>
  <r>
    <x v="0"/>
    <x v="0"/>
    <x v="12"/>
    <n v="18.890499999999999"/>
    <n v="466323.66"/>
    <n v="5182201.3600000003"/>
  </r>
  <r>
    <x v="0"/>
    <x v="0"/>
    <x v="13"/>
    <n v="23.834599999999998"/>
    <n v="466603.66"/>
    <n v="5182231.3600000003"/>
  </r>
  <r>
    <x v="0"/>
    <x v="0"/>
    <x v="14"/>
    <n v="18.323"/>
    <n v="466483.66"/>
    <n v="5182081.3600000003"/>
  </r>
  <r>
    <x v="0"/>
    <x v="0"/>
    <x v="15"/>
    <n v="24.743400000000001"/>
    <n v="466153.66"/>
    <n v="5182151.3600000003"/>
  </r>
  <r>
    <x v="0"/>
    <x v="0"/>
    <x v="16"/>
    <n v="0"/>
    <n v="466193.66"/>
    <n v="5182091.3600000003"/>
  </r>
  <r>
    <x v="0"/>
    <x v="0"/>
    <x v="17"/>
    <n v="32.672199999999997"/>
    <n v="466533.66"/>
    <n v="5182351.3600000003"/>
  </r>
  <r>
    <x v="0"/>
    <x v="0"/>
    <x v="18"/>
    <n v="34.330199999999998"/>
    <n v="466303.66"/>
    <n v="5182261.3600000003"/>
  </r>
  <r>
    <x v="0"/>
    <x v="0"/>
    <x v="19"/>
    <n v="25.3886"/>
    <n v="466313.66"/>
    <n v="5182341.3600000003"/>
  </r>
  <r>
    <x v="0"/>
    <x v="0"/>
    <x v="20"/>
    <n v="26.181699999999999"/>
    <n v="466213.66"/>
    <n v="5182281.3600000003"/>
  </r>
  <r>
    <x v="0"/>
    <x v="0"/>
    <x v="21"/>
    <n v="20.462199999999999"/>
    <n v="466153.66"/>
    <n v="5182231.3600000003"/>
  </r>
  <r>
    <x v="0"/>
    <x v="0"/>
    <x v="22"/>
    <n v="0"/>
    <n v="466593.66"/>
    <n v="5182311.3600000003"/>
  </r>
  <r>
    <x v="0"/>
    <x v="0"/>
    <x v="23"/>
    <n v="27.546600000000002"/>
    <n v="466283.66"/>
    <n v="5182051.3600000003"/>
  </r>
  <r>
    <x v="0"/>
    <x v="0"/>
    <x v="24"/>
    <n v="21.829899999999999"/>
    <n v="466413.66"/>
    <n v="5182441.3600000003"/>
  </r>
  <r>
    <x v="0"/>
    <x v="0"/>
    <x v="25"/>
    <n v="21.5472"/>
    <n v="466493.66"/>
    <n v="5182501.3600000003"/>
  </r>
  <r>
    <x v="0"/>
    <x v="0"/>
    <x v="26"/>
    <n v="27.835100000000001"/>
    <n v="466423.66"/>
    <n v="5182291.3600000003"/>
  </r>
  <r>
    <x v="0"/>
    <x v="0"/>
    <x v="27"/>
    <n v="19.1861"/>
    <n v="466613.66"/>
    <n v="5182171.3600000003"/>
  </r>
  <r>
    <x v="0"/>
    <x v="0"/>
    <x v="28"/>
    <n v="17.707100000000001"/>
    <n v="466643.66"/>
    <n v="5182271.3600000003"/>
  </r>
  <r>
    <x v="0"/>
    <x v="0"/>
    <x v="29"/>
    <n v="26.211600000000001"/>
    <n v="466333.66"/>
    <n v="5182021.3600000003"/>
  </r>
  <r>
    <x v="0"/>
    <x v="0"/>
    <x v="30"/>
    <n v="19.756799999999998"/>
    <n v="466463.66"/>
    <n v="5182341.3600000003"/>
  </r>
  <r>
    <x v="0"/>
    <x v="0"/>
    <x v="31"/>
    <n v="24.7454"/>
    <n v="466123.66"/>
    <n v="5182111.3600000003"/>
  </r>
  <r>
    <x v="0"/>
    <x v="0"/>
    <x v="32"/>
    <n v="35.6096"/>
    <n v="466333.66"/>
    <n v="5182081.3600000003"/>
  </r>
  <r>
    <x v="0"/>
    <x v="0"/>
    <x v="33"/>
    <n v="24.832100000000001"/>
    <n v="466543.66"/>
    <n v="5182241.3600000003"/>
  </r>
  <r>
    <x v="0"/>
    <x v="0"/>
    <x v="34"/>
    <n v="38.491100000000003"/>
    <n v="466363.66"/>
    <n v="5182331.3600000003"/>
  </r>
  <r>
    <x v="0"/>
    <x v="0"/>
    <x v="35"/>
    <n v="23.8154"/>
    <n v="466353.66"/>
    <n v="5182391.3600000003"/>
  </r>
  <r>
    <x v="0"/>
    <x v="1"/>
    <x v="0"/>
    <n v="6.7"/>
    <n v="466413.66"/>
    <n v="5182371.3600000003"/>
  </r>
  <r>
    <x v="0"/>
    <x v="1"/>
    <x v="1"/>
    <n v="5.4"/>
    <n v="466493.66"/>
    <n v="5182421.3600000003"/>
  </r>
  <r>
    <x v="0"/>
    <x v="1"/>
    <x v="2"/>
    <n v="4.4000000000000004"/>
    <n v="466373.66"/>
    <n v="5182241.3600000003"/>
  </r>
  <r>
    <x v="0"/>
    <x v="1"/>
    <x v="3"/>
    <n v="8.4"/>
    <n v="466233.66"/>
    <n v="5182211.3600000003"/>
  </r>
  <r>
    <x v="0"/>
    <x v="1"/>
    <x v="4"/>
    <n v="4.0999999999999996"/>
    <n v="466273.66"/>
    <n v="5182151.3600000003"/>
  </r>
  <r>
    <x v="0"/>
    <x v="1"/>
    <x v="5"/>
    <n v="3.2"/>
    <n v="466363.66"/>
    <n v="5182131.3600000003"/>
  </r>
  <r>
    <x v="0"/>
    <x v="1"/>
    <x v="6"/>
    <n v="9"/>
    <n v="466393.66"/>
    <n v="5182061.3600000003"/>
  </r>
  <r>
    <x v="0"/>
    <x v="1"/>
    <x v="7"/>
    <n v="25"/>
    <n v="466423.66"/>
    <n v="5182161.3600000003"/>
  </r>
  <r>
    <x v="0"/>
    <x v="1"/>
    <x v="8"/>
    <n v="11.4"/>
    <n v="466463.66"/>
    <n v="5182181.3600000003"/>
  </r>
  <r>
    <x v="0"/>
    <x v="1"/>
    <x v="9"/>
    <n v="2.1"/>
    <n v="466493.66"/>
    <n v="5182251.3600000003"/>
  </r>
  <r>
    <x v="0"/>
    <x v="1"/>
    <x v="10"/>
    <n v="6.3"/>
    <n v="466493.66"/>
    <n v="5182281.3600000003"/>
  </r>
  <r>
    <x v="0"/>
    <x v="1"/>
    <x v="11"/>
    <n v="1"/>
    <n v="466553.66"/>
    <n v="5182171.3600000003"/>
  </r>
  <r>
    <x v="0"/>
    <x v="1"/>
    <x v="12"/>
    <n v="3.3"/>
    <n v="466323.66"/>
    <n v="5182201.3600000003"/>
  </r>
  <r>
    <x v="0"/>
    <x v="1"/>
    <x v="13"/>
    <n v="3.9"/>
    <n v="466603.66"/>
    <n v="5182231.3600000003"/>
  </r>
  <r>
    <x v="0"/>
    <x v="1"/>
    <x v="14"/>
    <n v="2.4"/>
    <n v="466483.66"/>
    <n v="5182081.3600000003"/>
  </r>
  <r>
    <x v="0"/>
    <x v="1"/>
    <x v="15"/>
    <n v="6"/>
    <n v="466153.66"/>
    <n v="5182151.3600000003"/>
  </r>
  <r>
    <x v="0"/>
    <x v="1"/>
    <x v="16"/>
    <n v="0"/>
    <n v="466193.66"/>
    <n v="5182091.3600000003"/>
  </r>
  <r>
    <x v="0"/>
    <x v="1"/>
    <x v="17"/>
    <n v="11.4"/>
    <n v="466533.66"/>
    <n v="5182351.3600000003"/>
  </r>
  <r>
    <x v="0"/>
    <x v="1"/>
    <x v="18"/>
    <n v="8"/>
    <n v="466303.66"/>
    <n v="5182261.3600000003"/>
  </r>
  <r>
    <x v="0"/>
    <x v="1"/>
    <x v="19"/>
    <n v="6.3"/>
    <n v="466313.66"/>
    <n v="5182341.3600000003"/>
  </r>
  <r>
    <x v="0"/>
    <x v="1"/>
    <x v="20"/>
    <n v="6.3"/>
    <n v="466213.66"/>
    <n v="5182281.3600000003"/>
  </r>
  <r>
    <x v="0"/>
    <x v="1"/>
    <x v="21"/>
    <n v="6.2"/>
    <n v="466153.66"/>
    <n v="5182231.3600000003"/>
  </r>
  <r>
    <x v="0"/>
    <x v="1"/>
    <x v="22"/>
    <n v="0"/>
    <n v="466593.66"/>
    <n v="5182311.3600000003"/>
  </r>
  <r>
    <x v="0"/>
    <x v="1"/>
    <x v="23"/>
    <n v="8.5"/>
    <n v="466283.66"/>
    <n v="5182051.3600000003"/>
  </r>
  <r>
    <x v="0"/>
    <x v="1"/>
    <x v="24"/>
    <n v="3.5"/>
    <n v="466413.66"/>
    <n v="5182441.3600000003"/>
  </r>
  <r>
    <x v="0"/>
    <x v="1"/>
    <x v="25"/>
    <n v="4.4000000000000004"/>
    <n v="466493.66"/>
    <n v="5182501.3600000003"/>
  </r>
  <r>
    <x v="0"/>
    <x v="1"/>
    <x v="26"/>
    <n v="7.6"/>
    <n v="466423.66"/>
    <n v="5182291.3600000003"/>
  </r>
  <r>
    <x v="0"/>
    <x v="1"/>
    <x v="27"/>
    <n v="5.0999999999999996"/>
    <n v="466613.66"/>
    <n v="5182171.3600000003"/>
  </r>
  <r>
    <x v="0"/>
    <x v="1"/>
    <x v="28"/>
    <n v="5.6"/>
    <n v="466643.66"/>
    <n v="5182271.3600000003"/>
  </r>
  <r>
    <x v="0"/>
    <x v="1"/>
    <x v="29"/>
    <n v="6.7"/>
    <n v="466333.66"/>
    <n v="5182021.3600000003"/>
  </r>
  <r>
    <x v="0"/>
    <x v="1"/>
    <x v="30"/>
    <n v="3.1"/>
    <n v="466463.66"/>
    <n v="5182341.3600000003"/>
  </r>
  <r>
    <x v="0"/>
    <x v="1"/>
    <x v="31"/>
    <n v="5.3"/>
    <n v="466123.66"/>
    <n v="5182111.3600000003"/>
  </r>
  <r>
    <x v="0"/>
    <x v="1"/>
    <x v="32"/>
    <n v="10.7"/>
    <n v="466333.66"/>
    <n v="5182081.3600000003"/>
  </r>
  <r>
    <x v="0"/>
    <x v="1"/>
    <x v="33"/>
    <n v="3.5"/>
    <n v="466543.66"/>
    <n v="5182241.3600000003"/>
  </r>
  <r>
    <x v="0"/>
    <x v="1"/>
    <x v="34"/>
    <n v="13.7"/>
    <n v="466363.66"/>
    <n v="5182331.3600000003"/>
  </r>
  <r>
    <x v="0"/>
    <x v="1"/>
    <x v="35"/>
    <n v="4.4000000000000004"/>
    <n v="466353.66"/>
    <n v="5182391.3600000003"/>
  </r>
  <r>
    <x v="0"/>
    <x v="2"/>
    <x v="0"/>
    <n v="32.4"/>
    <n v="466413.66"/>
    <n v="5182371.3600000003"/>
  </r>
  <r>
    <x v="0"/>
    <x v="2"/>
    <x v="1"/>
    <n v="35.846499999999999"/>
    <n v="466493.66"/>
    <n v="5182421.3600000003"/>
  </r>
  <r>
    <x v="0"/>
    <x v="2"/>
    <x v="2"/>
    <n v="13.242599999999999"/>
    <n v="466373.66"/>
    <n v="5182241.3600000003"/>
  </r>
  <r>
    <x v="0"/>
    <x v="2"/>
    <x v="3"/>
    <n v="22.115200000000002"/>
    <n v="466233.66"/>
    <n v="5182211.3600000003"/>
  </r>
  <r>
    <x v="0"/>
    <x v="2"/>
    <x v="4"/>
    <n v="13.322100000000001"/>
    <n v="466273.66"/>
    <n v="5182151.3600000003"/>
  </r>
  <r>
    <x v="0"/>
    <x v="2"/>
    <x v="5"/>
    <n v="17.569900000000001"/>
    <n v="466363.66"/>
    <n v="5182131.3600000003"/>
  </r>
  <r>
    <x v="0"/>
    <x v="2"/>
    <x v="6"/>
    <n v="17.6892"/>
    <n v="466393.66"/>
    <n v="5182061.3600000003"/>
  </r>
  <r>
    <x v="0"/>
    <x v="2"/>
    <x v="7"/>
    <n v="7.1006"/>
    <n v="466423.66"/>
    <n v="5182161.3600000003"/>
  </r>
  <r>
    <x v="0"/>
    <x v="2"/>
    <x v="8"/>
    <n v="18.5837"/>
    <n v="466463.66"/>
    <n v="5182181.3600000003"/>
  </r>
  <r>
    <x v="0"/>
    <x v="2"/>
    <x v="9"/>
    <n v="21.2624"/>
    <n v="466493.66"/>
    <n v="5182251.3600000003"/>
  </r>
  <r>
    <x v="0"/>
    <x v="2"/>
    <x v="10"/>
    <n v="17.206700000000001"/>
    <n v="466493.66"/>
    <n v="5182281.3600000003"/>
  </r>
  <r>
    <x v="0"/>
    <x v="2"/>
    <x v="11"/>
    <n v="16.7301"/>
    <n v="466553.66"/>
    <n v="5182171.3600000003"/>
  </r>
  <r>
    <x v="0"/>
    <x v="2"/>
    <x v="12"/>
    <n v="15.5905"/>
    <n v="466323.66"/>
    <n v="5182201.3600000003"/>
  </r>
  <r>
    <x v="0"/>
    <x v="2"/>
    <x v="13"/>
    <n v="19.9346"/>
    <n v="466603.66"/>
    <n v="5182231.3600000003"/>
  </r>
  <r>
    <x v="0"/>
    <x v="2"/>
    <x v="14"/>
    <n v="15.923"/>
    <n v="466483.66"/>
    <n v="5182081.3600000003"/>
  </r>
  <r>
    <x v="0"/>
    <x v="2"/>
    <x v="15"/>
    <n v="18.743400000000001"/>
    <n v="466153.66"/>
    <n v="5182151.3600000003"/>
  </r>
  <r>
    <x v="0"/>
    <x v="2"/>
    <x v="16"/>
    <n v="0"/>
    <n v="466193.66"/>
    <n v="5182091.3600000003"/>
  </r>
  <r>
    <x v="0"/>
    <x v="2"/>
    <x v="17"/>
    <n v="21.272200000000002"/>
    <n v="466533.66"/>
    <n v="5182351.3600000003"/>
  </r>
  <r>
    <x v="0"/>
    <x v="2"/>
    <x v="18"/>
    <n v="26.330200000000001"/>
    <n v="466303.66"/>
    <n v="5182261.3600000003"/>
  </r>
  <r>
    <x v="0"/>
    <x v="2"/>
    <x v="19"/>
    <n v="19.0886"/>
    <n v="466313.66"/>
    <n v="5182341.3600000003"/>
  </r>
  <r>
    <x v="0"/>
    <x v="2"/>
    <x v="20"/>
    <n v="19.881699999999999"/>
    <n v="466213.66"/>
    <n v="5182281.3600000003"/>
  </r>
  <r>
    <x v="0"/>
    <x v="2"/>
    <x v="21"/>
    <n v="14.2622"/>
    <n v="466153.66"/>
    <n v="5182231.3600000003"/>
  </r>
  <r>
    <x v="0"/>
    <x v="2"/>
    <x v="22"/>
    <n v="0"/>
    <n v="466593.66"/>
    <n v="5182311.3600000003"/>
  </r>
  <r>
    <x v="0"/>
    <x v="2"/>
    <x v="23"/>
    <n v="19.046600000000002"/>
    <n v="466283.66"/>
    <n v="5182051.3600000003"/>
  </r>
  <r>
    <x v="0"/>
    <x v="2"/>
    <x v="24"/>
    <n v="18.329899999999999"/>
    <n v="466413.66"/>
    <n v="5182441.3600000003"/>
  </r>
  <r>
    <x v="0"/>
    <x v="2"/>
    <x v="25"/>
    <n v="17.147200000000002"/>
    <n v="466493.66"/>
    <n v="5182501.3600000003"/>
  </r>
  <r>
    <x v="0"/>
    <x v="2"/>
    <x v="26"/>
    <n v="20.235099999999999"/>
    <n v="466423.66"/>
    <n v="5182291.3600000003"/>
  </r>
  <r>
    <x v="0"/>
    <x v="2"/>
    <x v="27"/>
    <n v="14.0861"/>
    <n v="466613.66"/>
    <n v="5182171.3600000003"/>
  </r>
  <r>
    <x v="0"/>
    <x v="2"/>
    <x v="28"/>
    <n v="12.107100000000001"/>
    <n v="466643.66"/>
    <n v="5182271.3600000003"/>
  </r>
  <r>
    <x v="0"/>
    <x v="2"/>
    <x v="29"/>
    <n v="19.511600000000001"/>
    <n v="466333.66"/>
    <n v="5182021.3600000003"/>
  </r>
  <r>
    <x v="0"/>
    <x v="2"/>
    <x v="30"/>
    <n v="16.6568"/>
    <n v="466463.66"/>
    <n v="5182341.3600000003"/>
  </r>
  <r>
    <x v="0"/>
    <x v="2"/>
    <x v="31"/>
    <n v="19.445399999999999"/>
    <n v="466123.66"/>
    <n v="5182111.3600000003"/>
  </r>
  <r>
    <x v="0"/>
    <x v="2"/>
    <x v="32"/>
    <n v="24.909600000000001"/>
    <n v="466333.66"/>
    <n v="5182081.3600000003"/>
  </r>
  <r>
    <x v="0"/>
    <x v="2"/>
    <x v="33"/>
    <n v="21.332100000000001"/>
    <n v="466543.66"/>
    <n v="5182241.3600000003"/>
  </r>
  <r>
    <x v="0"/>
    <x v="2"/>
    <x v="34"/>
    <n v="24.7911"/>
    <n v="466363.66"/>
    <n v="5182331.3600000003"/>
  </r>
  <r>
    <x v="0"/>
    <x v="2"/>
    <x v="35"/>
    <n v="19.415400000000002"/>
    <n v="466353.66"/>
    <n v="5182391.3600000003"/>
  </r>
  <r>
    <x v="1"/>
    <x v="0"/>
    <x v="0"/>
    <n v="35.808900000000001"/>
    <n v="517227.65"/>
    <n v="5169180.78"/>
  </r>
  <r>
    <x v="1"/>
    <x v="0"/>
    <x v="1"/>
    <n v="48.008800000000001"/>
    <n v="517437.65"/>
    <n v="5169220.78"/>
  </r>
  <r>
    <x v="1"/>
    <x v="0"/>
    <x v="2"/>
    <n v="40.240699999999997"/>
    <n v="517327.65"/>
    <n v="5169270.78"/>
  </r>
  <r>
    <x v="1"/>
    <x v="0"/>
    <x v="3"/>
    <n v="29.3383"/>
    <n v="516947.65"/>
    <n v="5169210.78"/>
  </r>
  <r>
    <x v="1"/>
    <x v="0"/>
    <x v="4"/>
    <n v="41.069099999999999"/>
    <n v="517147.65"/>
    <n v="5169230.78"/>
  </r>
  <r>
    <x v="1"/>
    <x v="0"/>
    <x v="5"/>
    <n v="31.454799999999999"/>
    <n v="517057.65"/>
    <n v="5169320.78"/>
  </r>
  <r>
    <x v="1"/>
    <x v="0"/>
    <x v="6"/>
    <n v="51.566200000000002"/>
    <n v="517097.65"/>
    <n v="5169400.78"/>
  </r>
  <r>
    <x v="1"/>
    <x v="0"/>
    <x v="7"/>
    <n v="32.517600000000002"/>
    <n v="517087.65"/>
    <n v="5169460.78"/>
  </r>
  <r>
    <x v="1"/>
    <x v="0"/>
    <x v="8"/>
    <n v="48.796399999999998"/>
    <n v="517257.65"/>
    <n v="5169450.78"/>
  </r>
  <r>
    <x v="1"/>
    <x v="0"/>
    <x v="9"/>
    <n v="26.0611"/>
    <n v="517237.65"/>
    <n v="5169520.78"/>
  </r>
  <r>
    <x v="1"/>
    <x v="0"/>
    <x v="10"/>
    <n v="52.778599999999997"/>
    <n v="517217.65"/>
    <n v="5169370.78"/>
  </r>
  <r>
    <x v="1"/>
    <x v="0"/>
    <x v="11"/>
    <n v="43.019500000000001"/>
    <n v="517127.65"/>
    <n v="5169250.78"/>
  </r>
  <r>
    <x v="1"/>
    <x v="0"/>
    <x v="12"/>
    <n v="34.019500000000001"/>
    <n v="517457.65"/>
    <n v="5169080.78"/>
  </r>
  <r>
    <x v="1"/>
    <x v="0"/>
    <x v="13"/>
    <n v="26.783899999999999"/>
    <n v="517037.65"/>
    <n v="5169220.78"/>
  </r>
  <r>
    <x v="1"/>
    <x v="0"/>
    <x v="14"/>
    <n v="31.480399999999999"/>
    <n v="516887.65"/>
    <n v="5169320.78"/>
  </r>
  <r>
    <x v="1"/>
    <x v="0"/>
    <x v="15"/>
    <n v="21.636199999999999"/>
    <n v="517327.65"/>
    <n v="5169530.78"/>
  </r>
  <r>
    <x v="1"/>
    <x v="0"/>
    <x v="16"/>
    <n v="38.939500000000002"/>
    <n v="517397.65"/>
    <n v="5169360.78"/>
  </r>
  <r>
    <x v="1"/>
    <x v="0"/>
    <x v="17"/>
    <n v="0"/>
    <n v="516847.65"/>
    <n v="5169190.78"/>
  </r>
  <r>
    <x v="1"/>
    <x v="0"/>
    <x v="18"/>
    <n v="26.643799999999999"/>
    <n v="517147.65"/>
    <n v="5169560.78"/>
  </r>
  <r>
    <x v="1"/>
    <x v="0"/>
    <x v="19"/>
    <n v="32.430300000000003"/>
    <n v="517347.65"/>
    <n v="5169170.78"/>
  </r>
  <r>
    <x v="1"/>
    <x v="0"/>
    <x v="20"/>
    <n v="38.531700000000001"/>
    <n v="516957.65"/>
    <n v="5169460.78"/>
  </r>
  <r>
    <x v="1"/>
    <x v="0"/>
    <x v="21"/>
    <n v="32.148099999999999"/>
    <n v="517237.65"/>
    <n v="5169280.78"/>
  </r>
  <r>
    <x v="1"/>
    <x v="0"/>
    <x v="22"/>
    <n v="32.960500000000003"/>
    <n v="517367.65"/>
    <n v="5169070.78"/>
  </r>
  <r>
    <x v="1"/>
    <x v="0"/>
    <x v="23"/>
    <n v="43.013399999999997"/>
    <n v="516877.65"/>
    <n v="5169420.78"/>
  </r>
  <r>
    <x v="1"/>
    <x v="0"/>
    <x v="24"/>
    <n v="34.8459"/>
    <n v="516977.65"/>
    <n v="5169290.78"/>
  </r>
  <r>
    <x v="1"/>
    <x v="0"/>
    <x v="25"/>
    <n v="51.701500000000003"/>
    <n v="517317.65"/>
    <n v="5169390.78"/>
  </r>
  <r>
    <x v="1"/>
    <x v="0"/>
    <x v="26"/>
    <n v="28.8186"/>
    <n v="517177.65"/>
    <n v="5169460.78"/>
  </r>
  <r>
    <x v="1"/>
    <x v="0"/>
    <x v="27"/>
    <n v="51.4499"/>
    <n v="517457.65"/>
    <n v="5169310.78"/>
  </r>
  <r>
    <x v="1"/>
    <x v="0"/>
    <x v="28"/>
    <n v="0"/>
    <n v="517287.65"/>
    <n v="5169080.78"/>
  </r>
  <r>
    <x v="1"/>
    <x v="0"/>
    <x v="29"/>
    <n v="41.438299999999998"/>
    <n v="516997.65"/>
    <n v="5169380.78"/>
  </r>
  <r>
    <x v="1"/>
    <x v="0"/>
    <x v="30"/>
    <n v="29.916699999999999"/>
    <n v="517287.65"/>
    <n v="5169590.78"/>
  </r>
  <r>
    <x v="1"/>
    <x v="0"/>
    <x v="31"/>
    <n v="41.851399999999998"/>
    <n v="517147.65"/>
    <n v="5169330.78"/>
  </r>
  <r>
    <x v="1"/>
    <x v="0"/>
    <x v="32"/>
    <n v="52.823900000000002"/>
    <n v="517387.65"/>
    <n v="5169440.78"/>
  </r>
  <r>
    <x v="1"/>
    <x v="0"/>
    <x v="33"/>
    <n v="41.371299999999998"/>
    <n v="517467.65"/>
    <n v="5169160.78"/>
  </r>
  <r>
    <x v="1"/>
    <x v="0"/>
    <x v="34"/>
    <n v="31.747399999999999"/>
    <n v="517077.65"/>
    <n v="5169530.78"/>
  </r>
  <r>
    <x v="1"/>
    <x v="0"/>
    <x v="35"/>
    <n v="33.048999999999999"/>
    <n v="517317.65"/>
    <n v="5169020.78"/>
  </r>
  <r>
    <x v="1"/>
    <x v="1"/>
    <x v="0"/>
    <n v="6.6"/>
    <n v="517227.65"/>
    <n v="5169180.78"/>
  </r>
  <r>
    <x v="1"/>
    <x v="1"/>
    <x v="1"/>
    <n v="10.4"/>
    <n v="517437.65"/>
    <n v="5169220.78"/>
  </r>
  <r>
    <x v="1"/>
    <x v="1"/>
    <x v="2"/>
    <n v="6.4"/>
    <n v="517327.65"/>
    <n v="5169270.78"/>
  </r>
  <r>
    <x v="1"/>
    <x v="1"/>
    <x v="3"/>
    <n v="9.6999999999999993"/>
    <n v="516947.65"/>
    <n v="5169210.78"/>
  </r>
  <r>
    <x v="1"/>
    <x v="1"/>
    <x v="4"/>
    <n v="14"/>
    <n v="517147.65"/>
    <n v="5169230.78"/>
  </r>
  <r>
    <x v="1"/>
    <x v="1"/>
    <x v="5"/>
    <n v="11.3"/>
    <n v="517057.65"/>
    <n v="5169320.78"/>
  </r>
  <r>
    <x v="1"/>
    <x v="1"/>
    <x v="6"/>
    <n v="13"/>
    <n v="517097.65"/>
    <n v="5169400.78"/>
  </r>
  <r>
    <x v="1"/>
    <x v="1"/>
    <x v="7"/>
    <n v="6.4"/>
    <n v="517087.65"/>
    <n v="5169460.78"/>
  </r>
  <r>
    <x v="1"/>
    <x v="1"/>
    <x v="8"/>
    <n v="15.2"/>
    <n v="517257.65"/>
    <n v="5169450.78"/>
  </r>
  <r>
    <x v="1"/>
    <x v="1"/>
    <x v="9"/>
    <n v="4.8"/>
    <n v="517237.65"/>
    <n v="5169520.78"/>
  </r>
  <r>
    <x v="1"/>
    <x v="1"/>
    <x v="10"/>
    <n v="18.600000000000001"/>
    <n v="517217.65"/>
    <n v="5169370.78"/>
  </r>
  <r>
    <x v="1"/>
    <x v="1"/>
    <x v="11"/>
    <n v="11.2"/>
    <n v="517127.65"/>
    <n v="5169250.78"/>
  </r>
  <r>
    <x v="1"/>
    <x v="1"/>
    <x v="12"/>
    <n v="5.8"/>
    <n v="517457.65"/>
    <n v="5169080.78"/>
  </r>
  <r>
    <x v="1"/>
    <x v="1"/>
    <x v="13"/>
    <n v="8"/>
    <n v="517037.65"/>
    <n v="5169220.78"/>
  </r>
  <r>
    <x v="1"/>
    <x v="1"/>
    <x v="14"/>
    <n v="6.7"/>
    <n v="516887.65"/>
    <n v="5169320.78"/>
  </r>
  <r>
    <x v="1"/>
    <x v="1"/>
    <x v="15"/>
    <n v="3"/>
    <n v="517327.65"/>
    <n v="5169530.78"/>
  </r>
  <r>
    <x v="1"/>
    <x v="1"/>
    <x v="16"/>
    <n v="11.8"/>
    <n v="517397.65"/>
    <n v="5169360.78"/>
  </r>
  <r>
    <x v="1"/>
    <x v="1"/>
    <x v="17"/>
    <n v="0"/>
    <n v="516847.65"/>
    <n v="5169190.78"/>
  </r>
  <r>
    <x v="1"/>
    <x v="1"/>
    <x v="18"/>
    <n v="3.8"/>
    <n v="517147.65"/>
    <n v="5169560.78"/>
  </r>
  <r>
    <x v="1"/>
    <x v="1"/>
    <x v="19"/>
    <n v="5.6"/>
    <n v="517347.65"/>
    <n v="5169170.78"/>
  </r>
  <r>
    <x v="1"/>
    <x v="1"/>
    <x v="20"/>
    <n v="6.9"/>
    <n v="516957.65"/>
    <n v="5169460.78"/>
  </r>
  <r>
    <x v="1"/>
    <x v="1"/>
    <x v="21"/>
    <n v="9.3000000000000007"/>
    <n v="517237.65"/>
    <n v="5169280.78"/>
  </r>
  <r>
    <x v="1"/>
    <x v="1"/>
    <x v="22"/>
    <n v="7.3"/>
    <n v="517367.65"/>
    <n v="5169070.78"/>
  </r>
  <r>
    <x v="1"/>
    <x v="1"/>
    <x v="23"/>
    <n v="13.2"/>
    <n v="516877.65"/>
    <n v="5169420.78"/>
  </r>
  <r>
    <x v="1"/>
    <x v="1"/>
    <x v="24"/>
    <n v="12.1"/>
    <n v="516977.65"/>
    <n v="5169290.78"/>
  </r>
  <r>
    <x v="1"/>
    <x v="1"/>
    <x v="25"/>
    <n v="21.7"/>
    <n v="517317.65"/>
    <n v="5169390.78"/>
  </r>
  <r>
    <x v="1"/>
    <x v="1"/>
    <x v="26"/>
    <n v="9.8000000000000007"/>
    <n v="517177.65"/>
    <n v="5169460.78"/>
  </r>
  <r>
    <x v="1"/>
    <x v="1"/>
    <x v="27"/>
    <n v="7.1"/>
    <n v="517457.65"/>
    <n v="5169310.78"/>
  </r>
  <r>
    <x v="1"/>
    <x v="1"/>
    <x v="28"/>
    <n v="0"/>
    <n v="517287.65"/>
    <n v="5169080.78"/>
  </r>
  <r>
    <x v="1"/>
    <x v="1"/>
    <x v="29"/>
    <n v="13.5"/>
    <n v="516997.65"/>
    <n v="5169380.78"/>
  </r>
  <r>
    <x v="1"/>
    <x v="1"/>
    <x v="30"/>
    <n v="8.8000000000000007"/>
    <n v="517287.65"/>
    <n v="5169590.78"/>
  </r>
  <r>
    <x v="1"/>
    <x v="1"/>
    <x v="31"/>
    <n v="14.1"/>
    <n v="517147.65"/>
    <n v="5169330.78"/>
  </r>
  <r>
    <x v="1"/>
    <x v="1"/>
    <x v="32"/>
    <n v="16.399999999999999"/>
    <n v="517387.65"/>
    <n v="5169440.78"/>
  </r>
  <r>
    <x v="1"/>
    <x v="1"/>
    <x v="33"/>
    <n v="9.6999999999999993"/>
    <n v="517467.65"/>
    <n v="5169160.78"/>
  </r>
  <r>
    <x v="1"/>
    <x v="1"/>
    <x v="34"/>
    <n v="5.4"/>
    <n v="517077.65"/>
    <n v="5169530.78"/>
  </r>
  <r>
    <x v="1"/>
    <x v="1"/>
    <x v="35"/>
    <n v="5.0999999999999996"/>
    <n v="517317.65"/>
    <n v="5169020.78"/>
  </r>
  <r>
    <x v="1"/>
    <x v="2"/>
    <x v="0"/>
    <n v="29.2089"/>
    <n v="517227.65"/>
    <n v="5169180.78"/>
  </r>
  <r>
    <x v="1"/>
    <x v="2"/>
    <x v="1"/>
    <n v="37.608800000000002"/>
    <n v="517437.65"/>
    <n v="5169220.78"/>
  </r>
  <r>
    <x v="1"/>
    <x v="2"/>
    <x v="2"/>
    <n v="33.840699999999998"/>
    <n v="517327.65"/>
    <n v="5169270.78"/>
  </r>
  <r>
    <x v="1"/>
    <x v="2"/>
    <x v="3"/>
    <n v="19.638300000000001"/>
    <n v="516947.65"/>
    <n v="5169210.78"/>
  </r>
  <r>
    <x v="1"/>
    <x v="2"/>
    <x v="4"/>
    <n v="27.069099999999999"/>
    <n v="517147.65"/>
    <n v="5169230.78"/>
  </r>
  <r>
    <x v="1"/>
    <x v="2"/>
    <x v="5"/>
    <n v="20.154800000000002"/>
    <n v="517057.65"/>
    <n v="5169320.78"/>
  </r>
  <r>
    <x v="1"/>
    <x v="2"/>
    <x v="6"/>
    <n v="38.566200000000002"/>
    <n v="517097.65"/>
    <n v="5169400.78"/>
  </r>
  <r>
    <x v="1"/>
    <x v="2"/>
    <x v="7"/>
    <n v="26.117599999999999"/>
    <n v="517087.65"/>
    <n v="5169460.78"/>
  </r>
  <r>
    <x v="1"/>
    <x v="2"/>
    <x v="8"/>
    <n v="33.596400000000003"/>
    <n v="517257.65"/>
    <n v="5169450.78"/>
  </r>
  <r>
    <x v="1"/>
    <x v="2"/>
    <x v="9"/>
    <n v="21.261099999999999"/>
    <n v="517237.65"/>
    <n v="5169520.78"/>
  </r>
  <r>
    <x v="1"/>
    <x v="2"/>
    <x v="10"/>
    <n v="34.178600000000003"/>
    <n v="517217.65"/>
    <n v="5169370.78"/>
  </r>
  <r>
    <x v="1"/>
    <x v="2"/>
    <x v="11"/>
    <n v="31.819500000000001"/>
    <n v="517127.65"/>
    <n v="5169250.78"/>
  </r>
  <r>
    <x v="1"/>
    <x v="2"/>
    <x v="12"/>
    <n v="28.2195"/>
    <n v="517457.65"/>
    <n v="5169080.78"/>
  </r>
  <r>
    <x v="1"/>
    <x v="2"/>
    <x v="13"/>
    <n v="18.783899999999999"/>
    <n v="517037.65"/>
    <n v="5169220.78"/>
  </r>
  <r>
    <x v="1"/>
    <x v="2"/>
    <x v="14"/>
    <n v="24.7804"/>
    <n v="516887.65"/>
    <n v="5169320.78"/>
  </r>
  <r>
    <x v="1"/>
    <x v="2"/>
    <x v="15"/>
    <n v="18.636199999999999"/>
    <n v="517327.65"/>
    <n v="5169530.78"/>
  </r>
  <r>
    <x v="1"/>
    <x v="2"/>
    <x v="16"/>
    <n v="27.139500000000002"/>
    <n v="517397.65"/>
    <n v="5169360.78"/>
  </r>
  <r>
    <x v="1"/>
    <x v="2"/>
    <x v="17"/>
    <n v="0"/>
    <n v="516847.65"/>
    <n v="5169190.78"/>
  </r>
  <r>
    <x v="1"/>
    <x v="2"/>
    <x v="18"/>
    <n v="22.843800000000002"/>
    <n v="517147.65"/>
    <n v="5169560.78"/>
  </r>
  <r>
    <x v="1"/>
    <x v="2"/>
    <x v="19"/>
    <n v="26.830300000000001"/>
    <n v="517347.65"/>
    <n v="5169170.78"/>
  </r>
  <r>
    <x v="1"/>
    <x v="2"/>
    <x v="20"/>
    <n v="31.631699999999999"/>
    <n v="516957.65"/>
    <n v="5169460.78"/>
  </r>
  <r>
    <x v="1"/>
    <x v="2"/>
    <x v="21"/>
    <n v="22.848099999999999"/>
    <n v="517237.65"/>
    <n v="5169280.78"/>
  </r>
  <r>
    <x v="1"/>
    <x v="2"/>
    <x v="22"/>
    <n v="25.660499999999999"/>
    <n v="517367.65"/>
    <n v="5169070.78"/>
  </r>
  <r>
    <x v="1"/>
    <x v="2"/>
    <x v="23"/>
    <n v="29.813400000000001"/>
    <n v="516877.65"/>
    <n v="5169420.78"/>
  </r>
  <r>
    <x v="1"/>
    <x v="2"/>
    <x v="24"/>
    <n v="22.745899999999999"/>
    <n v="516977.65"/>
    <n v="5169290.78"/>
  </r>
  <r>
    <x v="1"/>
    <x v="2"/>
    <x v="25"/>
    <n v="30.0015"/>
    <n v="517317.65"/>
    <n v="5169390.78"/>
  </r>
  <r>
    <x v="1"/>
    <x v="2"/>
    <x v="26"/>
    <n v="19.018599999999999"/>
    <n v="517177.65"/>
    <n v="5169460.78"/>
  </r>
  <r>
    <x v="1"/>
    <x v="2"/>
    <x v="27"/>
    <n v="44.349899999999998"/>
    <n v="517457.65"/>
    <n v="5169310.78"/>
  </r>
  <r>
    <x v="1"/>
    <x v="2"/>
    <x v="28"/>
    <n v="0"/>
    <n v="517287.65"/>
    <n v="5169080.78"/>
  </r>
  <r>
    <x v="1"/>
    <x v="2"/>
    <x v="29"/>
    <n v="27.938300000000002"/>
    <n v="516997.65"/>
    <n v="5169380.78"/>
  </r>
  <r>
    <x v="1"/>
    <x v="2"/>
    <x v="30"/>
    <n v="21.116700000000002"/>
    <n v="517287.65"/>
    <n v="5169590.78"/>
  </r>
  <r>
    <x v="1"/>
    <x v="2"/>
    <x v="31"/>
    <n v="27.7514"/>
    <n v="517147.65"/>
    <n v="5169330.78"/>
  </r>
  <r>
    <x v="1"/>
    <x v="2"/>
    <x v="32"/>
    <n v="36.423900000000003"/>
    <n v="517387.65"/>
    <n v="5169440.78"/>
  </r>
  <r>
    <x v="1"/>
    <x v="2"/>
    <x v="33"/>
    <n v="31.671299999999999"/>
    <n v="517467.65"/>
    <n v="5169160.78"/>
  </r>
  <r>
    <x v="1"/>
    <x v="2"/>
    <x v="34"/>
    <n v="26.3474"/>
    <n v="517077.65"/>
    <n v="5169530.78"/>
  </r>
  <r>
    <x v="1"/>
    <x v="2"/>
    <x v="35"/>
    <n v="27.949000000000002"/>
    <n v="517317.65"/>
    <n v="5169020.78"/>
  </r>
  <r>
    <x v="2"/>
    <x v="0"/>
    <x v="0"/>
    <n v="37.629600000000003"/>
    <n v="5150951.67"/>
    <n v="37629485.969999999"/>
  </r>
  <r>
    <x v="2"/>
    <x v="0"/>
    <x v="1"/>
    <n v="56.821800000000003"/>
    <n v="5150981.67"/>
    <n v="56821627.810000002"/>
  </r>
  <r>
    <x v="2"/>
    <x v="0"/>
    <x v="2"/>
    <n v="37.165500000000002"/>
    <n v="5151011.67"/>
    <n v="37165387.380000003"/>
  </r>
  <r>
    <x v="2"/>
    <x v="0"/>
    <x v="3"/>
    <n v="53.589799999999997"/>
    <n v="5151081.67"/>
    <n v="53589637.609999999"/>
  </r>
  <r>
    <x v="2"/>
    <x v="0"/>
    <x v="4"/>
    <n v="63.144799999999996"/>
    <n v="5151081.67"/>
    <n v="63144608.649999999"/>
  </r>
  <r>
    <x v="2"/>
    <x v="0"/>
    <x v="5"/>
    <n v="47.570300000000003"/>
    <n v="5151111.67"/>
    <n v="47570155.850000001"/>
  </r>
  <r>
    <x v="2"/>
    <x v="0"/>
    <x v="6"/>
    <n v="61.290300000000002"/>
    <n v="5151051.67"/>
    <n v="61290114.270000003"/>
  </r>
  <r>
    <x v="2"/>
    <x v="0"/>
    <x v="7"/>
    <n v="44.165799999999997"/>
    <n v="5150991.67"/>
    <n v="44165666.159999996"/>
  </r>
  <r>
    <x v="2"/>
    <x v="0"/>
    <x v="8"/>
    <n v="51.8369"/>
    <n v="5151021.67"/>
    <n v="51836742.920000002"/>
  </r>
  <r>
    <x v="2"/>
    <x v="0"/>
    <x v="9"/>
    <n v="53.501600000000003"/>
    <n v="5150951.67"/>
    <n v="53501437.869999997"/>
  </r>
  <r>
    <x v="2"/>
    <x v="0"/>
    <x v="10"/>
    <n v="37.805799999999998"/>
    <n v="5150991.67"/>
    <n v="37805685.439999998"/>
  </r>
  <r>
    <x v="2"/>
    <x v="0"/>
    <x v="11"/>
    <n v="53.253999999999998"/>
    <n v="5150931.67"/>
    <n v="53253838.619999997"/>
  </r>
  <r>
    <x v="2"/>
    <x v="0"/>
    <x v="12"/>
    <n v="51.346699999999998"/>
    <n v="5151051.67"/>
    <n v="51346544.399999999"/>
  </r>
  <r>
    <x v="2"/>
    <x v="0"/>
    <x v="14"/>
    <n v="38.655700000000003"/>
    <n v="5151091.67"/>
    <n v="38655582.859999999"/>
  </r>
  <r>
    <x v="2"/>
    <x v="0"/>
    <x v="15"/>
    <n v="39.650599999999997"/>
    <n v="5150981.67"/>
    <n v="39650479.850000001"/>
  </r>
  <r>
    <x v="2"/>
    <x v="0"/>
    <x v="16"/>
    <n v="51.598399999999998"/>
    <n v="5150991.67"/>
    <n v="51598243.640000001"/>
  </r>
  <r>
    <x v="2"/>
    <x v="0"/>
    <x v="17"/>
    <n v="0"/>
    <n v="5151141.67"/>
    <n v="0"/>
  </r>
  <r>
    <x v="2"/>
    <x v="0"/>
    <x v="18"/>
    <n v="38.235300000000002"/>
    <n v="5151101.67"/>
    <n v="38235184.140000001"/>
  </r>
  <r>
    <x v="2"/>
    <x v="0"/>
    <x v="19"/>
    <n v="0"/>
    <n v="5150891.67"/>
    <n v="0"/>
  </r>
  <r>
    <x v="2"/>
    <x v="0"/>
    <x v="20"/>
    <n v="41.3718"/>
    <n v="5150871.67"/>
    <n v="41371674.630000003"/>
  </r>
  <r>
    <x v="2"/>
    <x v="0"/>
    <x v="21"/>
    <n v="0"/>
    <n v="5150891.67"/>
    <n v="0"/>
  </r>
  <r>
    <x v="2"/>
    <x v="0"/>
    <x v="22"/>
    <n v="53.134500000000003"/>
    <n v="5151021.67"/>
    <n v="53134338.990000002"/>
  </r>
  <r>
    <x v="2"/>
    <x v="0"/>
    <x v="23"/>
    <n v="36.808599999999998"/>
    <n v="5151061.67"/>
    <n v="36808488.460000001"/>
  </r>
  <r>
    <x v="2"/>
    <x v="0"/>
    <x v="24"/>
    <n v="41.055100000000003"/>
    <n v="5150951.67"/>
    <n v="41054975.590000004"/>
  </r>
  <r>
    <x v="2"/>
    <x v="0"/>
    <x v="25"/>
    <n v="42.189799999999998"/>
    <n v="5150911.67"/>
    <n v="42189672.149999999"/>
  </r>
  <r>
    <x v="2"/>
    <x v="0"/>
    <x v="26"/>
    <n v="44.407899999999998"/>
    <n v="5151031.67"/>
    <n v="44407765.43"/>
  </r>
  <r>
    <x v="2"/>
    <x v="0"/>
    <x v="27"/>
    <n v="0"/>
    <n v="5151111.67"/>
    <n v="0"/>
  </r>
  <r>
    <x v="2"/>
    <x v="0"/>
    <x v="28"/>
    <n v="51.258699999999997"/>
    <n v="5150961.67"/>
    <n v="51258544.670000002"/>
  </r>
  <r>
    <x v="2"/>
    <x v="0"/>
    <x v="29"/>
    <n v="54.273000000000003"/>
    <n v="5151041.67"/>
    <n v="54272835.539999999"/>
  </r>
  <r>
    <x v="2"/>
    <x v="0"/>
    <x v="31"/>
    <n v="43.438299999999998"/>
    <n v="5150901.67"/>
    <n v="43438168.369999997"/>
  </r>
  <r>
    <x v="2"/>
    <x v="0"/>
    <x v="32"/>
    <n v="41.297499999999999"/>
    <n v="5150931.67"/>
    <n v="41297374.859999999"/>
  </r>
  <r>
    <x v="2"/>
    <x v="0"/>
    <x v="33"/>
    <n v="41.513300000000001"/>
    <n v="5150971.67"/>
    <n v="41513174.200000003"/>
  </r>
  <r>
    <x v="2"/>
    <x v="0"/>
    <x v="34"/>
    <n v="0"/>
    <n v="5151171.67"/>
    <n v="0"/>
  </r>
  <r>
    <x v="2"/>
    <x v="0"/>
    <x v="35"/>
    <n v="48.306399999999996"/>
    <n v="5150921.67"/>
    <n v="48306253.619999997"/>
  </r>
  <r>
    <x v="2"/>
    <x v="1"/>
    <x v="0"/>
    <n v="7.5"/>
    <n v="5150951.67"/>
    <n v="37629485.969999999"/>
  </r>
  <r>
    <x v="2"/>
    <x v="1"/>
    <x v="1"/>
    <n v="16.8"/>
    <n v="5150981.67"/>
    <n v="56821627.810000002"/>
  </r>
  <r>
    <x v="2"/>
    <x v="1"/>
    <x v="2"/>
    <n v="9.9"/>
    <n v="5151011.67"/>
    <n v="37165387.380000003"/>
  </r>
  <r>
    <x v="2"/>
    <x v="1"/>
    <x v="3"/>
    <n v="8"/>
    <n v="5151081.67"/>
    <n v="53589637.609999999"/>
  </r>
  <r>
    <x v="2"/>
    <x v="1"/>
    <x v="4"/>
    <n v="20.6"/>
    <n v="5151081.67"/>
    <n v="63144608.649999999"/>
  </r>
  <r>
    <x v="2"/>
    <x v="1"/>
    <x v="5"/>
    <n v="6.9"/>
    <n v="5151111.67"/>
    <n v="47570155.850000001"/>
  </r>
  <r>
    <x v="2"/>
    <x v="1"/>
    <x v="6"/>
    <n v="6.5"/>
    <n v="5151051.67"/>
    <n v="61290114.270000003"/>
  </r>
  <r>
    <x v="2"/>
    <x v="1"/>
    <x v="7"/>
    <n v="7.6"/>
    <n v="5150991.67"/>
    <n v="44165666.159999996"/>
  </r>
  <r>
    <x v="2"/>
    <x v="1"/>
    <x v="8"/>
    <n v="9.5"/>
    <n v="5151021.67"/>
    <n v="51836742.920000002"/>
  </r>
  <r>
    <x v="2"/>
    <x v="1"/>
    <x v="9"/>
    <n v="15.1"/>
    <n v="5150951.67"/>
    <n v="53501437.869999997"/>
  </r>
  <r>
    <x v="2"/>
    <x v="1"/>
    <x v="10"/>
    <n v="10"/>
    <n v="5150991.67"/>
    <n v="37805685.439999998"/>
  </r>
  <r>
    <x v="2"/>
    <x v="1"/>
    <x v="11"/>
    <n v="13.4"/>
    <n v="5150931.67"/>
    <n v="53253838.619999997"/>
  </r>
  <r>
    <x v="2"/>
    <x v="1"/>
    <x v="12"/>
    <n v="9"/>
    <n v="5151051.67"/>
    <n v="51346544.399999999"/>
  </r>
  <r>
    <x v="2"/>
    <x v="1"/>
    <x v="14"/>
    <n v="4.5999999999999996"/>
    <n v="5151091.67"/>
    <n v="38655582.859999999"/>
  </r>
  <r>
    <x v="2"/>
    <x v="1"/>
    <x v="15"/>
    <n v="24.4"/>
    <n v="5150981.67"/>
    <n v="39650479.850000001"/>
  </r>
  <r>
    <x v="2"/>
    <x v="1"/>
    <x v="16"/>
    <n v="13.2"/>
    <n v="5150991.67"/>
    <n v="51598243.640000001"/>
  </r>
  <r>
    <x v="2"/>
    <x v="1"/>
    <x v="17"/>
    <n v="0"/>
    <n v="5151141.67"/>
    <n v="0"/>
  </r>
  <r>
    <x v="2"/>
    <x v="1"/>
    <x v="18"/>
    <n v="6.6"/>
    <n v="5151101.67"/>
    <n v="38235184.140000001"/>
  </r>
  <r>
    <x v="2"/>
    <x v="1"/>
    <x v="19"/>
    <n v="0"/>
    <n v="5150891.67"/>
    <n v="0"/>
  </r>
  <r>
    <x v="2"/>
    <x v="1"/>
    <x v="20"/>
    <n v="10.4"/>
    <n v="5150871.67"/>
    <n v="41371674.630000003"/>
  </r>
  <r>
    <x v="2"/>
    <x v="1"/>
    <x v="21"/>
    <n v="0"/>
    <n v="5150891.67"/>
    <n v="0"/>
  </r>
  <r>
    <x v="2"/>
    <x v="1"/>
    <x v="22"/>
    <n v="18.899999999999999"/>
    <n v="5151021.67"/>
    <n v="53134338.990000002"/>
  </r>
  <r>
    <x v="2"/>
    <x v="1"/>
    <x v="23"/>
    <n v="8.5"/>
    <n v="5151061.67"/>
    <n v="36808488.460000001"/>
  </r>
  <r>
    <x v="2"/>
    <x v="1"/>
    <x v="24"/>
    <n v="8.5"/>
    <n v="5150951.67"/>
    <n v="41054975.590000004"/>
  </r>
  <r>
    <x v="2"/>
    <x v="1"/>
    <x v="25"/>
    <n v="10.8"/>
    <n v="5150911.67"/>
    <n v="42189672.149999999"/>
  </r>
  <r>
    <x v="2"/>
    <x v="1"/>
    <x v="26"/>
    <n v="12"/>
    <n v="5151031.67"/>
    <n v="44407765.43"/>
  </r>
  <r>
    <x v="2"/>
    <x v="1"/>
    <x v="27"/>
    <n v="0"/>
    <n v="5151111.67"/>
    <n v="0"/>
  </r>
  <r>
    <x v="2"/>
    <x v="1"/>
    <x v="28"/>
    <n v="13"/>
    <n v="5150961.67"/>
    <n v="51258544.670000002"/>
  </r>
  <r>
    <x v="2"/>
    <x v="1"/>
    <x v="29"/>
    <n v="18.5"/>
    <n v="5151041.67"/>
    <n v="54272835.539999999"/>
  </r>
  <r>
    <x v="2"/>
    <x v="1"/>
    <x v="31"/>
    <n v="10"/>
    <n v="5150901.67"/>
    <n v="43438168.369999997"/>
  </r>
  <r>
    <x v="2"/>
    <x v="1"/>
    <x v="32"/>
    <n v="19.899999999999999"/>
    <n v="5150931.67"/>
    <n v="41297374.859999999"/>
  </r>
  <r>
    <x v="2"/>
    <x v="1"/>
    <x v="33"/>
    <n v="18.8"/>
    <n v="5150971.67"/>
    <n v="41513174.200000003"/>
  </r>
  <r>
    <x v="2"/>
    <x v="1"/>
    <x v="34"/>
    <n v="0"/>
    <n v="5151171.67"/>
    <n v="0"/>
  </r>
  <r>
    <x v="2"/>
    <x v="1"/>
    <x v="35"/>
    <n v="7.6"/>
    <n v="5150921.67"/>
    <n v="48306253.619999997"/>
  </r>
  <r>
    <x v="2"/>
    <x v="2"/>
    <x v="0"/>
    <n v="30.1296"/>
    <n v="5150951.67"/>
    <n v="37629485.969999999"/>
  </r>
  <r>
    <x v="2"/>
    <x v="2"/>
    <x v="1"/>
    <n v="40.021799999999999"/>
    <n v="5150981.67"/>
    <n v="56821627.810000002"/>
  </r>
  <r>
    <x v="2"/>
    <x v="2"/>
    <x v="2"/>
    <n v="27.265499999999999"/>
    <n v="5151011.67"/>
    <n v="37165387.380000003"/>
  </r>
  <r>
    <x v="2"/>
    <x v="2"/>
    <x v="3"/>
    <n v="45.589799999999997"/>
    <n v="5151081.67"/>
    <n v="53589637.609999999"/>
  </r>
  <r>
    <x v="2"/>
    <x v="2"/>
    <x v="4"/>
    <n v="42.544800000000002"/>
    <n v="5151081.67"/>
    <n v="63144608.649999999"/>
  </r>
  <r>
    <x v="2"/>
    <x v="2"/>
    <x v="5"/>
    <n v="40.670299999999997"/>
    <n v="5151111.67"/>
    <n v="47570155.850000001"/>
  </r>
  <r>
    <x v="2"/>
    <x v="2"/>
    <x v="6"/>
    <n v="54.790300000000002"/>
    <n v="5151051.67"/>
    <n v="61290114.270000003"/>
  </r>
  <r>
    <x v="2"/>
    <x v="2"/>
    <x v="7"/>
    <n v="36.565800000000003"/>
    <n v="5150991.67"/>
    <n v="44165666.159999996"/>
  </r>
  <r>
    <x v="2"/>
    <x v="2"/>
    <x v="8"/>
    <n v="42.3369"/>
    <n v="5151021.67"/>
    <n v="51836742.920000002"/>
  </r>
  <r>
    <x v="2"/>
    <x v="2"/>
    <x v="9"/>
    <n v="38.401600000000002"/>
    <n v="5150951.67"/>
    <n v="53501437.869999997"/>
  </r>
  <r>
    <x v="2"/>
    <x v="2"/>
    <x v="10"/>
    <n v="27.805800000000001"/>
    <n v="5150991.67"/>
    <n v="37805685.439999998"/>
  </r>
  <r>
    <x v="2"/>
    <x v="2"/>
    <x v="11"/>
    <n v="39.853999999999999"/>
    <n v="5150931.67"/>
    <n v="53253838.619999997"/>
  </r>
  <r>
    <x v="2"/>
    <x v="2"/>
    <x v="12"/>
    <n v="42.346699999999998"/>
    <n v="5151051.67"/>
    <n v="51346544.399999999"/>
  </r>
  <r>
    <x v="2"/>
    <x v="2"/>
    <x v="14"/>
    <n v="34.055700000000002"/>
    <n v="5151091.67"/>
    <n v="38655582.859999999"/>
  </r>
  <r>
    <x v="2"/>
    <x v="2"/>
    <x v="15"/>
    <n v="15.2506"/>
    <n v="5150981.67"/>
    <n v="39650479.850000001"/>
  </r>
  <r>
    <x v="2"/>
    <x v="2"/>
    <x v="16"/>
    <n v="38.398400000000002"/>
    <n v="5150991.67"/>
    <n v="51598243.640000001"/>
  </r>
  <r>
    <x v="2"/>
    <x v="2"/>
    <x v="17"/>
    <n v="0"/>
    <n v="5151141.67"/>
    <n v="0"/>
  </r>
  <r>
    <x v="2"/>
    <x v="2"/>
    <x v="18"/>
    <n v="31.635200000000001"/>
    <n v="5151101.67"/>
    <n v="38235184.140000001"/>
  </r>
  <r>
    <x v="2"/>
    <x v="2"/>
    <x v="19"/>
    <n v="0"/>
    <n v="5150891.67"/>
    <n v="0"/>
  </r>
  <r>
    <x v="2"/>
    <x v="2"/>
    <x v="20"/>
    <n v="30.971800000000002"/>
    <n v="5150871.67"/>
    <n v="41371674.630000003"/>
  </r>
  <r>
    <x v="2"/>
    <x v="2"/>
    <x v="21"/>
    <n v="0"/>
    <n v="5150891.67"/>
    <n v="0"/>
  </r>
  <r>
    <x v="2"/>
    <x v="2"/>
    <x v="22"/>
    <n v="34.234499999999997"/>
    <n v="5151021.67"/>
    <n v="53134338.990000002"/>
  </r>
  <r>
    <x v="2"/>
    <x v="2"/>
    <x v="23"/>
    <n v="28.308599999999998"/>
    <n v="5151061.67"/>
    <n v="36808488.460000001"/>
  </r>
  <r>
    <x v="2"/>
    <x v="2"/>
    <x v="24"/>
    <n v="32.555100000000003"/>
    <n v="5150951.67"/>
    <n v="41054975.590000004"/>
  </r>
  <r>
    <x v="2"/>
    <x v="2"/>
    <x v="25"/>
    <n v="31.389800000000001"/>
    <n v="5150911.67"/>
    <n v="42189672.149999999"/>
  </r>
  <r>
    <x v="2"/>
    <x v="2"/>
    <x v="26"/>
    <n v="32.407899999999998"/>
    <n v="5151031.67"/>
    <n v="44407765.43"/>
  </r>
  <r>
    <x v="2"/>
    <x v="2"/>
    <x v="27"/>
    <n v="0"/>
    <n v="5151111.67"/>
    <n v="0"/>
  </r>
  <r>
    <x v="2"/>
    <x v="2"/>
    <x v="28"/>
    <n v="38.258699999999997"/>
    <n v="5150961.67"/>
    <n v="51258544.670000002"/>
  </r>
  <r>
    <x v="2"/>
    <x v="2"/>
    <x v="29"/>
    <n v="35.773000000000003"/>
    <n v="5151041.67"/>
    <n v="54272835.539999999"/>
  </r>
  <r>
    <x v="2"/>
    <x v="2"/>
    <x v="31"/>
    <n v="33.438299999999998"/>
    <n v="5150901.67"/>
    <n v="43438168.369999997"/>
  </r>
  <r>
    <x v="2"/>
    <x v="2"/>
    <x v="32"/>
    <n v="21.397500000000001"/>
    <n v="5150931.67"/>
    <n v="41297374.859999999"/>
  </r>
  <r>
    <x v="2"/>
    <x v="2"/>
    <x v="33"/>
    <n v="22.7133"/>
    <n v="5150971.67"/>
    <n v="41513174.200000003"/>
  </r>
  <r>
    <x v="2"/>
    <x v="2"/>
    <x v="34"/>
    <n v="0"/>
    <n v="5151171.67"/>
    <n v="0"/>
  </r>
  <r>
    <x v="2"/>
    <x v="2"/>
    <x v="35"/>
    <n v="40.706400000000002"/>
    <n v="5150921.67"/>
    <n v="48306253.619999997"/>
  </r>
  <r>
    <x v="3"/>
    <x v="0"/>
    <x v="0"/>
    <n v="45.839199999999998"/>
    <n v="530675"/>
    <n v="5158485"/>
  </r>
  <r>
    <x v="3"/>
    <x v="0"/>
    <x v="1"/>
    <n v="35.614199999999997"/>
    <n v="530725"/>
    <n v="5158425"/>
  </r>
  <r>
    <x v="3"/>
    <x v="0"/>
    <x v="2"/>
    <n v="45.413400000000003"/>
    <n v="530885"/>
    <n v="5158365"/>
  </r>
  <r>
    <x v="3"/>
    <x v="0"/>
    <x v="3"/>
    <n v="39.043500000000002"/>
    <n v="530945"/>
    <n v="5158325"/>
  </r>
  <r>
    <x v="3"/>
    <x v="0"/>
    <x v="4"/>
    <n v="41.862000000000002"/>
    <n v="531065"/>
    <n v="5158285"/>
  </r>
  <r>
    <x v="3"/>
    <x v="0"/>
    <x v="5"/>
    <n v="36.033799999999999"/>
    <n v="531175"/>
    <n v="5158305"/>
  </r>
  <r>
    <x v="3"/>
    <x v="0"/>
    <x v="6"/>
    <n v="35.777500000000003"/>
    <n v="531255"/>
    <n v="5158375"/>
  </r>
  <r>
    <x v="3"/>
    <x v="0"/>
    <x v="7"/>
    <n v="35.919800000000002"/>
    <n v="531135"/>
    <n v="5158375"/>
  </r>
  <r>
    <x v="3"/>
    <x v="0"/>
    <x v="8"/>
    <n v="38.0062"/>
    <n v="531145"/>
    <n v="5158415"/>
  </r>
  <r>
    <x v="3"/>
    <x v="0"/>
    <x v="9"/>
    <n v="43.205500000000001"/>
    <n v="530985"/>
    <n v="5158435"/>
  </r>
  <r>
    <x v="3"/>
    <x v="0"/>
    <x v="10"/>
    <n v="43.816000000000003"/>
    <n v="530835"/>
    <n v="5158505"/>
  </r>
  <r>
    <x v="3"/>
    <x v="0"/>
    <x v="11"/>
    <n v="40.614600000000003"/>
    <n v="530795"/>
    <n v="5158445"/>
  </r>
  <r>
    <x v="3"/>
    <x v="0"/>
    <x v="12"/>
    <n v="41.0212"/>
    <n v="531035"/>
    <n v="5158355"/>
  </r>
  <r>
    <x v="3"/>
    <x v="0"/>
    <x v="13"/>
    <n v="0"/>
    <n v="531075"/>
    <n v="5158425"/>
  </r>
  <r>
    <x v="3"/>
    <x v="0"/>
    <x v="14"/>
    <n v="38.974899999999998"/>
    <n v="530925"/>
    <n v="5158405"/>
  </r>
  <r>
    <x v="3"/>
    <x v="0"/>
    <x v="15"/>
    <n v="44.200699999999998"/>
    <n v="530895"/>
    <n v="5158505"/>
  </r>
  <r>
    <x v="3"/>
    <x v="0"/>
    <x v="16"/>
    <n v="40.673900000000003"/>
    <n v="530765"/>
    <n v="5158525"/>
  </r>
  <r>
    <x v="3"/>
    <x v="0"/>
    <x v="17"/>
    <n v="42.364699999999999"/>
    <n v="530825"/>
    <n v="5158385"/>
  </r>
  <r>
    <x v="3"/>
    <x v="0"/>
    <x v="18"/>
    <n v="48.3142"/>
    <n v="530995"/>
    <n v="5158255"/>
  </r>
  <r>
    <x v="3"/>
    <x v="0"/>
    <x v="19"/>
    <n v="37.745100000000001"/>
    <n v="530665"/>
    <n v="5158425"/>
  </r>
  <r>
    <x v="3"/>
    <x v="0"/>
    <x v="20"/>
    <n v="35.092100000000002"/>
    <n v="530975"/>
    <n v="5158365"/>
  </r>
  <r>
    <x v="3"/>
    <x v="0"/>
    <x v="21"/>
    <n v="42.873399999999997"/>
    <n v="531185"/>
    <n v="5158375"/>
  </r>
  <r>
    <x v="3"/>
    <x v="0"/>
    <x v="22"/>
    <n v="32.831000000000003"/>
    <n v="530695"/>
    <n v="5158545"/>
  </r>
  <r>
    <x v="3"/>
    <x v="0"/>
    <x v="23"/>
    <n v="46.558700000000002"/>
    <n v="530855"/>
    <n v="5158435"/>
  </r>
  <r>
    <x v="3"/>
    <x v="0"/>
    <x v="24"/>
    <n v="36.441299999999998"/>
    <n v="531125"/>
    <n v="5158315"/>
  </r>
  <r>
    <x v="3"/>
    <x v="0"/>
    <x v="25"/>
    <n v="46.467500000000001"/>
    <n v="531005"/>
    <n v="5158305"/>
  </r>
  <r>
    <x v="3"/>
    <x v="0"/>
    <x v="26"/>
    <n v="49.962800000000001"/>
    <n v="530935"/>
    <n v="5158465"/>
  </r>
  <r>
    <x v="3"/>
    <x v="0"/>
    <x v="27"/>
    <n v="34.5426"/>
    <n v="530725"/>
    <n v="5158485"/>
  </r>
  <r>
    <x v="3"/>
    <x v="0"/>
    <x v="28"/>
    <n v="48.294800000000002"/>
    <n v="531045"/>
    <n v="5158245"/>
  </r>
  <r>
    <x v="3"/>
    <x v="0"/>
    <x v="29"/>
    <n v="0"/>
    <n v="530765"/>
    <n v="5158385"/>
  </r>
  <r>
    <x v="3"/>
    <x v="0"/>
    <x v="30"/>
    <n v="54.798400000000001"/>
    <n v="531115"/>
    <n v="5158265"/>
  </r>
  <r>
    <x v="3"/>
    <x v="0"/>
    <x v="31"/>
    <n v="58.431600000000003"/>
    <n v="531035"/>
    <n v="5158405"/>
  </r>
  <r>
    <x v="3"/>
    <x v="0"/>
    <x v="32"/>
    <n v="38.622300000000003"/>
    <n v="531085"/>
    <n v="5158365"/>
  </r>
  <r>
    <x v="3"/>
    <x v="0"/>
    <x v="33"/>
    <n v="38.632399999999997"/>
    <n v="530775"/>
    <n v="5158485"/>
  </r>
  <r>
    <x v="3"/>
    <x v="0"/>
    <x v="34"/>
    <n v="45.189900000000002"/>
    <n v="530805"/>
    <n v="5158535"/>
  </r>
  <r>
    <x v="3"/>
    <x v="0"/>
    <x v="35"/>
    <n v="39.215600000000002"/>
    <n v="530935"/>
    <n v="5158365"/>
  </r>
  <r>
    <x v="3"/>
    <x v="1"/>
    <x v="0"/>
    <n v="16.190899999999999"/>
    <n v="530675"/>
    <n v="5158485"/>
  </r>
  <r>
    <x v="3"/>
    <x v="1"/>
    <x v="1"/>
    <n v="11.252000000000001"/>
    <n v="530725"/>
    <n v="5158425"/>
  </r>
  <r>
    <x v="3"/>
    <x v="1"/>
    <x v="2"/>
    <n v="18.1721"/>
    <n v="530885"/>
    <n v="5158365"/>
  </r>
  <r>
    <x v="3"/>
    <x v="1"/>
    <x v="3"/>
    <n v="17.0519"/>
    <n v="530945"/>
    <n v="5158325"/>
  </r>
  <r>
    <x v="3"/>
    <x v="1"/>
    <x v="4"/>
    <n v="15.047700000000001"/>
    <n v="531065"/>
    <n v="5158285"/>
  </r>
  <r>
    <x v="3"/>
    <x v="1"/>
    <x v="5"/>
    <n v="9.6127000000000002"/>
    <n v="531175"/>
    <n v="5158305"/>
  </r>
  <r>
    <x v="3"/>
    <x v="1"/>
    <x v="6"/>
    <n v="14.155099999999999"/>
    <n v="531255"/>
    <n v="5158375"/>
  </r>
  <r>
    <x v="3"/>
    <x v="1"/>
    <x v="7"/>
    <n v="17.592099999999999"/>
    <n v="531135"/>
    <n v="5158375"/>
  </r>
  <r>
    <x v="3"/>
    <x v="1"/>
    <x v="8"/>
    <n v="6.0487000000000002"/>
    <n v="531145"/>
    <n v="5158415"/>
  </r>
  <r>
    <x v="3"/>
    <x v="1"/>
    <x v="9"/>
    <n v="10.9008"/>
    <n v="530985"/>
    <n v="5158435"/>
  </r>
  <r>
    <x v="3"/>
    <x v="1"/>
    <x v="10"/>
    <n v="11.085100000000001"/>
    <n v="530835"/>
    <n v="5158505"/>
  </r>
  <r>
    <x v="3"/>
    <x v="1"/>
    <x v="11"/>
    <n v="15.028700000000001"/>
    <n v="530795"/>
    <n v="5158445"/>
  </r>
  <r>
    <x v="3"/>
    <x v="1"/>
    <x v="12"/>
    <n v="15.529500000000001"/>
    <n v="531035"/>
    <n v="5158355"/>
  </r>
  <r>
    <x v="3"/>
    <x v="1"/>
    <x v="13"/>
    <n v="0"/>
    <n v="531075"/>
    <n v="5158425"/>
  </r>
  <r>
    <x v="3"/>
    <x v="1"/>
    <x v="14"/>
    <n v="8.5992999999999995"/>
    <n v="530925"/>
    <n v="5158405"/>
  </r>
  <r>
    <x v="3"/>
    <x v="1"/>
    <x v="15"/>
    <n v="12.897500000000001"/>
    <n v="530895"/>
    <n v="5158505"/>
  </r>
  <r>
    <x v="3"/>
    <x v="1"/>
    <x v="16"/>
    <n v="3.9129999999999998"/>
    <n v="530765"/>
    <n v="5158525"/>
  </r>
  <r>
    <x v="3"/>
    <x v="1"/>
    <x v="17"/>
    <n v="10.8759"/>
    <n v="530825"/>
    <n v="5158385"/>
  </r>
  <r>
    <x v="3"/>
    <x v="1"/>
    <x v="18"/>
    <n v="21.922899999999998"/>
    <n v="530995"/>
    <n v="5158255"/>
  </r>
  <r>
    <x v="3"/>
    <x v="1"/>
    <x v="19"/>
    <n v="5.4473000000000003"/>
    <n v="530665"/>
    <n v="5158425"/>
  </r>
  <r>
    <x v="3"/>
    <x v="1"/>
    <x v="20"/>
    <n v="9.3633000000000006"/>
    <n v="530975"/>
    <n v="5158365"/>
  </r>
  <r>
    <x v="3"/>
    <x v="1"/>
    <x v="21"/>
    <n v="19.058800000000002"/>
    <n v="531185"/>
    <n v="5158375"/>
  </r>
  <r>
    <x v="3"/>
    <x v="1"/>
    <x v="22"/>
    <n v="3.8948999999999998"/>
    <n v="530695"/>
    <n v="5158545"/>
  </r>
  <r>
    <x v="3"/>
    <x v="1"/>
    <x v="23"/>
    <n v="14.484400000000001"/>
    <n v="530855"/>
    <n v="5158435"/>
  </r>
  <r>
    <x v="3"/>
    <x v="1"/>
    <x v="24"/>
    <n v="13.3634"/>
    <n v="531125"/>
    <n v="5158315"/>
  </r>
  <r>
    <x v="3"/>
    <x v="1"/>
    <x v="25"/>
    <n v="16.0959"/>
    <n v="531005"/>
    <n v="5158305"/>
  </r>
  <r>
    <x v="3"/>
    <x v="1"/>
    <x v="26"/>
    <n v="16.722899999999999"/>
    <n v="530935"/>
    <n v="5158465"/>
  </r>
  <r>
    <x v="3"/>
    <x v="1"/>
    <x v="27"/>
    <n v="4.6623999999999999"/>
    <n v="530725"/>
    <n v="5158485"/>
  </r>
  <r>
    <x v="3"/>
    <x v="1"/>
    <x v="28"/>
    <n v="15.311199999999999"/>
    <n v="531045"/>
    <n v="5158245"/>
  </r>
  <r>
    <x v="3"/>
    <x v="1"/>
    <x v="29"/>
    <n v="0"/>
    <n v="530765"/>
    <n v="5158385"/>
  </r>
  <r>
    <x v="3"/>
    <x v="1"/>
    <x v="30"/>
    <n v="19.3719"/>
    <n v="531115"/>
    <n v="5158265"/>
  </r>
  <r>
    <x v="3"/>
    <x v="1"/>
    <x v="31"/>
    <n v="11.193199999999999"/>
    <n v="531035"/>
    <n v="5158405"/>
  </r>
  <r>
    <x v="3"/>
    <x v="1"/>
    <x v="32"/>
    <n v="8.7454000000000001"/>
    <n v="531085"/>
    <n v="5158365"/>
  </r>
  <r>
    <x v="3"/>
    <x v="1"/>
    <x v="33"/>
    <n v="5.3996000000000004"/>
    <n v="530775"/>
    <n v="5158485"/>
  </r>
  <r>
    <x v="3"/>
    <x v="1"/>
    <x v="34"/>
    <n v="11.1813"/>
    <n v="530805"/>
    <n v="5158535"/>
  </r>
  <r>
    <x v="3"/>
    <x v="1"/>
    <x v="35"/>
    <n v="9.7843999999999998"/>
    <n v="530935"/>
    <n v="5158365"/>
  </r>
  <r>
    <x v="3"/>
    <x v="2"/>
    <x v="0"/>
    <n v="29.648299999999999"/>
    <n v="530675"/>
    <n v="5158485"/>
  </r>
  <r>
    <x v="3"/>
    <x v="2"/>
    <x v="1"/>
    <n v="24.362200000000001"/>
    <n v="530725"/>
    <n v="5158425"/>
  </r>
  <r>
    <x v="3"/>
    <x v="2"/>
    <x v="2"/>
    <n v="27.241299999999999"/>
    <n v="530885"/>
    <n v="5158365"/>
  </r>
  <r>
    <x v="3"/>
    <x v="2"/>
    <x v="3"/>
    <n v="21.991599999999998"/>
    <n v="530945"/>
    <n v="5158325"/>
  </r>
  <r>
    <x v="3"/>
    <x v="2"/>
    <x v="4"/>
    <n v="26.814299999999999"/>
    <n v="531065"/>
    <n v="5158285"/>
  </r>
  <r>
    <x v="3"/>
    <x v="2"/>
    <x v="5"/>
    <n v="26.421199999999999"/>
    <n v="531175"/>
    <n v="5158305"/>
  </r>
  <r>
    <x v="3"/>
    <x v="2"/>
    <x v="6"/>
    <n v="21.622499999999999"/>
    <n v="531255"/>
    <n v="5158375"/>
  </r>
  <r>
    <x v="3"/>
    <x v="2"/>
    <x v="7"/>
    <n v="18.3277"/>
    <n v="531135"/>
    <n v="5158375"/>
  </r>
  <r>
    <x v="3"/>
    <x v="2"/>
    <x v="8"/>
    <n v="31.9575"/>
    <n v="531145"/>
    <n v="5158415"/>
  </r>
  <r>
    <x v="3"/>
    <x v="2"/>
    <x v="9"/>
    <n v="32.304699999999997"/>
    <n v="530985"/>
    <n v="5158435"/>
  </r>
  <r>
    <x v="3"/>
    <x v="2"/>
    <x v="10"/>
    <n v="32.730899999999998"/>
    <n v="530835"/>
    <n v="5158505"/>
  </r>
  <r>
    <x v="3"/>
    <x v="2"/>
    <x v="11"/>
    <n v="25.585799999999999"/>
    <n v="530795"/>
    <n v="5158445"/>
  </r>
  <r>
    <x v="3"/>
    <x v="2"/>
    <x v="12"/>
    <n v="25.491800000000001"/>
    <n v="531035"/>
    <n v="5158355"/>
  </r>
  <r>
    <x v="3"/>
    <x v="2"/>
    <x v="13"/>
    <n v="0"/>
    <n v="531075"/>
    <n v="5158425"/>
  </r>
  <r>
    <x v="3"/>
    <x v="2"/>
    <x v="14"/>
    <n v="30.375599999999999"/>
    <n v="530925"/>
    <n v="5158405"/>
  </r>
  <r>
    <x v="3"/>
    <x v="2"/>
    <x v="15"/>
    <n v="31.3032"/>
    <n v="530895"/>
    <n v="5158505"/>
  </r>
  <r>
    <x v="3"/>
    <x v="2"/>
    <x v="16"/>
    <n v="36.760899999999999"/>
    <n v="530765"/>
    <n v="5158525"/>
  </r>
  <r>
    <x v="3"/>
    <x v="2"/>
    <x v="17"/>
    <n v="31.488800000000001"/>
    <n v="530825"/>
    <n v="5158385"/>
  </r>
  <r>
    <x v="3"/>
    <x v="2"/>
    <x v="18"/>
    <n v="26.391300000000001"/>
    <n v="530995"/>
    <n v="5158255"/>
  </r>
  <r>
    <x v="3"/>
    <x v="2"/>
    <x v="19"/>
    <n v="32.297800000000002"/>
    <n v="530665"/>
    <n v="5158425"/>
  </r>
  <r>
    <x v="3"/>
    <x v="2"/>
    <x v="20"/>
    <n v="25.7288"/>
    <n v="530975"/>
    <n v="5158365"/>
  </r>
  <r>
    <x v="3"/>
    <x v="2"/>
    <x v="21"/>
    <n v="23.814599999999999"/>
    <n v="531185"/>
    <n v="5158375"/>
  </r>
  <r>
    <x v="3"/>
    <x v="2"/>
    <x v="22"/>
    <n v="28.9361"/>
    <n v="530695"/>
    <n v="5158545"/>
  </r>
  <r>
    <x v="3"/>
    <x v="2"/>
    <x v="23"/>
    <n v="32.074399999999997"/>
    <n v="530855"/>
    <n v="5158435"/>
  </r>
  <r>
    <x v="3"/>
    <x v="2"/>
    <x v="24"/>
    <n v="23.0778"/>
    <n v="531125"/>
    <n v="5158315"/>
  </r>
  <r>
    <x v="3"/>
    <x v="2"/>
    <x v="25"/>
    <n v="30.371600000000001"/>
    <n v="531005"/>
    <n v="5158305"/>
  </r>
  <r>
    <x v="3"/>
    <x v="2"/>
    <x v="26"/>
    <n v="33.239899999999999"/>
    <n v="530935"/>
    <n v="5158465"/>
  </r>
  <r>
    <x v="3"/>
    <x v="2"/>
    <x v="27"/>
    <n v="29.880199999999999"/>
    <n v="530725"/>
    <n v="5158485"/>
  </r>
  <r>
    <x v="3"/>
    <x v="2"/>
    <x v="28"/>
    <n v="32.983600000000003"/>
    <n v="531045"/>
    <n v="5158245"/>
  </r>
  <r>
    <x v="3"/>
    <x v="2"/>
    <x v="29"/>
    <n v="0"/>
    <n v="530765"/>
    <n v="5158385"/>
  </r>
  <r>
    <x v="3"/>
    <x v="2"/>
    <x v="30"/>
    <n v="35.426499999999997"/>
    <n v="531115"/>
    <n v="5158265"/>
  </r>
  <r>
    <x v="3"/>
    <x v="2"/>
    <x v="31"/>
    <n v="47.238500000000002"/>
    <n v="531035"/>
    <n v="5158405"/>
  </r>
  <r>
    <x v="3"/>
    <x v="2"/>
    <x v="32"/>
    <n v="29.876899999999999"/>
    <n v="531085"/>
    <n v="5158365"/>
  </r>
  <r>
    <x v="3"/>
    <x v="2"/>
    <x v="33"/>
    <n v="33.232799999999997"/>
    <n v="530775"/>
    <n v="5158485"/>
  </r>
  <r>
    <x v="3"/>
    <x v="2"/>
    <x v="34"/>
    <n v="34.008600000000001"/>
    <n v="530805"/>
    <n v="5158535"/>
  </r>
  <r>
    <x v="3"/>
    <x v="2"/>
    <x v="35"/>
    <n v="29.4312"/>
    <n v="530935"/>
    <n v="51583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x v="0"/>
    <n v="8.5189504535219296"/>
    <n v="59.692754285601922"/>
    <n v="31.788295260876097"/>
    <n v="0.13683999999999999"/>
    <n v="1.8867"/>
    <n v="0.14416333333333334"/>
    <n v="1.8669333333333331"/>
    <n v="-7.3233333333333483E-3"/>
    <n v="1.9766666666666932E-2"/>
    <n v="1.3220403826072837"/>
    <n v="1.3962638011739728"/>
    <n v="1.4704645636826319"/>
    <n v="-5.3158880120771503E-2"/>
    <n v="-5.3142653831332445E-2"/>
    <n v="-0.10630153395210394"/>
    <n v="1.3962562491546295"/>
    <n v="1.0139864580366289"/>
    <n v="0.1527124006481981"/>
    <n v="0.25637834474175464"/>
    <n v="0.2132256437284521"/>
    <n v="0.35796986599359487"/>
    <n v="0.14474422226514277"/>
    <n v="6.5469446311899802"/>
    <n v="51.500460143953305"/>
    <n v="44.953515512763325"/>
    <n v="0.10366594409355653"/>
    <n v="0.47311084937561143"/>
    <n v="0.61736360074089469"/>
    <n v="0.35716828233609782"/>
    <n v="0.37070702238573117"/>
    <n v="0.19644813984579187"/>
    <n v="0.19141987463803498"/>
    <n v="0.16072014249030595"/>
    <n v="0.17928714774769619"/>
    <n v="0.11594256703951361"/>
    <n v="75.769912526813428"/>
    <n v="34.480569122619983"/>
    <n v="0.24900386455072646"/>
    <n v="0.28836511792609998"/>
    <n v="4.0160019275374843"/>
    <n v="9.5154955883105449E-2"/>
    <n v="0.10204396541271191"/>
    <n v="4.8563545118126203E-2"/>
    <n v="0.13489873643923947"/>
    <n v="0.24"/>
    <n v="0.43"/>
    <n v="0.19"/>
    <n v="0.11102927170520933"/>
    <n v="-5.4636748563089128"/>
    <n v="0.18"/>
    <n v="0.35"/>
    <n v="0.16999999999999998"/>
    <n v="0.1754600628296944"/>
    <n v="0.15975048479914"/>
    <n v="0.32652971047815915"/>
    <n v="0.16677922567901915"/>
    <n v="6.8923182429503044E-2"/>
    <n v="0.26012944776096242"/>
    <n v="0.19120626533145937"/>
    <n v="70"/>
    <n v="4"/>
    <n v="122"/>
    <n v="4"/>
    <n v="122"/>
    <n v="16.305031685706322"/>
    <n v="18.330927043347646"/>
    <n v="16.305031685706322"/>
    <n v="18.330927043347646"/>
    <n v="10.052670948139909"/>
  </r>
  <r>
    <x v="0"/>
    <x v="1"/>
    <n v="12.755848226586775"/>
    <n v="56.429397735070893"/>
    <n v="30.814754038342301"/>
    <n v="0.10146999999999999"/>
    <n v="1.1727666666666667"/>
    <n v="6.8599999999999994E-2"/>
    <n v="0.63563999999999998"/>
    <n v="3.2869999999999996E-2"/>
    <n v="0.53712666666666675"/>
    <n v="1.3815800527134903"/>
    <n v="1.5389002975246144"/>
    <n v="1.6321948335741385"/>
    <n v="-0.10366668285747763"/>
    <n v="-6.1476735512285767E-2"/>
    <n v="-0.1651434183697634"/>
    <n v="1.5175583946040812"/>
    <n v="1.3500907510522218"/>
    <n v="0.16360627314997234"/>
    <n v="0.24185421565334211"/>
    <n v="0.2482820732286288"/>
    <n v="0.36702789523511509"/>
    <n v="0.11874582200648628"/>
    <n v="9.3656540783625637"/>
    <n v="48.030598320196525"/>
    <n v="38.664944241833965"/>
    <n v="7.8247942503369777E-2"/>
    <n v="0.4273364548663845"/>
    <n v="0.49053179205576536"/>
    <n v="0.33983965953033141"/>
    <n v="0.34827819868177584"/>
    <n v="0.19210958495696828"/>
    <n v="0.1887977043978287"/>
    <n v="0.14773007457336312"/>
    <n v="0.15948049428394714"/>
    <n v="8.749679533605309E-2"/>
    <n v="92.13958893358631"/>
    <n v="60.056106132701323"/>
    <n v="0.23640589406778817"/>
    <n v="0.26281875536594085"/>
    <n v="4.2300129780742912"/>
    <n v="9.128718030631798E-2"/>
    <n v="9.643796269331574E-2"/>
    <n v="2.3589991620740686E-2"/>
    <n v="6.5527754502057459E-2"/>
    <n v="0.2"/>
    <n v="0.38"/>
    <n v="0.18"/>
    <n v="0.1014352629235913"/>
    <n v="-5.4226838969845446"/>
    <n v="0.17"/>
    <n v="0.34"/>
    <n v="0.17"/>
    <n v="0.12815222610440835"/>
    <n v="0.18857187455792973"/>
    <n v="0.34759989314272888"/>
    <n v="0.15902801858479915"/>
    <n v="0.1487815624500079"/>
    <n v="0.31851076345777091"/>
    <n v="0.16972920100776301"/>
    <n v="70"/>
    <n v="4"/>
    <n v="122"/>
    <n v="4"/>
    <n v="122"/>
    <n v="16.305031685706322"/>
    <n v="18.330927043347646"/>
    <n v="16.305031685706322"/>
    <n v="18.330927043347646"/>
    <n v="10.052670948139909"/>
  </r>
  <r>
    <x v="0"/>
    <x v="2"/>
    <n v="8.0475247524752405"/>
    <n v="51.347395609126401"/>
    <n v="40.605079638398401"/>
    <n v="5.1500000000000004E-2"/>
    <n v="0.42806"/>
    <n v="5.0909999999999997E-2"/>
    <n v="0.43242000000000003"/>
    <n v="5.9000000000000719E-4"/>
    <n v="-4.3600000000000305E-3"/>
    <n v="1.5795418563372601"/>
    <n v="1.4961449954924144"/>
    <n v="1.679045184164577"/>
    <n v="5.261928130555945E-2"/>
    <n v="-0.11540094412528765"/>
    <n v="-6.2781662819728204E-2"/>
    <n v="1.5849106786647507"/>
    <n v="1.3571643040785279"/>
    <n v="0.18930390492359916"/>
    <n v="0.23213092852371417"/>
    <n v="0.30002978042634898"/>
    <n v="0.36790678746559857"/>
    <n v="6.7877007039249593E-2"/>
    <n v="12.445678597038771"/>
    <n v="49.294483642623192"/>
    <n v="36.84880504558442"/>
    <n v="4.2827023600115005E-2"/>
    <n v="0.40192049861707524"/>
    <n v="0.4878625267628196"/>
    <n v="0.36885459774299251"/>
    <n v="0.39176196764623228"/>
    <n v="0.24647605988637974"/>
    <n v="0.2349894439513511"/>
    <n v="0.12237853785661276"/>
    <n v="0.15677252369488118"/>
    <n v="3.3065900874082732E-2"/>
    <n v="157.61584066114878"/>
    <n v="82.152203603279759"/>
    <n v="0.15226284089211178"/>
    <n v="0.20858652271812381"/>
    <n v="6.5675905831059964"/>
    <n v="9.1189506378230756E-2"/>
    <n v="0.10616120309304231"/>
    <n v="2.593631312176623E-3"/>
    <n v="7.2045314227128414E-3"/>
    <n v="0.24"/>
    <n v="0.4"/>
    <n v="0.16000000000000003"/>
    <n v="5.8520420461816949E-2"/>
    <n v="-6.8918934286046252"/>
    <n v="0.23"/>
    <n v="0.4"/>
    <n v="0.17"/>
    <n v="0.10188483532074721"/>
    <n v="0.2045747772507448"/>
    <n v="0.3592989848840672"/>
    <n v="0.1547242076333224"/>
    <n v="0.15046223864905828"/>
    <n v="0.31973943961844031"/>
    <n v="0.16927720096938204"/>
    <n v="70"/>
    <n v="4"/>
    <n v="122"/>
    <n v="4"/>
    <n v="122"/>
    <n v="16.305031685706322"/>
    <n v="18.330927043347646"/>
    <n v="16.305031685706322"/>
    <n v="18.330927043347646"/>
    <n v="10.052670948139909"/>
  </r>
  <r>
    <x v="0"/>
    <x v="3"/>
    <n v="7.6440360889435901"/>
    <n v="50.642246526592402"/>
    <n v="41.713717384464097"/>
    <n v="4.6399999999999997E-2"/>
    <n v="0.52680000000000005"/>
    <n v="5.0840000000000003E-2"/>
    <n v="0.40794000000000002"/>
    <n v="-4.4400000000000064E-3"/>
    <n v="0.11886000000000002"/>
    <n v="1.6133813847038494"/>
    <n v="1.6518794849473921"/>
    <n v="1.7180874350562132"/>
    <n v="-2.3176044231451372E-2"/>
    <n v="-3.9857509084571884E-2"/>
    <n v="-6.3033553316023255E-2"/>
    <n v="1.6611161015691513"/>
    <m/>
    <n v="0.22949105275389262"/>
    <m/>
    <n v="0.38121128289554657"/>
    <s v=""/>
    <s v=""/>
    <n v="15.142075287778534"/>
    <m/>
    <s v=""/>
    <s v=""/>
    <n v="0.37316373525692403"/>
    <s v=""/>
    <n v="0.35685216460581848"/>
    <s v=""/>
    <n v="0.25308971671605696"/>
    <s v=""/>
    <n v="0.10376244788976152"/>
    <s v=""/>
    <n v="1.6311570651105556E-2"/>
    <n v="207.68296690949518"/>
    <s v=""/>
    <n v="0.12542951969218175"/>
    <s v=""/>
    <n v="7.9726048736701962"/>
    <n v="8.4101226390006181E-2"/>
    <s v=""/>
    <n v="7.8553137768051047E-4"/>
    <n v="2.1820316046680848E-3"/>
    <n v="0.25"/>
    <n v="0.41"/>
    <n v="0.15999999999999998"/>
    <n v="5.4676729800129407E-2"/>
    <n v="-7.0877945000289824"/>
    <n v="0.24"/>
    <n v="0.41"/>
    <n v="0.16999999999999998"/>
    <n v="7.2164720388030901E-2"/>
    <n v="0.22268118573283041"/>
    <n v="0.34316373525692401"/>
    <n v="0.1204825495240936"/>
    <s v=""/>
    <s v=""/>
    <s v=""/>
    <n v="70"/>
    <n v="4"/>
    <n v="122"/>
    <n v="4"/>
    <n v="122"/>
    <n v="16.305031685706322"/>
    <n v="18.330927043347646"/>
    <n v="16.305031685706322"/>
    <n v="18.330927043347646"/>
    <n v="10.052670948139909"/>
  </r>
  <r>
    <x v="0"/>
    <x v="4"/>
    <n v="7.1050236590036304"/>
    <n v="53.62939923217079"/>
    <n v="39.265577108825603"/>
    <n v="5.2609999999999997E-2"/>
    <n v="0.29365000000000002"/>
    <n v="4.4499999999999998E-2"/>
    <n v="0.34082000000000001"/>
    <n v="8.1099999999999992E-3"/>
    <n v="-4.716999999999999E-2"/>
    <n v="1.650955326217856"/>
    <n v="1.6387209459536456"/>
    <n v="1.712736621655842"/>
    <n v="7.3370874359292865E-3"/>
    <n v="-4.4387984722448814E-2"/>
    <n v="-3.705089728651953E-2"/>
    <n v="1.6674709646091144"/>
    <m/>
    <n v="0.22357723577235775"/>
    <m/>
    <n v="0.37280854899797278"/>
    <s v=""/>
    <s v=""/>
    <n v="16.998471543194881"/>
    <m/>
    <s v=""/>
    <s v=""/>
    <n v="0.37076567373240965"/>
    <s v=""/>
    <n v="0.35139457399178686"/>
    <s v=""/>
    <n v="0.24096843371628135"/>
    <s v=""/>
    <n v="0.11042614027550551"/>
    <s v=""/>
    <n v="1.9371099740622788E-2"/>
    <n v="199.9829540750448"/>
    <s v=""/>
    <n v="0.13984240736207054"/>
    <s v=""/>
    <n v="7.1509066445836229"/>
    <n v="8.4401197841648082E-2"/>
    <s v=""/>
    <n v="1.1182274836769848E-3"/>
    <n v="3.1061874546582909E-3"/>
    <n v="0.23"/>
    <n v="0.4"/>
    <n v="0.17"/>
    <n v="6.6677355253357856E-2"/>
    <n v="-6.6318230549846051"/>
    <n v="0.22"/>
    <n v="0.39"/>
    <n v="0.17"/>
    <n v="6.9686323802445327E-2"/>
    <n v="0.22419110119112562"/>
    <n v="0.34076567373240962"/>
    <n v="0.11657457254128401"/>
    <s v=""/>
    <s v=""/>
    <s v=""/>
    <n v="70"/>
    <n v="4"/>
    <n v="122"/>
    <n v="4"/>
    <n v="122"/>
    <n v="16.305031685706322"/>
    <n v="18.330927043347646"/>
    <n v="16.305031685706322"/>
    <n v="18.330927043347646"/>
    <n v="10.052670948139909"/>
  </r>
  <r>
    <x v="1"/>
    <x v="0"/>
    <n v="8.2062055332568491"/>
    <n v="60.025586651978138"/>
    <n v="31.768207814765002"/>
    <m/>
    <m/>
    <n v="0.12657666666666667"/>
    <n v="1.4975666666666667"/>
    <s v=""/>
    <s v=""/>
    <n v="1.3275445082978903"/>
    <n v="1.209532218518677"/>
    <n v="1.5078020562000902"/>
    <n v="8.7527188904682168E-2"/>
    <n v="-0.22122035320348801"/>
    <n v="-0.13369316429880584"/>
    <n v="1.2685383634082836"/>
    <n v="1.307557329339353"/>
    <n v="0.11112434492615549"/>
    <n v="0.23947667804323078"/>
    <n v="0.14096549464744287"/>
    <n v="0.30378535323941241"/>
    <n v="0.16281985859196954"/>
    <n v="5.0111496029091498"/>
    <n v="40.190769038528103"/>
    <n v="35.179619435618953"/>
    <n v="0.12835233311707528"/>
    <n v="0.5213062779591382"/>
    <n v="0.50658213987194223"/>
    <n v="0.36223410168984682"/>
    <n v="0.36103061223022631"/>
    <n v="0.19334987902937686"/>
    <n v="0.19424124129438777"/>
    <n v="0.16888422266046996"/>
    <n v="0.16678937093583854"/>
    <n v="0.15907217626929138"/>
    <n v="56.699161604497903"/>
    <n v="61.851524262303457"/>
    <n v="0.26798390565656277"/>
    <n v="0.26270063173178532"/>
    <n v="3.7315673773392914"/>
    <n v="9.8525416592107895E-2"/>
    <n v="9.7579917259222326E-2"/>
    <n v="0.12410790201094019"/>
    <n v="0.34474417225261161"/>
    <n v="0.23"/>
    <n v="0.41"/>
    <n v="0.17999999999999997"/>
    <n v="0.11227661162939227"/>
    <n v="-5.4550004497424718"/>
    <n v="0.18"/>
    <n v="0.35"/>
    <n v="0.16999999999999998"/>
    <n v="0.22527003827076936"/>
    <n v="0.1294047151458082"/>
    <n v="0.30434511372401885"/>
    <n v="0.17494039857821064"/>
    <n v="0.1386756214510303"/>
    <n v="0.31112270810624559"/>
    <n v="0.1724470866552153"/>
    <n v="82"/>
    <n v="4"/>
    <n v="122"/>
    <n v="4"/>
    <n v="122"/>
    <n v="18.139321704289721"/>
    <n v="18.309766360864966"/>
    <n v="18.139321704289721"/>
    <n v="18.309766360864966"/>
    <n v="12.97932902589192"/>
  </r>
  <r>
    <x v="1"/>
    <x v="1"/>
    <n v="8.1799339622963991"/>
    <n v="62.076807244342803"/>
    <n v="29.743258793360798"/>
    <n v="7.9829999999999998E-2"/>
    <n v="0.65612000000000004"/>
    <n v="7.4940000000000007E-2"/>
    <n v="0.71748000000000001"/>
    <n v="4.8899999999999916E-3"/>
    <n v="-6.135999999999997E-2"/>
    <n v="1.4766106154043515"/>
    <n v="1.418808957927012"/>
    <n v="1.4737442082956518"/>
    <n v="3.9688366263863149E-2"/>
    <n v="-3.7720204447119168E-2"/>
    <n v="1.9681618167439806E-3"/>
    <n v="1.456387927209005"/>
    <n v="1.3712561479981229"/>
    <n v="0.10642655969958179"/>
    <n v="0.25817293003360814"/>
    <n v="0.15499835668085934"/>
    <n v="0.37599993843312202"/>
    <n v="0.22100158175226267"/>
    <n v="3.4328877158600024"/>
    <n v="40.992981034171883"/>
    <n v="37.560093318311878"/>
    <n v="0.15174637033402635"/>
    <n v="0.45041965010980944"/>
    <n v="0.48254484981202905"/>
    <n v="0.34682723701785501"/>
    <n v="0.35111095480919557"/>
    <n v="0.18870852937046423"/>
    <n v="0.18703976643481174"/>
    <n v="0.15811870764739078"/>
    <n v="0.16407118837438384"/>
    <n v="0.10359241309195444"/>
    <n v="85.354190258926607"/>
    <n v="69.445653890086319"/>
    <n v="0.25063834479692521"/>
    <n v="0.26367477867555705"/>
    <n v="3.9898124958103693"/>
    <n v="9.0061270011935354E-2"/>
    <n v="9.2509929174364069E-2"/>
    <n v="3.537273154469333E-2"/>
    <n v="9.8257587624148129E-2"/>
    <n v="0.19"/>
    <n v="0.38"/>
    <n v="0.19"/>
    <n v="0.13062770771827195"/>
    <n v="-5.1732856035451125"/>
    <n v="0.16"/>
    <n v="0.34"/>
    <n v="0.18000000000000002"/>
    <n v="0.15200870838848801"/>
    <n v="0.17403777150485961"/>
    <n v="0.33697458295620419"/>
    <n v="0.16293681145134459"/>
    <n v="0.15381046076435401"/>
    <n v="0.32218719290727393"/>
    <n v="0.16837673214291993"/>
    <n v="82"/>
    <n v="4"/>
    <n v="122"/>
    <n v="4"/>
    <n v="122"/>
    <n v="18.139321704289721"/>
    <n v="18.309766360864966"/>
    <n v="18.139321704289721"/>
    <n v="18.309766360864966"/>
    <n v="12.97932902589192"/>
  </r>
  <r>
    <x v="1"/>
    <x v="2"/>
    <n v="8.8572372476693797"/>
    <n v="61.203012128211"/>
    <n v="29.9397506241197"/>
    <n v="3.0929999999999999E-2"/>
    <n v="0.36159999999999998"/>
    <n v="4.0930000000000001E-2"/>
    <n v="0.38385999999999998"/>
    <n v="-1.0000000000000002E-2"/>
    <n v="-2.2260000000000002E-2"/>
    <n v="1.5908555471164876"/>
    <n v="1.5884814164979077"/>
    <n v="1.5037202894331958"/>
    <n v="1.5208850694926799E-3"/>
    <n v="5.4298584760768397E-2"/>
    <n v="5.5819469830261079E-2"/>
    <n v="1.5610190843491971"/>
    <n v="1.5105904060475555"/>
    <n v="0.14723381582452727"/>
    <n v="0.23232603271416702"/>
    <n v="0.22983479636364187"/>
    <n v="0.36266537085795064"/>
    <n v="0.13283057449430877"/>
    <n v="2.0993394989609642"/>
    <n v="24.841714110299947"/>
    <n v="22.742374611338981"/>
    <n v="8.5092216889639749E-2"/>
    <n v="0.41093619458520858"/>
    <n v="0.42996588451035644"/>
    <n v="0.33877002143965196"/>
    <n v="0.34293626533554444"/>
    <n v="0.19091945080024736"/>
    <n v="0.19019002856071407"/>
    <n v="0.1478505706394046"/>
    <n v="0.15274623677483037"/>
    <n v="7.2166173145556622E-2"/>
    <n v="111.25552993337861"/>
    <n v="97.112332669380152"/>
    <n v="0.23174651076847277"/>
    <n v="0.24075556803643883"/>
    <n v="4.3150595738593616"/>
    <n v="8.693093682623218E-2"/>
    <n v="8.8799833359672536E-2"/>
    <n v="1.481972292466323E-2"/>
    <n v="4.1165897012953416E-2"/>
    <n v="0.19"/>
    <n v="0.36"/>
    <n v="0.16999999999999998"/>
    <n v="0.12612879905323077"/>
    <n v="-5.2118147879795869"/>
    <n v="0.17"/>
    <n v="0.34"/>
    <n v="0.17"/>
    <n v="0.1112025571038131"/>
    <n v="0.19889813444136928"/>
    <n v="0.35514901495145557"/>
    <n v="0.15625088051008629"/>
    <n v="0.18691628047689918"/>
    <n v="0.34638955353046041"/>
    <n v="0.15947327305356124"/>
    <n v="82"/>
    <n v="4"/>
    <n v="122"/>
    <n v="4"/>
    <n v="122"/>
    <n v="18.139321704289721"/>
    <n v="18.309766360864966"/>
    <n v="18.139321704289721"/>
    <n v="18.309766360864966"/>
    <n v="12.97932902589192"/>
  </r>
  <r>
    <x v="1"/>
    <x v="3"/>
    <n v="8.0214029398830107"/>
    <n v="56.864147054578297"/>
    <n v="35.1144500055387"/>
    <n v="2.7470000000000001E-2"/>
    <n v="0.39072000000000001"/>
    <n v="5.2429999999999997E-2"/>
    <n v="0.38919999999999999"/>
    <n v="-2.4959999999999996E-2"/>
    <n v="1.5200000000000213E-3"/>
    <n v="1.6835608532380342"/>
    <n v="1.6851474348068509"/>
    <n v="1.533414056840315"/>
    <n v="-9.7095591900444656E-4"/>
    <n v="9.2857766876128012E-2"/>
    <n v="9.188681095712356E-2"/>
    <n v="1.6843541440224425"/>
    <m/>
    <n v="0.17884990253411315"/>
    <n v="0.22129436325678484"/>
    <n v="0.30124657449134346"/>
    <n v="0.37273807780037327"/>
    <n v="7.1491503309029814E-2"/>
    <n v="7.2343257976695128"/>
    <n v="34.771289896789938"/>
    <n v="27.536964099120425"/>
    <n v="4.244446072267169E-2"/>
    <n v="0.36439466263304054"/>
    <s v=""/>
    <n v="0.33874693680373591"/>
    <s v=""/>
    <n v="0.21886857859396128"/>
    <s v=""/>
    <n v="0.11987835820977463"/>
    <s v=""/>
    <n v="2.5647725829304635E-2"/>
    <n v="185.54129314344084"/>
    <s v=""/>
    <n v="0.16652241032369236"/>
    <s v=""/>
    <n v="6.0051977271777615"/>
    <n v="8.3884820925511749E-2"/>
    <s v=""/>
    <n v="1.9778098025124793E-3"/>
    <n v="5.4939161180902205E-3"/>
    <n v="0.21"/>
    <n v="0.38"/>
    <n v="0.17"/>
    <n v="8.8060944908407018E-2"/>
    <n v="-5.9560309120705792"/>
    <n v="0.19"/>
    <n v="0.37"/>
    <n v="0.18"/>
    <n v="6.3101883831247374E-2"/>
    <n v="0.22820254461973238"/>
    <n v="0.33439466263304052"/>
    <n v="0.10619211801330813"/>
    <s v=""/>
    <s v=""/>
    <s v=""/>
    <n v="82"/>
    <n v="4"/>
    <n v="122"/>
    <n v="4"/>
    <n v="122"/>
    <n v="18.139321704289721"/>
    <n v="18.309766360864966"/>
    <n v="18.139321704289721"/>
    <n v="18.309766360864966"/>
    <n v="12.97932902589192"/>
  </r>
  <r>
    <x v="1"/>
    <x v="4"/>
    <n v="8.7621672958174806"/>
    <n v="54.4121126094158"/>
    <n v="36.825720094766702"/>
    <n v="4.709E-2"/>
    <n v="0.36548999999999998"/>
    <n v="5.1459999999999999E-2"/>
    <n v="0.37509999999999999"/>
    <n v="-4.3699999999999989E-3"/>
    <n v="-9.6100000000000074E-3"/>
    <n v="1.7148745838108452"/>
    <n v="1.688109002763067"/>
    <n v="1.7217406486562192"/>
    <n v="1.5668500285601999E-2"/>
    <n v="-1.9687876468718123E-2"/>
    <n v="-4.0193761831161263E-3"/>
    <n v="1.7082414117433771"/>
    <m/>
    <n v="0.19895872071402013"/>
    <m/>
    <n v="0.33986952595117403"/>
    <s v=""/>
    <s v=""/>
    <n v="9.7006505386986639"/>
    <m/>
    <s v=""/>
    <s v=""/>
    <n v="0.35538059934212185"/>
    <s v=""/>
    <n v="0.33716192900363051"/>
    <s v=""/>
    <n v="0.22697284750613173"/>
    <s v=""/>
    <n v="0.11018908149749879"/>
    <s v=""/>
    <n v="1.8218670338491338E-2"/>
    <n v="207.24209929102608"/>
    <s v=""/>
    <n v="0.14856819707855673"/>
    <s v=""/>
    <n v="6.7309156310972886"/>
    <n v="8.2565697300461011E-2"/>
    <s v=""/>
    <n v="1.1277884667055852E-3"/>
    <n v="3.1327457408488481E-3"/>
    <n v="0.22"/>
    <n v="0.39"/>
    <n v="0.17"/>
    <n v="7.5585881460321899E-2"/>
    <n v="-6.2491204109230774"/>
    <n v="0.21"/>
    <n v="0.38"/>
    <n v="0.17"/>
    <n v="5.378584942008291E-2"/>
    <n v="0.23387815943022644"/>
    <n v="0.32538059934212182"/>
    <n v="9.1502439911895384E-2"/>
    <s v=""/>
    <s v=""/>
    <s v=""/>
    <n v="82"/>
    <n v="4"/>
    <n v="122"/>
    <n v="4"/>
    <n v="122"/>
    <n v="18.139321704289721"/>
    <n v="18.309766360864966"/>
    <n v="18.139321704289721"/>
    <n v="18.309766360864966"/>
    <n v="12.97932902589192"/>
  </r>
  <r>
    <x v="2"/>
    <x v="0"/>
    <n v="15.543499840865465"/>
    <n v="52.291137977890465"/>
    <n v="32.16536218124407"/>
    <n v="9.9140000000000006E-2"/>
    <n v="1.3157000000000001"/>
    <n v="0.10883"/>
    <n v="1.3419299999999998"/>
    <n v="-9.6899999999999903E-3"/>
    <n v="-2.6229999999999754E-2"/>
    <n v="1.4794227554544721"/>
    <n v="1.4086441072367912"/>
    <n v="1.6209789046209935"/>
    <n v="4.7091104329067698E-2"/>
    <n v="-0.1412725496756958"/>
    <n v="-9.4181445346628104E-2"/>
    <n v="1.5030152557707523"/>
    <n v="1.0965112433435376"/>
    <n v="0.10381469306627922"/>
    <n v="0.2174948944860447"/>
    <n v="0.15603506745177581"/>
    <n v="0.32689814446477528"/>
    <n v="0.17086307701299946"/>
    <n v="2.6074437263989201"/>
    <n v="36.577418313732231"/>
    <n v="33.969974587333311"/>
    <n v="0.11368020141976548"/>
    <n v="0.43282443178462171"/>
    <n v="0.58622217232319329"/>
    <n v="0.34154670999247816"/>
    <n v="0.35600750821513516"/>
    <n v="0.19668523295526913"/>
    <n v="0.19021068634232549"/>
    <n v="0.14486147703720903"/>
    <n v="0.16579682187280967"/>
    <n v="9.1277721792143551E-2"/>
    <n v="84.775420998942352"/>
    <n v="32.752013974266539"/>
    <n v="0.23141688037813521"/>
    <n v="0.28082249362162875"/>
    <n v="4.3212059481832092"/>
    <n v="9.4580383363671167E-2"/>
    <n v="0.10388905541532445"/>
    <n v="2.6881887616768137E-2"/>
    <n v="7.4671910046578152E-2"/>
    <n v="0.22"/>
    <n v="0.39"/>
    <n v="0.17"/>
    <n v="7.8744363795227229E-2"/>
    <n v="-5.7075827162281563"/>
    <n v="0.18"/>
    <n v="0.35"/>
    <n v="0.16999999999999998"/>
    <n v="0.13382405024940658"/>
    <n v="0.18511642477113077"/>
    <n v="0.34507374992737971"/>
    <n v="0.15995732515624894"/>
    <n v="8.8531071418424534E-2"/>
    <n v="0.27446400296877249"/>
    <n v="0.18593293155034796"/>
    <n v="65"/>
    <n v="3"/>
    <n v="91"/>
    <n v="3"/>
    <n v="91"/>
    <n v="11.26820483538823"/>
    <n v="11.955103681103175"/>
    <n v="11.26820483538823"/>
    <n v="11.955103681103175"/>
    <n v="8.0487177395630223"/>
  </r>
  <r>
    <x v="2"/>
    <x v="1"/>
    <n v="9.8232649876897007"/>
    <n v="57.448166623324902"/>
    <n v="32.728568388985401"/>
    <n v="3.4529999999999998E-2"/>
    <n v="0.49"/>
    <n v="6.1589999999999999E-2"/>
    <n v="0.47860000000000003"/>
    <n v="-2.7060000000000001E-2"/>
    <n v="1.1399999999999966E-2"/>
    <n v="1.3898128877534097"/>
    <n v="1.5888773335469619"/>
    <n v="1.7391625477765664"/>
    <n v="-0.12658159688554657"/>
    <n v="-9.5563737309467753E-2"/>
    <n v="-0.22214533419501431"/>
    <n v="1.5726175896923127"/>
    <n v="1.4659570232800021"/>
    <n v="0.13627209666592066"/>
    <n v="0.21623731459797033"/>
    <n v="0.21430389620107798"/>
    <n v="0.34005860448459846"/>
    <n v="0.12575470828352048"/>
    <n v="2.012906420942306"/>
    <n v="31.633128190194054"/>
    <n v="29.620221769251749"/>
    <n v="7.9965217932049665E-2"/>
    <n v="0.40655940011610836"/>
    <n v="0.44680867046037653"/>
    <n v="0.34592203564476565"/>
    <n v="0.35487661821032318"/>
    <n v="0.20447780880311936"/>
    <n v="0.20195293672702896"/>
    <n v="0.14144422684164629"/>
    <n v="0.15292368148329422"/>
    <n v="6.0637364471342714E-2"/>
    <n v="120.2666067831008"/>
    <n v="89.549019336276416"/>
    <n v="0.21049193350958126"/>
    <n v="0.23175684549890027"/>
    <n v="4.7507758769030533"/>
    <n v="8.9770873914827146E-2"/>
    <n v="9.4403551331212157E-2"/>
    <n v="9.8620097836868686E-3"/>
    <n v="2.7394471621352411E-2"/>
    <n v="0.2"/>
    <n v="0.37"/>
    <n v="0.16999999999999998"/>
    <n v="9.8930138263440104E-2"/>
    <n v="-5.6280048587657445"/>
    <n v="0.18"/>
    <n v="0.36"/>
    <n v="0.18"/>
    <n v="0.10667914001999801"/>
    <n v="0.20165393931089354"/>
    <n v="0.35716367532955473"/>
    <n v="0.15550973601866119"/>
    <n v="0.17631138873132851"/>
    <n v="0.33863673494373636"/>
    <n v="0.16232534621240785"/>
    <n v="65"/>
    <n v="3"/>
    <n v="91"/>
    <n v="3"/>
    <n v="91"/>
    <n v="11.26820483538823"/>
    <n v="11.955103681103175"/>
    <n v="11.26820483538823"/>
    <n v="11.955103681103175"/>
    <n v="8.0487177395630223"/>
  </r>
  <r>
    <x v="2"/>
    <x v="2"/>
    <n v="11.1554924455255"/>
    <n v="45.936383727145397"/>
    <n v="42.908123827329199"/>
    <n v="5.1119999999999999E-2"/>
    <n v="0.45290999999999998"/>
    <n v="3.9440000000000003E-2"/>
    <n v="0.37341000000000002"/>
    <n v="1.1679999999999996E-2"/>
    <n v="7.949999999999996E-2"/>
    <n v="1.7434854345670294"/>
    <n v="1.7122502057364717"/>
    <n v="1.7316523556745622"/>
    <n v="1.8064136818824045E-2"/>
    <n v="-1.1220762715146965E-2"/>
    <n v="6.8433741036770792E-3"/>
    <n v="1.7291293319926879"/>
    <n v="1.5073115194884863"/>
    <n v="0.18127360333376744"/>
    <n v="0.21148148148148152"/>
    <n v="0.31344550464042475"/>
    <n v="0.36567883280289815"/>
    <n v="5.2233328162473391E-2"/>
    <n v="4.1939629688794557"/>
    <n v="30.555059564480356"/>
    <n v="26.361096595600898"/>
    <n v="3.0207878147714085E-2"/>
    <n v="0.34749836528577815"/>
    <n v="0.43120320019302405"/>
    <n v="0.3401919540725008"/>
    <n v="0.38325715514555025"/>
    <n v="0.25501837766383206"/>
    <n v="0.25349172287532817"/>
    <n v="8.5173576408668739E-2"/>
    <n v="0.12976543227022208"/>
    <n v="7.3064112132773529E-3"/>
    <n v="252.66340651287538"/>
    <n v="124.26730717100664"/>
    <n v="0.10295548716798437"/>
    <n v="0.15926018581286169"/>
    <n v="9.7129354394523784"/>
    <n v="7.8069835401301108E-2"/>
    <n v="9.8358882463264352E-2"/>
    <n v="2.6799062256866059E-4"/>
    <n v="7.4441839602405714E-4"/>
    <n v="0.25"/>
    <n v="0.41"/>
    <n v="0.15999999999999998"/>
    <n v="4.2925206440982924E-2"/>
    <n v="-7.4132929573446189"/>
    <n v="0.24"/>
    <n v="0.41"/>
    <n v="0.16999999999999998"/>
    <n v="4.5639560522851674E-2"/>
    <n v="0.23884112928146267"/>
    <n v="0.31749836528577813"/>
    <n v="7.8657236004315456E-2"/>
    <n v="0.18613721703046437"/>
    <n v="0.34582001093515008"/>
    <n v="0.1596827939046857"/>
    <n v="65"/>
    <n v="3"/>
    <n v="91"/>
    <n v="3"/>
    <n v="91"/>
    <n v="11.26820483538823"/>
    <n v="11.955103681103175"/>
    <n v="11.26820483538823"/>
    <n v="11.955103681103175"/>
    <n v="8.0487177395630223"/>
  </r>
  <r>
    <x v="2"/>
    <x v="3"/>
    <n v="10.8194741086403"/>
    <n v="47.069064995799302"/>
    <n v="42.111460895560398"/>
    <n v="4.1790000000000001E-2"/>
    <n v="0.24584"/>
    <n v="4.7870000000000003E-2"/>
    <n v="0.30241000000000001"/>
    <n v="-6.0800000000000021E-3"/>
    <n v="-5.6570000000000009E-2"/>
    <n v="1.7435622062726466"/>
    <n v="1.7011357472144035"/>
    <n v="1.7704565469351836"/>
    <n v="2.4405677178772796E-2"/>
    <n v="-3.9876555746431487E-2"/>
    <n v="-1.5470878567658695E-2"/>
    <n v="1.7383848334740779"/>
    <m/>
    <n v="0.19561049778541684"/>
    <m/>
    <n v="0.34004632261848333"/>
    <s v=""/>
    <s v=""/>
    <n v="9.6975091247160723"/>
    <m/>
    <s v=""/>
    <s v=""/>
    <n v="0.34400572321732903"/>
    <s v=""/>
    <n v="0.33700457687363983"/>
    <s v=""/>
    <n v="0.25096880271440336"/>
    <s v=""/>
    <n v="8.6035774159236467E-2"/>
    <s v=""/>
    <n v="7.0011463436892019E-3"/>
    <n v="256.44059302905021"/>
    <s v=""/>
    <n v="0.10567443102937533"/>
    <s v=""/>
    <n v="9.4630270563938073"/>
    <n v="7.7788621423673474E-2"/>
    <s v=""/>
    <n v="2.7504561262366558E-4"/>
    <n v="7.6401559062129324E-4"/>
    <n v="0.24"/>
    <n v="0.4"/>
    <n v="0.16000000000000003"/>
    <n v="4.6413781046520219E-2"/>
    <n v="-7.2486404401489457"/>
    <n v="0.24"/>
    <n v="0.4"/>
    <n v="0.16000000000000003"/>
    <n v="4.2029914945109548E-2"/>
    <n v="0.24104023643344091"/>
    <n v="0.314005723217329"/>
    <n v="7.2965486783888089E-2"/>
    <s v=""/>
    <s v=""/>
    <s v=""/>
    <n v="65"/>
    <n v="3"/>
    <n v="91"/>
    <n v="3"/>
    <n v="91"/>
    <n v="11.26820483538823"/>
    <n v="11.955103681103175"/>
    <n v="11.26820483538823"/>
    <n v="11.955103681103175"/>
    <n v="8.0487177395630223"/>
  </r>
  <r>
    <x v="2"/>
    <x v="4"/>
    <n v="11.9775802372949"/>
    <n v="47.519419154859698"/>
    <n v="40.5030006078455"/>
    <n v="3.1940000000000003E-2"/>
    <n v="0.24504999999999999"/>
    <n v="3.7969999999999997E-2"/>
    <n v="0.27710000000000001"/>
    <n v="-6.0299999999999937E-3"/>
    <n v="-3.2050000000000023E-2"/>
    <n v="1.7901110505925868"/>
    <n v="1.6525918277082774"/>
    <n v="1.6829816533700999"/>
    <n v="8.0488306703970156E-2"/>
    <n v="-1.7786790510056286E-2"/>
    <n v="6.270151619391387E-2"/>
    <n v="1.708561510556988"/>
    <m/>
    <n v="0.19395924308588039"/>
    <m/>
    <n v="0.33139129735330181"/>
    <s v=""/>
    <s v=""/>
    <n v="9.2333846868014344"/>
    <m/>
    <s v=""/>
    <s v=""/>
    <n v="0.35525980733698559"/>
    <s v=""/>
    <n v="0.34135264572182528"/>
    <s v=""/>
    <n v="0.24373632352836808"/>
    <s v=""/>
    <n v="9.76163221934572E-2"/>
    <s v=""/>
    <n v="1.3907161615160313E-2"/>
    <n v="216.41662461472833"/>
    <s v=""/>
    <n v="0.12408829115742637"/>
    <s v=""/>
    <n v="8.0587780738420829"/>
    <n v="8.259467766988593E-2"/>
    <s v=""/>
    <n v="6.2600662593611731E-4"/>
    <n v="1.7389072942669923E-3"/>
    <n v="0.24"/>
    <n v="0.39"/>
    <n v="0.15000000000000002"/>
    <n v="4.9499596891911531E-2"/>
    <n v="-6.9843379426595256"/>
    <n v="0.23"/>
    <n v="0.39"/>
    <n v="0.16"/>
    <n v="5.366101088277464E-2"/>
    <n v="0.2339542149083404"/>
    <n v="0.32525980733698556"/>
    <n v="9.1305592428645166E-2"/>
    <s v=""/>
    <s v=""/>
    <s v=""/>
    <n v="65"/>
    <n v="3"/>
    <n v="91"/>
    <n v="3"/>
    <n v="91"/>
    <n v="11.26820483538823"/>
    <n v="11.955103681103175"/>
    <n v="11.26820483538823"/>
    <n v="11.955103681103175"/>
    <n v="8.0487177395630223"/>
  </r>
  <r>
    <x v="3"/>
    <x v="0"/>
    <n v="8.6890606275594191"/>
    <n v="64.101101128146269"/>
    <n v="27.209838244294332"/>
    <n v="0.13572999999999999"/>
    <n v="2.0589"/>
    <n v="0.15093333333333334"/>
    <n v="2.0624333333333333"/>
    <n v="-1.5203333333333346E-2"/>
    <n v="-3.5333333333333883E-3"/>
    <n v="1.3662139933585313"/>
    <n v="1.3421339420192397"/>
    <n v="1.46143098636097"/>
    <n v="1.7324696434445879E-2"/>
    <n v="-8.5829762139033275E-2"/>
    <n v="-6.8505065704587392E-2"/>
    <n v="1.3899263072462471"/>
    <n v="1.0607013811478612"/>
    <n v="0.10356701968682994"/>
    <n v="0.26562054208273905"/>
    <n v="0.14395052522581492"/>
    <n v="0.36919297918580785"/>
    <n v="0.22524245395999293"/>
    <n v="4.5060358021277658"/>
    <n v="39.041829650618332"/>
    <n v="34.53579384849057"/>
    <n v="0.16205352239590912"/>
    <n v="0.47549950669952934"/>
    <n v="0.59973532786873163"/>
    <n v="0.33982364225853184"/>
    <n v="0.35311346045979086"/>
    <n v="0.17603813526455653"/>
    <n v="0.1745533090809904"/>
    <n v="0.16378550699397532"/>
    <n v="0.17856015137880046"/>
    <n v="0.1356758644409975"/>
    <n v="68.836347508624797"/>
    <n v="36.325768930045932"/>
    <n v="0.27465142653820207"/>
    <n v="0.30116797161663678"/>
    <n v="3.6409787220271621"/>
    <n v="8.7634410630240286E-2"/>
    <n v="9.1753354509560098E-2"/>
    <n v="7.3336257765499291E-2"/>
    <n v="0.20371182712638694"/>
    <n v="0.22"/>
    <n v="0.42"/>
    <n v="0.19999999999999998"/>
    <n v="0.15548508566187691"/>
    <n v="-4.8552062489904637"/>
    <n v="0.15"/>
    <n v="0.33"/>
    <n v="0.18000000000000002"/>
    <n v="0.17792874017396354"/>
    <n v="0.15824649060170831"/>
    <n v="0.32543019956867314"/>
    <n v="0.16718370896696483"/>
    <n v="8.0022648160731846E-2"/>
    <n v="0.26824382990538348"/>
    <n v="0.18822118174465163"/>
    <n v="77"/>
    <n v="5"/>
    <n v="152"/>
    <n v="5"/>
    <n v="152"/>
    <n v="21.998541308996138"/>
    <n v="23.868107261148584"/>
    <n v="21.998541308996138"/>
    <n v="23.868107261148584"/>
    <n v="12.126114191529853"/>
  </r>
  <r>
    <x v="3"/>
    <x v="1"/>
    <n v="12.335870517688599"/>
    <n v="60.583151492243402"/>
    <n v="27.0809779900679"/>
    <n v="0.10711"/>
    <n v="1.3319000000000001"/>
    <n v="0.11013000000000001"/>
    <n v="1.3976999999999999"/>
    <n v="-3.0200000000000088E-3"/>
    <n v="-6.5799999999999859E-2"/>
    <n v="1.3044968799471937"/>
    <n v="1.382932564274252"/>
    <n v="1.4332035543496746"/>
    <n v="-5.7104588800499997E-2"/>
    <n v="-3.6599466702946837E-2"/>
    <n v="-9.3704055503446834E-2"/>
    <n v="1.3735443328570403"/>
    <n v="1.2507846980188413"/>
    <n v="0.14919782316771493"/>
    <n v="0.28571428571428592"/>
    <n v="0.20492982448662167"/>
    <n v="0.39244123795915464"/>
    <n v="0.18751141347253297"/>
    <n v="3.1783102092566358"/>
    <n v="56.595761492239482"/>
    <n v="53.417451282982846"/>
    <n v="0.13651646254657099"/>
    <n v="0.48168138382753201"/>
    <n v="0.52800577433251272"/>
    <n v="0.33360926430843296"/>
    <n v="0.33814832561124497"/>
    <n v="0.1733329165333638"/>
    <n v="0.17250305942556241"/>
    <n v="0.16027634777506916"/>
    <n v="0.16564526618568257"/>
    <n v="0.14807211951909904"/>
    <n v="60.501925216722427"/>
    <n v="46.417788230610654"/>
    <n v="0.27903261763257053"/>
    <n v="0.2905361155191834"/>
    <n v="3.5838104107126196"/>
    <n v="8.9012551538550838E-2"/>
    <n v="9.0944621711081489E-2"/>
    <n v="9.9013899189404425E-2"/>
    <n v="0.27503860885945675"/>
    <n v="0.2"/>
    <n v="0.38"/>
    <n v="0.18"/>
    <n v="0.13835036990810937"/>
    <n v="-4.9116782799967886"/>
    <n v="0.15"/>
    <n v="0.33"/>
    <n v="0.18000000000000002"/>
    <n v="0.18431771018575427"/>
    <n v="0.1543541334868328"/>
    <n v="0.32258465061726788"/>
    <n v="0.16823051713043508"/>
    <n v="0.12518644424927672"/>
    <n v="0.3012613020458727"/>
    <n v="0.17607485779659598"/>
    <n v="77"/>
    <n v="5"/>
    <n v="152"/>
    <n v="5"/>
    <n v="152"/>
    <n v="21.998541308996138"/>
    <n v="23.868107261148584"/>
    <n v="21.998541308996138"/>
    <n v="23.868107261148584"/>
    <n v="12.126114191529853"/>
  </r>
  <r>
    <x v="3"/>
    <x v="2"/>
    <n v="9.9704858349682404"/>
    <n v="52.277185727161203"/>
    <n v="37.752328437870602"/>
    <n v="4.6350000000000002E-2"/>
    <n v="0.44740000000000002"/>
    <n v="5.8459999999999998E-2"/>
    <n v="0.53125999999999995"/>
    <n v="-1.2109999999999996E-2"/>
    <n v="-8.3859999999999935E-2"/>
    <n v="1.4633488820478966"/>
    <n v="1.5871267206288209"/>
    <n v="1.4347960027433968"/>
    <n v="-8.2789527237111832E-2"/>
    <n v="0.1018872866258604"/>
    <n v="1.9097759388748574E-2"/>
    <n v="1.4490724423956467"/>
    <n v="1.3267609205631146"/>
    <n v="7.4856702883052448E-2"/>
    <n v="0.31412565026010414"/>
    <n v="0.10847278527643006"/>
    <n v="0.45519082324152982"/>
    <n v="0.34671803796509976"/>
    <n v="2.9187365401306042"/>
    <n v="71.76628440189539"/>
    <n v="68.847547861764781"/>
    <n v="0.23926894737705168"/>
    <n v="0.45318021041673706"/>
    <n v="0.49933550167429641"/>
    <n v="0.37378855745219175"/>
    <n v="0.37997225034213256"/>
    <n v="0.22540440475903417"/>
    <n v="0.21958489546947393"/>
    <n v="0.14838415269315758"/>
    <n v="0.16038735487265862"/>
    <n v="7.9391652964545312E-2"/>
    <n v="95.048485169289435"/>
    <n v="68.724465531264215"/>
    <n v="0.20454632277855"/>
    <n v="0.23027107517418943"/>
    <n v="4.8888681371340992"/>
    <n v="9.9972739691085361E-2"/>
    <n v="0.10568940254972876"/>
    <n v="1.8496107527000545E-2"/>
    <n v="5.13780764638904E-2"/>
    <n v="0.23"/>
    <n v="0.39"/>
    <n v="0.16"/>
    <n v="6.7242559442832001E-2"/>
    <n v="-6.4347828951313888"/>
    <n v="0.21"/>
    <n v="0.38"/>
    <n v="0.17"/>
    <n v="0.1548617474656977"/>
    <n v="0.17229961231320567"/>
    <n v="0.33570388324412387"/>
    <n v="0.16340427093091819"/>
    <n v="0.14323839472579603"/>
    <n v="0.31445837190181297"/>
    <n v="0.17121997717601695"/>
    <n v="77"/>
    <n v="5"/>
    <n v="152"/>
    <n v="5"/>
    <n v="152"/>
    <n v="21.998541308996138"/>
    <n v="23.868107261148584"/>
    <n v="21.998541308996138"/>
    <n v="23.868107261148584"/>
    <n v="12.126114191529853"/>
  </r>
  <r>
    <x v="3"/>
    <x v="3"/>
    <n v="6.6260371118339902"/>
    <n v="49.8602835938159"/>
    <n v="43.513679294350098"/>
    <n v="4.5289999999999997E-2"/>
    <n v="0.31708999999999998"/>
    <n v="5.2760000000000001E-2"/>
    <n v="0.33537"/>
    <n v="-7.4700000000000044E-3"/>
    <n v="-1.8280000000000018E-2"/>
    <n v="1.4488478420885844"/>
    <n v="1.5994101813163129"/>
    <n v="1.5916949772775191"/>
    <n v="-9.7347326064887704E-2"/>
    <n v="4.9883290009569529E-3"/>
    <n v="-9.2358997063930762E-2"/>
    <n v="1.546651000227472"/>
    <m/>
    <n v="0.23673019373129631"/>
    <n v="0.33594089526292897"/>
    <n v="0.36613899091855268"/>
    <n v="0.51958332167572152"/>
    <n v="0.15344433075716885"/>
    <n v="10.959719891214444"/>
    <n v="84.114369213217543"/>
    <n v="73.154649322003095"/>
    <n v="9.9210701531632667E-2"/>
    <n v="0.41635811312170867"/>
    <s v=""/>
    <n v="0.3831904486230483"/>
    <s v=""/>
    <n v="0.26098721348679965"/>
    <s v=""/>
    <n v="0.12220323513624864"/>
    <s v=""/>
    <n v="3.3167664498660376E-2"/>
    <n v="155.02952386916979"/>
    <s v=""/>
    <n v="0.14331544657668385"/>
    <s v=""/>
    <n v="6.9776149318624183"/>
    <n v="9.3137273611395371E-2"/>
    <s v=""/>
    <n v="2.5237150797700093E-3"/>
    <n v="7.0103196660278033E-3"/>
    <n v="0.25"/>
    <n v="0.41"/>
    <n v="0.15999999999999998"/>
    <n v="4.9521636994247775E-2"/>
    <n v="-7.4099971841449195"/>
    <n v="0.25"/>
    <n v="0.42"/>
    <n v="0.16999999999999998"/>
    <n v="0.11680610991128582"/>
    <n v="0.19548427765404736"/>
    <n v="0.35265327873951191"/>
    <n v="0.15716900108546455"/>
    <s v=""/>
    <s v=""/>
    <s v=""/>
    <n v="77"/>
    <n v="5"/>
    <n v="152"/>
    <n v="5"/>
    <n v="152"/>
    <n v="21.998541308996138"/>
    <n v="23.868107261148584"/>
    <n v="21.998541308996138"/>
    <n v="23.868107261148584"/>
    <n v="12.126114191529853"/>
  </r>
  <r>
    <x v="3"/>
    <x v="4"/>
    <n v="9.3138423335122802"/>
    <n v="56.81514975790499"/>
    <n v="33.871007908582698"/>
    <n v="3.7429999999999998E-2"/>
    <n v="0.22728999999999999"/>
    <n v="3.5490000000000001E-2"/>
    <n v="0.26665"/>
    <n v="1.9399999999999973E-3"/>
    <n v="-3.9360000000000006E-2"/>
    <n v="1.5836631945517556"/>
    <n v="1.5660290922205291"/>
    <n v="1.7913845812300389"/>
    <n v="1.0706635093306691E-2"/>
    <n v="-0.13682573355752362"/>
    <n v="-0.12611909846421693"/>
    <n v="1.6470256226674413"/>
    <m/>
    <n v="0.22397509081473807"/>
    <m/>
    <n v="0.36889271341114072"/>
    <s v=""/>
    <s v=""/>
    <n v="9.7081326928685083"/>
    <m/>
    <s v=""/>
    <s v=""/>
    <n v="0.37848089710662591"/>
    <s v=""/>
    <n v="0.3405721005353366"/>
    <s v=""/>
    <n v="0.2115851158641775"/>
    <s v=""/>
    <n v="0.1289869846711591"/>
    <s v=""/>
    <n v="3.7908796571289316E-2"/>
    <n v="156.0062376751778"/>
    <s v=""/>
    <n v="0.18555883880311447"/>
    <s v=""/>
    <n v="5.3891262008868299"/>
    <n v="8.6401669998054501E-2"/>
    <s v=""/>
    <n v="3.8525806512168742E-3"/>
    <n v="1.0701612920046873E-2"/>
    <n v="0.2"/>
    <n v="0.37"/>
    <n v="0.16999999999999998"/>
    <n v="9.2472597629903772E-2"/>
    <n v="-5.7892522480243791"/>
    <n v="0.19"/>
    <n v="0.36"/>
    <n v="0.16999999999999998"/>
    <n v="7.7660007159697786E-2"/>
    <n v="0.21933328794578411"/>
    <n v="0.34848089710662589"/>
    <n v="0.12914760916084178"/>
    <s v=""/>
    <s v=""/>
    <s v=""/>
    <n v="77"/>
    <n v="5"/>
    <n v="152"/>
    <n v="5"/>
    <n v="152"/>
    <n v="21.998541308996138"/>
    <n v="23.868107261148584"/>
    <n v="21.998541308996138"/>
    <n v="23.868107261148584"/>
    <n v="12.126114191529853"/>
  </r>
  <r>
    <x v="4"/>
    <x v="0"/>
    <n v="7.8170422435055329"/>
    <n v="60.3085021980568"/>
    <n v="31.874455558437663"/>
    <n v="0.14990000000000001"/>
    <n v="1.9661"/>
    <n v="0.15506333333333333"/>
    <n v="2.0160666666666667"/>
    <n v="-5.1633333333333253E-3"/>
    <n v="-4.9966666666666715E-2"/>
    <n v="1.4792968018749437"/>
    <n v="1.2351873376441009"/>
    <n v="1.3220557933981909"/>
    <n v="0.18142478579749102"/>
    <n v="-6.4561572929597785E-2"/>
    <n v="0.11686321286789324"/>
    <n v="1.2786215655211459"/>
    <n v="0.99783149448436126"/>
    <n v="0.12475122127736585"/>
    <n v="0.24948994462255908"/>
    <n v="0.15950960185034041"/>
    <n v="0.31900322357508049"/>
    <n v="0.15949362172474008"/>
    <n v="6.7121596182179699"/>
    <n v="35.465879710946751"/>
    <n v="28.753720092728781"/>
    <n v="0.12473872334519323"/>
    <n v="0.51750129602975625"/>
    <n v="0.62345981340212786"/>
    <n v="0.36296417416706911"/>
    <n v="0.37302548773197963"/>
    <n v="0.19418950810734084"/>
    <n v="0.19207818819277603"/>
    <n v="0.16877466605972827"/>
    <n v="0.1809472995392036"/>
    <n v="0.15453712186268714"/>
    <n v="58.588272118509721"/>
    <n v="34.221705600195222"/>
    <n v="0.26609567501058451"/>
    <n v="0.28887844745590374"/>
    <n v="3.7580468001226359"/>
    <n v="9.8351947231034756E-2"/>
    <n v="0.10213899488107876"/>
    <n v="0.11284222171560496"/>
    <n v="0.31345061587668044"/>
    <n v="0.24"/>
    <n v="0.44"/>
    <n v="0.2"/>
    <n v="0.11268790161034357"/>
    <n v="-5.463336383586717"/>
    <n v="0.18"/>
    <n v="0.35"/>
    <n v="0.16999999999999998"/>
    <n v="0.22133758944675302"/>
    <n v="0.13180048396782429"/>
    <n v="0.30609656593102302"/>
    <n v="0.17429608196319873"/>
    <n v="6.5084763089484243E-2"/>
    <n v="0.25732333059193357"/>
    <n v="0.19223856750244933"/>
    <n v="72"/>
    <n v="5"/>
    <n v="152"/>
    <n v="4"/>
    <n v="122"/>
    <n v="20.244480457494443"/>
    <n v="19.965538000308484"/>
    <n v="17.906176047857375"/>
    <n v="18.219413238034001"/>
    <n v="11.059150037130657"/>
  </r>
  <r>
    <x v="4"/>
    <x v="1"/>
    <n v="11.0433746277831"/>
    <n v="62.439681138613999"/>
    <n v="26.516944233602903"/>
    <n v="7.528E-2"/>
    <n v="0.68467"/>
    <n v="8.5790000000000005E-2"/>
    <n v="0.77281999999999995"/>
    <n v="-1.0510000000000005E-2"/>
    <n v="-8.8149999999999951E-2"/>
    <n v="1.0764608679539625"/>
    <n v="1.489417378004793"/>
    <n v="1.3528048874178966"/>
    <n v="-0.31614434951390991"/>
    <n v="0.10458550942023739"/>
    <n v="-0.21155884009367248"/>
    <n v="1.2146328776859296"/>
    <n v="1.2580240374442015"/>
    <n v="7.3117450526856809E-2"/>
    <n v="0.28378378378378399"/>
    <n v="8.8810859342494677E-2"/>
    <n v="0.3446931139378992"/>
    <n v="0.25588225459540453"/>
    <n v="4.0838143936898046"/>
    <n v="37.595740598508421"/>
    <n v="33.511926204818614"/>
    <n v="0.21066633325692719"/>
    <n v="0.54164797068455484"/>
    <n v="0.52527394813426354"/>
    <n v="0.33983518271358604"/>
    <n v="0.33822398749144261"/>
    <n v="0.17075927764538573"/>
    <n v="0.17089362925205748"/>
    <n v="0.16907590506820031"/>
    <n v="0.16733035823938514"/>
    <n v="0.2018127879709688"/>
    <n v="44.502421354194539"/>
    <n v="48.463238970081299"/>
    <n v="0.29527640646388326"/>
    <n v="0.29209229325866887"/>
    <n v="3.3866573085727221"/>
    <n v="8.9719718442905647E-2"/>
    <n v="8.9231504472744902E-2"/>
    <n v="0.26409871493254294"/>
    <n v="0.73360754147928597"/>
    <n v="0.18"/>
    <n v="0.36"/>
    <n v="0.18"/>
    <n v="0.15184747906708831"/>
    <n v="-4.8136585014048299"/>
    <n v="0.15"/>
    <n v="0.33"/>
    <n v="0.18000000000000002"/>
    <n v="0.24629317770248738"/>
    <n v="0.1165967717381769"/>
    <n v="0.294981730854046"/>
    <n v="0.1783849591158691"/>
    <n v="0.1269065112967423"/>
    <n v="0.3025187753040578"/>
    <n v="0.1756122640073155"/>
    <n v="72"/>
    <n v="5"/>
    <n v="152"/>
    <n v="4"/>
    <n v="122"/>
    <n v="20.244480457494443"/>
    <n v="19.965538000308484"/>
    <n v="17.906176047857375"/>
    <n v="18.219413238034001"/>
    <n v="11.059150037130657"/>
  </r>
  <r>
    <x v="4"/>
    <x v="2"/>
    <n v="8.7723872636828801"/>
    <n v="51.809436089844198"/>
    <n v="39.418176646472901"/>
    <n v="4.7199999999999999E-2"/>
    <n v="0.40223999999999999"/>
    <n v="5.8189999999999999E-2"/>
    <n v="0.39962999999999999"/>
    <n v="-1.099E-2"/>
    <n v="2.6100000000000012E-3"/>
    <n v="1.4108293690328659"/>
    <n v="1.6781246193980224"/>
    <n v="1.7058033223932449"/>
    <n v="-0.16724219790753903"/>
    <n v="-1.7318104671995439E-2"/>
    <n v="-0.18456030257953446"/>
    <n v="1.5982524369413778"/>
    <n v="1.5547816917509649"/>
    <n v="0.14444677724123442"/>
    <n v="0.2668169860954529"/>
    <n v="0.23086241373413124"/>
    <n v="0.42644089824441128"/>
    <n v="0.19557848451028004"/>
    <n v="0.52008399096167568"/>
    <n v="49.666260355468694"/>
    <n v="49.146176364507021"/>
    <n v="0.12237020885421848"/>
    <n v="0.39688587285231025"/>
    <n v="0.41328992764114525"/>
    <n v="0.36315490669203709"/>
    <n v="0.36961358216964368"/>
    <n v="0.24020755960618828"/>
    <n v="0.23899539621942228"/>
    <n v="0.12294734708584881"/>
    <n v="0.1306181859502214"/>
    <n v="3.3730966160273157E-2"/>
    <n v="157.0603309943377"/>
    <n v="137.63078095004346"/>
    <n v="0.15713717358400095"/>
    <n v="0.16805120860278872"/>
    <n v="6.363866532609034"/>
    <n v="9.0574451097961112E-2"/>
    <n v="9.3725894167982618E-2"/>
    <n v="2.7413196725569627E-3"/>
    <n v="7.6147768682137849E-3"/>
    <n v="0.23"/>
    <n v="0.4"/>
    <n v="0.17"/>
    <n v="6.2239508473217027E-2"/>
    <n v="-6.6951039331412847"/>
    <n v="0.22"/>
    <n v="0.39"/>
    <n v="0.17"/>
    <n v="9.6681549592862681E-2"/>
    <n v="0.2077447790172714"/>
    <n v="0.3616164482967173"/>
    <n v="0.1538716692794459"/>
    <n v="0.19741612996002927"/>
    <n v="0.3540655798571426"/>
    <n v="0.15664944989711332"/>
    <n v="72"/>
    <n v="5"/>
    <n v="152"/>
    <n v="4"/>
    <n v="122"/>
    <n v="20.244480457494443"/>
    <n v="19.965538000308484"/>
    <n v="17.906176047857375"/>
    <n v="18.219413238034001"/>
    <n v="11.059150037130657"/>
  </r>
  <r>
    <x v="4"/>
    <x v="3"/>
    <n v="9.7988106467066007"/>
    <n v="59.061972811884502"/>
    <n v="31.139216541408899"/>
    <n v="5.076E-2"/>
    <n v="0.30521500000000001"/>
    <n v="4.1840000000000002E-2"/>
    <n v="0.38697999999999999"/>
    <n v="8.9199999999999974E-3"/>
    <n v="-8.1764999999999977E-2"/>
    <n v="1.6787093079525017"/>
    <n v="1.7310069352403736"/>
    <n v="1.7184098762198057"/>
    <n v="-3.0594583325416438E-2"/>
    <n v="7.3693930651674497E-3"/>
    <n v="-2.3225190260248989E-2"/>
    <n v="1.7093753731375603"/>
    <m/>
    <n v="0.17732320280537681"/>
    <m/>
    <n v="0.30311191596138826"/>
    <s v=""/>
    <s v=""/>
    <n v="8.8624797696757742"/>
    <m/>
    <s v=""/>
    <s v=""/>
    <n v="0.35495268938205271"/>
    <s v=""/>
    <n v="0.3229946066054174"/>
    <s v=""/>
    <n v="0.19670478554518256"/>
    <s v=""/>
    <n v="0.12628982106023484"/>
    <s v=""/>
    <n v="3.195808277663531E-2"/>
    <n v="173.91015477924384"/>
    <s v=""/>
    <n v="0.19419962162785079"/>
    <s v=""/>
    <n v="5.1493406198098732"/>
    <n v="8.1734997034661486E-2"/>
    <s v=""/>
    <n v="3.159065925746845E-3"/>
    <n v="8.7751831270745685E-3"/>
    <n v="0.19"/>
    <n v="0.36"/>
    <n v="0.16999999999999998"/>
    <n v="0.11166449402623711"/>
    <n v="-5.3967923672542009"/>
    <n v="0.17"/>
    <n v="0.35"/>
    <n v="0.17999999999999997"/>
    <n v="5.3343604476351447E-2"/>
    <n v="0.23414758865748436"/>
    <n v="0.32495268938205268"/>
    <n v="9.0805100724568322E-2"/>
    <s v=""/>
    <s v=""/>
    <s v=""/>
    <n v="72"/>
    <n v="5"/>
    <n v="152"/>
    <n v="4"/>
    <n v="122"/>
    <n v="20.244480457494443"/>
    <n v="19.965538000308484"/>
    <n v="17.906176047857375"/>
    <n v="18.219413238034001"/>
    <n v="11.059150037130657"/>
  </r>
  <r>
    <x v="4"/>
    <x v="4"/>
    <n v="9.3722089073571908"/>
    <n v="47.795575633223301"/>
    <n v="42.832215459419501"/>
    <n v="7.4020000000000002E-2"/>
    <n v="0.39373000000000002"/>
    <n v="5.6770000000000001E-2"/>
    <n v="0.43406"/>
    <n v="1.7250000000000001E-2"/>
    <n v="-4.0329999999999977E-2"/>
    <n v="1.7348552359355764"/>
    <n v="1.7665183046393165"/>
    <n v="1.7799423982720064"/>
    <n v="-1.7985897304973509E-2"/>
    <n v="-7.6254254364609489E-3"/>
    <n v="-2.5611322741434458E-2"/>
    <n v="1.7604386462822996"/>
    <m/>
    <n v="0.19106753812636143"/>
    <m/>
    <n v="0.33636267816766341"/>
    <s v=""/>
    <s v=""/>
    <n v="10.13209459278597"/>
    <m/>
    <s v=""/>
    <s v=""/>
    <n v="0.33568352970479254"/>
    <s v=""/>
    <n v="0.33243700146706612"/>
    <s v=""/>
    <n v="0.2535878835866559"/>
    <s v=""/>
    <n v="7.8849117880410213E-2"/>
    <s v=""/>
    <n v="3.2465282377264204E-3"/>
    <n v="289.50644381187391"/>
    <s v=""/>
    <n v="9.5322278378880798E-2"/>
    <s v=""/>
    <n v="10.490727005341448"/>
    <n v="7.3900179902361876E-2"/>
    <s v=""/>
    <n v="1.5724228955622829E-4"/>
    <n v="4.3678413765618974E-4"/>
    <n v="0.25"/>
    <n v="0.41"/>
    <n v="0.15999999999999998"/>
    <n v="4.7009138990147102E-2"/>
    <n v="-7.3438879171392086"/>
    <n v="0.24"/>
    <n v="0.41"/>
    <n v="0.16999999999999998"/>
    <n v="3.3428927949903042E-2"/>
    <n v="0.24628022235667441"/>
    <n v="0.30568352970479251"/>
    <n v="5.9403307348118106E-2"/>
    <s v=""/>
    <s v=""/>
    <s v=""/>
    <n v="72"/>
    <n v="5"/>
    <n v="152"/>
    <n v="4"/>
    <n v="122"/>
    <n v="20.244480457494443"/>
    <n v="19.965538000308484"/>
    <n v="17.906176047857375"/>
    <n v="18.219413238034001"/>
    <n v="11.059150037130657"/>
  </r>
  <r>
    <x v="5"/>
    <x v="0"/>
    <n v="8.4303476742636043"/>
    <n v="59.3870657348997"/>
    <n v="32.182586590836699"/>
    <n v="0.14713999999999999"/>
    <n v="1.764"/>
    <n v="0.15840666666666667"/>
    <n v="2.0004666666666666"/>
    <n v="-1.1266666666666675E-2"/>
    <n v="-0.2364666666666666"/>
    <n v="1.391103305783997"/>
    <n v="1.2260557477188372"/>
    <n v="1.323103727179866"/>
    <n v="0.12566234836492041"/>
    <n v="-7.3889472501791398E-2"/>
    <n v="5.1772875863128995E-2"/>
    <n v="1.3134209268942334"/>
    <n v="1.0527804754152783"/>
    <n v="0.11028980405960313"/>
    <n v="0.26212999694842859"/>
    <n v="0.14485693667494734"/>
    <n v="0.34428702355878765"/>
    <n v="0.19943008688384031"/>
    <n v="3.549105941296717"/>
    <n v="32.636966917623241"/>
    <n v="29.087860976326525"/>
    <n v="0.15184019288882544"/>
    <n v="0.50436946154934592"/>
    <n v="0.60272434889989501"/>
    <n v="0.36201912300462008"/>
    <n v="0.37026922617797076"/>
    <n v="0.19600773457879855"/>
    <n v="0.19257201057575329"/>
    <n v="0.16601138842582153"/>
    <n v="0.17769721560221746"/>
    <n v="0.14235033854472584"/>
    <n v="62.750700344351309"/>
    <n v="36.999648889476802"/>
    <n v="0.25993620586068195"/>
    <n v="0.28568701728874157"/>
    <n v="3.8470977780447031"/>
    <n v="9.8175403578014075E-2"/>
    <n v="0.10261787955188639"/>
    <n v="8.8679989076220031E-2"/>
    <n v="0.2463333029895001"/>
    <n v="0.24"/>
    <n v="0.43"/>
    <n v="0.19"/>
    <n v="0.10811329631717034"/>
    <n v="-5.5189833875528214"/>
    <n v="0.18"/>
    <n v="0.35"/>
    <n v="0.16999999999999998"/>
    <n v="0.20776583851124897"/>
    <n v="0.14006881223006989"/>
    <n v="0.31214121500152836"/>
    <n v="0.17207240277145847"/>
    <n v="7.8140640958670127E-2"/>
    <n v="0.26686796857963385"/>
    <n v="0.18872732762096373"/>
    <n v="53"/>
    <n v="4"/>
    <n v="122"/>
    <n v="3"/>
    <n v="91"/>
    <n v="15.901684578504812"/>
    <n v="14.7600023337094"/>
    <n v="12.820814235840906"/>
    <n v="12.551553017597906"/>
    <n v="8.3406152744580488"/>
  </r>
  <r>
    <x v="5"/>
    <x v="1"/>
    <n v="10.980682950722599"/>
    <n v="64.288119623523002"/>
    <n v="24.731197425754399"/>
    <n v="5.1700000000000003E-2"/>
    <n v="0.49513000000000001"/>
    <n v="4.8460000000000003E-2"/>
    <n v="0.49469999999999997"/>
    <n v="3.2399999999999998E-3"/>
    <n v="4.3000000000004146E-4"/>
    <n v="1.5187762516359649"/>
    <n v="1.5544365660950863"/>
    <n v="1.7374125668535734"/>
    <n v="-2.2238468977480278E-2"/>
    <n v="-0.1141074098254397"/>
    <n v="-0.13634587880291998"/>
    <n v="1.6035417948615416"/>
    <n v="1.3853479919177181"/>
    <n v="0.13093762907889309"/>
    <n v="0.25013609145345683"/>
    <n v="0.20996396074808299"/>
    <n v="0.40110367704892685"/>
    <n v="0.19113971630084386"/>
    <n v="1.7554610739163898"/>
    <n v="41.383612872080619"/>
    <n v="39.628151798164225"/>
    <n v="0.11919846237456375"/>
    <n v="0.39488988873149378"/>
    <n v="0.4772271728612385"/>
    <n v="0.31272852231324993"/>
    <n v="0.32643224465841714"/>
    <n v="0.16399971170291863"/>
    <n v="0.16405904932049498"/>
    <n v="0.1487288106103313"/>
    <n v="0.16237319533792216"/>
    <n v="8.2161366418243842E-2"/>
    <n v="105.78390809889517"/>
    <n v="62.120846590881229"/>
    <n v="0.26452963916444028"/>
    <n v="0.28910332727271254"/>
    <n v="3.7802947267408751"/>
    <n v="7.8748534757754493E-2"/>
    <n v="8.3455659712477814E-2"/>
    <n v="2.0616508273444224E-2"/>
    <n v="5.7268078537345071E-2"/>
    <n v="0.16"/>
    <n v="0.34"/>
    <n v="0.18000000000000002"/>
    <n v="0.17451775249753743"/>
    <n v="-4.6017152932295593"/>
    <n v="0.14000000000000001"/>
    <n v="0.32"/>
    <n v="0.18"/>
    <n v="9.4618700003998746E-2"/>
    <n v="0.2090015304591023"/>
    <n v="0.3625352097674498"/>
    <n v="0.15353367930834749"/>
    <n v="0.15715868287964985"/>
    <n v="0.32463494619610761"/>
    <n v="0.16747626331645776"/>
    <n v="53"/>
    <n v="4"/>
    <n v="122"/>
    <n v="3"/>
    <n v="91"/>
    <n v="15.901684578504812"/>
    <n v="14.7600023337094"/>
    <n v="12.820814235840906"/>
    <n v="12.551553017597906"/>
    <n v="8.3406152744580488"/>
  </r>
  <r>
    <x v="5"/>
    <x v="2"/>
    <n v="8.8649979311759406"/>
    <n v="53.928505613639999"/>
    <n v="37.206496455184102"/>
    <n v="5.9150000000000001E-2"/>
    <n v="0.39363999999999999"/>
    <n v="6.5989999999999993E-2"/>
    <n v="0.43597000000000002"/>
    <n v="-6.8399999999999919E-3"/>
    <n v="-4.2330000000000034E-2"/>
    <n v="1.6483998385748238"/>
    <n v="1.7381681946210572"/>
    <n v="1.7543575876108548"/>
    <n v="-5.2384548620728701E-2"/>
    <n v="-9.4473607579195588E-3"/>
    <n v="-6.1831909378648263E-2"/>
    <n v="1.7136418736022454"/>
    <n v="1.3722692871034534"/>
    <n v="0.15610832736816982"/>
    <n v="0.22627152583099716"/>
    <n v="0.26751376659610321"/>
    <n v="0.38774836146786884"/>
    <n v="0.12023459487176563"/>
    <n v="4.5802346775239204"/>
    <n v="34.31608480726193"/>
    <n v="29.735850129738012"/>
    <n v="7.0163198462827342E-2"/>
    <n v="0.35334268920669987"/>
    <n v="0.4821625331685081"/>
    <n v="0.3366778062487164"/>
    <n v="0.37779331433991759"/>
    <n v="0.22875379970769644"/>
    <n v="0.21984075794319938"/>
    <n v="0.10792400654101997"/>
    <n v="0.15795255639671821"/>
    <n v="1.6664882957983462E-2"/>
    <n v="212.79275366469037"/>
    <n v="78.382405174556581"/>
    <n v="0.14452665570163245"/>
    <n v="0.22383870734249856"/>
    <n v="6.919138861584444"/>
    <n v="8.2129377205259743E-2"/>
    <n v="0.10282108954547267"/>
    <n v="9.853205648266165E-4"/>
    <n v="2.7370015689628237E-3"/>
    <n v="0.22"/>
    <n v="0.39"/>
    <n v="0.17"/>
    <n v="7.3186934290854294E-2"/>
    <n v="-6.3150697518733896"/>
    <n v="0.21"/>
    <n v="0.38"/>
    <n v="0.17"/>
    <n v="5.1679669295124242E-2"/>
    <n v="0.23516130916789352"/>
    <n v="0.32334268920669984"/>
    <n v="8.8181380038806323E-2"/>
    <n v="0.15405118261578055"/>
    <n v="0.32236317516986984"/>
    <n v="0.1683119925540893"/>
    <n v="53"/>
    <n v="4"/>
    <n v="122"/>
    <n v="3"/>
    <n v="91"/>
    <n v="15.901684578504812"/>
    <n v="14.7600023337094"/>
    <n v="12.820814235840906"/>
    <n v="12.551553017597906"/>
    <n v="8.3406152744580488"/>
  </r>
  <r>
    <x v="5"/>
    <x v="3"/>
    <n v="8.0142390820683893"/>
    <n v="53.736230515520703"/>
    <n v="38.249530402410898"/>
    <n v="4.4920000000000002E-2"/>
    <n v="0.34339999999999998"/>
    <n v="4.3189999999999999E-2"/>
    <n v="0.34984999999999999"/>
    <n v="1.7300000000000024E-3"/>
    <n v="-6.4500000000000113E-3"/>
    <n v="1.7076330480437887"/>
    <n v="1.693551096672544"/>
    <n v="1.8277198015685101"/>
    <n v="8.079294350730978E-3"/>
    <n v="-7.6977148332181639E-2"/>
    <n v="-6.8897853981450666E-2"/>
    <n v="1.7429679820949477"/>
    <m/>
    <n v="0.21047038424967834"/>
    <m/>
    <n v="0.36684314092641013"/>
    <s v=""/>
    <s v=""/>
    <n v="7.6419491937677844"/>
    <m/>
    <s v=""/>
    <s v=""/>
    <n v="0.34227623317171785"/>
    <s v=""/>
    <n v="0.33231162600455261"/>
    <s v=""/>
    <n v="0.23360912408976442"/>
    <s v=""/>
    <n v="9.8702501914788188E-2"/>
    <s v=""/>
    <n v="9.9646071671652403E-3"/>
    <n v="244.88803852168945"/>
    <s v=""/>
    <n v="0.12931726777980901"/>
    <s v=""/>
    <n v="7.7329193321863183"/>
    <n v="7.8939101886094862E-2"/>
    <s v=""/>
    <n v="5.3184241097994477E-4"/>
    <n v="1.4773400304998467E-3"/>
    <n v="0.23"/>
    <n v="0.39"/>
    <n v="0.16"/>
    <n v="6.9788658791319888E-2"/>
    <n v="-6.473510144950029"/>
    <n v="0.21"/>
    <n v="0.39"/>
    <n v="0.18000000000000002"/>
    <n v="4.0242486982970282E-2"/>
    <n v="0.2421291925457596"/>
    <n v="0.31227623317171782"/>
    <n v="7.0147040625958224E-2"/>
    <s v=""/>
    <s v=""/>
    <s v=""/>
    <n v="53"/>
    <n v="4"/>
    <n v="122"/>
    <n v="3"/>
    <n v="91"/>
    <n v="15.901684578504812"/>
    <n v="14.7600023337094"/>
    <n v="12.820814235840906"/>
    <n v="12.551553017597906"/>
    <n v="8.3406152744580488"/>
  </r>
  <r>
    <x v="5"/>
    <x v="4"/>
    <n v="9.6410499628600093"/>
    <n v="51.542616816563303"/>
    <n v="38.816333220576702"/>
    <n v="5.7610000000000001E-2"/>
    <n v="0.29985000000000001"/>
    <n v="4.6339999999999999E-2"/>
    <n v="0.32223000000000002"/>
    <n v="1.1270000000000002E-2"/>
    <n v="-2.2380000000000011E-2"/>
    <n v="1.9510974520297701"/>
    <n v="1.7535770389928043"/>
    <n v="1.8218328794420413"/>
    <n v="0.1072216500203601"/>
    <n v="-3.7051886050501408E-2"/>
    <n v="7.0169763969858689E-2"/>
    <n v="1.8421691234882054"/>
    <m/>
    <n v="0.20042392840320317"/>
    <m/>
    <n v="0.3692147725125916"/>
    <s v=""/>
    <s v=""/>
    <n v="10.048627063981639"/>
    <m/>
    <s v=""/>
    <s v=""/>
    <n v="0.30484184019312999"/>
    <s v=""/>
    <n v="0.30562566165773719"/>
    <s v=""/>
    <n v="0.22873925986654967"/>
    <s v=""/>
    <n v="7.6886401791187525E-2"/>
    <s v=""/>
    <n v="-7.8382146460720392E-4"/>
    <n v="340.79527819260056"/>
    <s v=""/>
    <n v="0.10364271770788942"/>
    <s v=""/>
    <n v="9.648531243829769"/>
    <n v="7.0288090348445714E-2"/>
    <s v=""/>
    <n v="1.2607513411828344E-4"/>
    <n v="3.5020870588412065E-4"/>
    <n v="0.23"/>
    <n v="0.39"/>
    <n v="0.16"/>
    <n v="6.2903166846537087E-2"/>
    <n v="-6.6105928979100428"/>
    <n v="0.22"/>
    <n v="0.39"/>
    <n v="0.17"/>
    <n v="1.5540418395998401E-3"/>
    <n v="0.2656993837407976"/>
    <n v="0.27484184019312996"/>
    <n v="9.1424564523323593E-3"/>
    <s v=""/>
    <s v=""/>
    <s v=""/>
    <n v="53"/>
    <n v="4"/>
    <n v="122"/>
    <n v="3"/>
    <n v="91"/>
    <n v="15.901684578504812"/>
    <n v="14.7600023337094"/>
    <n v="12.820814235840906"/>
    <n v="12.551553017597906"/>
    <n v="8.3406152744580488"/>
  </r>
  <r>
    <x v="6"/>
    <x v="0"/>
    <n v="9.949091122504317"/>
    <n v="59.552765548535234"/>
    <n v="30.498143328960463"/>
    <n v="0.11132"/>
    <n v="1.3283"/>
    <n v="0.12949666666666668"/>
    <n v="1.60538"/>
    <n v="-1.8176666666666674E-2"/>
    <n v="-0.27707999999999999"/>
    <n v="1.5342368393162897"/>
    <n v="1.5561744406548645"/>
    <n v="1.5410739537682723"/>
    <n v="-1.4209870202390272E-2"/>
    <n v="9.7811950969345415E-3"/>
    <n v="-4.4286751054557318E-3"/>
    <n v="1.5438284112464755"/>
    <n v="1.0390202042937915"/>
    <n v="0.11887838278448007"/>
    <n v="0.2264091196960101"/>
    <n v="0.18352782482571423"/>
    <n v="0.34953683155200438"/>
    <n v="0.16600900672629015"/>
    <n v="4.9321575972961513"/>
    <n v="36.147793039270034"/>
    <n v="31.215635441973884"/>
    <n v="0.10753073691153003"/>
    <n v="0.41742324103906581"/>
    <n v="0.6079169040400787"/>
    <n v="0.34076631886537528"/>
    <n v="0.3627612515813598"/>
    <n v="0.19274857984426452"/>
    <n v="0.1861993197925586"/>
    <n v="0.14801773902111076"/>
    <n v="0.1765619317888012"/>
    <n v="7.6656922173690523E-2"/>
    <n v="104.99362618606246"/>
    <n v="34.385139053422414"/>
    <n v="0.23189334869504899"/>
    <n v="0.29104330064292927"/>
    <n v="4.3123272212306896"/>
    <n v="8.8741804622870069E-2"/>
    <n v="9.9516524784993121E-2"/>
    <n v="1.6965870865227894E-2"/>
    <n v="4.7127419070077482E-2"/>
    <n v="0.22"/>
    <n v="0.41"/>
    <n v="0.18999999999999997"/>
    <n v="0.11658801629029267"/>
    <n v="-5.3100799924922173"/>
    <n v="0.17"/>
    <n v="0.35"/>
    <n v="0.17999999999999997"/>
    <n v="0.11790691961387445"/>
    <n v="0.19481363051216261"/>
    <n v="0.35216299503351278"/>
    <n v="0.15734936452135018"/>
    <n v="7.487120054020488E-2"/>
    <n v="0.26447780948583161"/>
    <n v="0.18960660894562673"/>
    <n v="33"/>
    <n v="3"/>
    <n v="91"/>
    <n v="2"/>
    <n v="61"/>
    <n v="10.694791914526117"/>
    <n v="13.589660430785489"/>
    <n v="7.0792964204631774"/>
    <n v="9.0509016811522791"/>
    <n v="3.8297833094308991"/>
  </r>
  <r>
    <x v="6"/>
    <x v="1"/>
    <n v="7.7829360981037796"/>
    <n v="42.514363638186801"/>
    <n v="49.702700263709403"/>
    <n v="5.6739999999999999E-2"/>
    <n v="0.47898000000000002"/>
    <n v="5.5059999999999998E-2"/>
    <n v="0.45090000000000002"/>
    <n v="1.6800000000000009E-3"/>
    <n v="2.8079999999999994E-2"/>
    <n v="1.6118531479389069"/>
    <n v="1.582526659213058"/>
    <n v="1.6966746547839866"/>
    <n v="1.7987832043629103E-2"/>
    <n v="-7.0014347494556706E-2"/>
    <n v="-5.2026515450927603E-2"/>
    <n v="1.6303514873119838"/>
    <n v="1.2564030148756731"/>
    <n v="0.18211021877596231"/>
    <n v="0.21230851921526464"/>
    <n v="0.29690366603610091"/>
    <n v="0.34613751007161159"/>
    <n v="4.9233844035510677E-2"/>
    <n v="6.2529765185375572"/>
    <n v="31.520127787430017"/>
    <n v="25.267151268892459"/>
    <n v="3.0198300439302328E-2"/>
    <n v="0.3847730236558552"/>
    <n v="0.52588565476389693"/>
    <n v="0.37578346640310523"/>
    <n v="0.42746105064225715"/>
    <n v="0.29169312606476755"/>
    <n v="0.26834975749900747"/>
    <n v="8.4090340338337677E-2"/>
    <n v="0.15911129314324968"/>
    <n v="8.989557252749969E-3"/>
    <n v="234.46487244668259"/>
    <n v="76.281929732475078"/>
    <n v="8.739895338628062E-2"/>
    <n v="0.18767779058303599"/>
    <n v="11.44178461245709"/>
    <n v="7.9318104137768422E-2"/>
    <n v="0.11636225347248375"/>
    <n v="2.5619298552119739E-4"/>
    <n v="7.1164718200332608E-4"/>
    <n v="0.28999999999999998"/>
    <n v="0.44"/>
    <n v="0.15000000000000002"/>
    <n v="3.0102671206461654E-2"/>
    <n v="-8.7290883284690093"/>
    <n v="0.28999999999999998"/>
    <n v="0.45"/>
    <n v="0.16000000000000003"/>
    <n v="8.4162919948326254E-2"/>
    <n v="0.21537151338532734"/>
    <n v="0.35477302365585517"/>
    <n v="0.13940151027052783"/>
    <n v="0.12652135633445993"/>
    <n v="0.30223720368390439"/>
    <n v="0.17571584734944445"/>
    <n v="33"/>
    <n v="3"/>
    <n v="91"/>
    <n v="2"/>
    <n v="61"/>
    <n v="10.694791914526117"/>
    <n v="13.589660430785489"/>
    <n v="7.0792964204631774"/>
    <n v="9.0509016811522791"/>
    <n v="3.8297833094308991"/>
  </r>
  <r>
    <x v="6"/>
    <x v="2"/>
    <n v="10.338272617300801"/>
    <n v="50.3529108794148"/>
    <n v="39.308816503284397"/>
    <n v="3.8870000000000002E-2"/>
    <n v="0.28448000000000001"/>
    <n v="3.4040000000000001E-2"/>
    <n v="0.32606000000000002"/>
    <n v="4.830000000000001E-3"/>
    <n v="-4.1580000000000006E-2"/>
    <n v="1.6946274412890716"/>
    <n v="1.4219556643187989"/>
    <n v="1.5275090331499233"/>
    <n v="0.17614106405942703"/>
    <n v="-6.8185577941197673E-2"/>
    <n v="0.10795548611822936"/>
    <n v="1.6110682372194973"/>
    <n v="1.3030258344318753"/>
    <n v="0.21886989884897129"/>
    <m/>
    <n v="0.35261434211902187"/>
    <s v=""/>
    <s v=""/>
    <n v="40.4544595074752"/>
    <m/>
    <s v=""/>
    <s v=""/>
    <n v="0.39204972180396325"/>
    <n v="0.50829213795023576"/>
    <n v="0.35939295886036798"/>
    <n v="0.38592269729187129"/>
    <n v="0.23892548059807628"/>
    <n v="0.22505573311810137"/>
    <n v="0.12046747826229171"/>
    <n v="0.16086696417376992"/>
    <n v="3.2656762943595263E-2"/>
    <n v="158.01236649436706"/>
    <n v="66.046865960499531"/>
    <n v="0.1555471068750427"/>
    <n v="0.22706345076723583"/>
    <n v="6.4289206021899243"/>
    <n v="9.0317041073325832E-2"/>
    <n v="0.10839203172643301"/>
    <n v="2.5579329547761763E-3"/>
    <n v="7.1053693188227116E-3"/>
    <n v="0.23"/>
    <n v="0.39"/>
    <n v="0.16"/>
    <n v="5.8801129966510712E-2"/>
    <n v="-6.7166804270491038"/>
    <n v="0.22"/>
    <n v="0.39"/>
    <n v="0.17"/>
    <n v="9.1683387484395973E-2"/>
    <n v="0.2107898131633526"/>
    <n v="0.36204972180396322"/>
    <n v="0.15125990864061062"/>
    <n v="0.1375989382610136"/>
    <n v="0.31033558744081674"/>
    <n v="0.17273664917980314"/>
    <n v="33"/>
    <n v="3"/>
    <n v="91"/>
    <n v="2"/>
    <n v="61"/>
    <n v="10.694791914526117"/>
    <n v="13.589660430785489"/>
    <n v="7.0792964204631774"/>
    <n v="9.0509016811522791"/>
    <n v="3.8297833094308991"/>
  </r>
  <r>
    <x v="6"/>
    <x v="3"/>
    <n v="26.401428067278097"/>
    <n v="42.519949428327102"/>
    <n v="31.078622504394897"/>
    <m/>
    <m/>
    <n v="4.2139999999999997E-2"/>
    <n v="0.36621999999999999"/>
    <s v=""/>
    <s v=""/>
    <m/>
    <m/>
    <m/>
    <s v=""/>
    <s v=""/>
    <s v=""/>
    <m/>
    <m/>
    <m/>
    <m/>
    <s v=""/>
    <s v=""/>
    <s v=""/>
    <m/>
    <m/>
    <s v=""/>
    <s v=""/>
    <s v=""/>
    <s v=""/>
    <s v=""/>
    <s v=""/>
    <s v=""/>
    <s v=""/>
    <m/>
    <s v=""/>
    <s v=""/>
    <s v=""/>
    <s v=""/>
    <s v=""/>
    <s v=""/>
    <m/>
    <s v=""/>
    <s v=""/>
    <m/>
    <m/>
    <m/>
    <m/>
    <m/>
    <m/>
    <m/>
    <m/>
    <m/>
    <m/>
    <s v=""/>
    <s v=""/>
    <s v=""/>
    <m/>
    <s v=""/>
    <s v=""/>
    <s v=""/>
    <n v="33"/>
    <n v="3"/>
    <n v="91"/>
    <n v="2"/>
    <n v="61"/>
    <n v="10.694791914526117"/>
    <n v="13.589660430785489"/>
    <n v="7.0792964204631774"/>
    <n v="9.0509016811522791"/>
    <n v="3.8297833094308991"/>
  </r>
  <r>
    <x v="6"/>
    <x v="4"/>
    <m/>
    <m/>
    <m/>
    <m/>
    <m/>
    <m/>
    <m/>
    <s v=""/>
    <s v=""/>
    <m/>
    <m/>
    <m/>
    <s v=""/>
    <s v=""/>
    <s v=""/>
    <m/>
    <m/>
    <m/>
    <m/>
    <s v=""/>
    <s v=""/>
    <s v=""/>
    <m/>
    <m/>
    <s v=""/>
    <s v=""/>
    <s v=""/>
    <s v=""/>
    <s v=""/>
    <s v=""/>
    <s v=""/>
    <s v=""/>
    <m/>
    <s v=""/>
    <s v=""/>
    <s v=""/>
    <s v=""/>
    <s v=""/>
    <s v=""/>
    <m/>
    <s v=""/>
    <s v=""/>
    <m/>
    <m/>
    <m/>
    <m/>
    <m/>
    <m/>
    <m/>
    <m/>
    <m/>
    <m/>
    <s v=""/>
    <s v=""/>
    <s v=""/>
    <m/>
    <s v=""/>
    <s v=""/>
    <s v=""/>
    <n v="33"/>
    <n v="3"/>
    <n v="91"/>
    <n v="2"/>
    <n v="61"/>
    <n v="10.694791914526117"/>
    <n v="13.589660430785489"/>
    <n v="7.0792964204631774"/>
    <n v="9.0509016811522791"/>
    <n v="3.8297833094308991"/>
  </r>
  <r>
    <x v="7"/>
    <x v="0"/>
    <n v="11.822743575097975"/>
    <n v="58.166904204205707"/>
    <n v="30.010352220696333"/>
    <m/>
    <m/>
    <n v="0.15351333333333331"/>
    <n v="2.1579999999999999"/>
    <s v=""/>
    <s v=""/>
    <n v="1.4496417313171264"/>
    <n v="1.3740980895785844"/>
    <n v="1.4437034398876345"/>
    <n v="5.3106956874694314E-2"/>
    <n v="-4.8932355550245665E-2"/>
    <n v="4.1746013244486485E-3"/>
    <n v="1.4224810869277817"/>
    <n v="1.2338560646043213"/>
    <n v="0.11996215704824982"/>
    <n v="0.27560646900269542"/>
    <n v="0.17064389954819567"/>
    <n v="0.39204498959128214"/>
    <n v="0.22140109004308647"/>
    <n v="6.3384238150273351"/>
    <n v="71.374672500968842"/>
    <n v="65.036248685941501"/>
    <n v="0.15564431195444561"/>
    <n v="0.46321468417819556"/>
    <n v="0.53439393788516176"/>
    <n v="0.34382169773203686"/>
    <n v="0.35048610174587713"/>
    <n v="0.18715394618928016"/>
    <n v="0.18414369058634061"/>
    <n v="0.15666775154275669"/>
    <n v="0.16634241115953652"/>
    <n v="0.1193929864461587"/>
    <n v="72.3700033235733"/>
    <n v="46.968033161068639"/>
    <n v="0.25649132318712603"/>
    <n v="0.27985097137550619"/>
    <n v="3.8987673640345295"/>
    <n v="9.2870630498854162E-2"/>
    <n v="9.7047811446315274E-2"/>
    <n v="5.3640049027163843E-2"/>
    <n v="0.14900013618656624"/>
    <n v="0.23"/>
    <n v="0.43"/>
    <n v="0.19999999999999998"/>
    <n v="0.11253095016714609"/>
    <n v="-5.2855247654180886"/>
    <n v="0.17"/>
    <n v="0.34"/>
    <n v="0.17"/>
    <n v="0.1652323760981651"/>
    <n v="0.16598150625404096"/>
    <n v="0.33108496479935567"/>
    <n v="0.16510345854531472"/>
    <n v="0.12116420094998676"/>
    <n v="0.29832079842177062"/>
    <n v="0.17715659747178386"/>
    <n v="55"/>
    <n v="4"/>
    <n v="122"/>
    <n v="4"/>
    <n v="122"/>
    <n v="16.825722021388341"/>
    <n v="19.606170005951753"/>
    <n v="16.825722021388341"/>
    <n v="19.606170005951753"/>
    <n v="8.7697905732174242"/>
  </r>
  <r>
    <x v="7"/>
    <x v="1"/>
    <n v="12.3577396339938"/>
    <n v="60.06058960242899"/>
    <n v="27.581670763577197"/>
    <n v="7.4459999999999998E-2"/>
    <n v="0.72030000000000005"/>
    <n v="7.1559999999999999E-2"/>
    <n v="0.81945000000000001"/>
    <n v="2.8999999999999998E-3"/>
    <n v="-9.914999999999996E-2"/>
    <n v="1.3376923238534626"/>
    <n v="1.5052974362253557"/>
    <n v="1.3178495036356341"/>
    <n v="-0.12084469147861471"/>
    <n v="0.1351515312483258"/>
    <n v="1.43068397697111E-2"/>
    <n v="1.3277709137445484"/>
    <n v="1.4613150041064884"/>
    <n v="0.18539724601334379"/>
    <n v="0.26459542505974737"/>
    <n v="0.2461650707448603"/>
    <n v="0.35132210930420793"/>
    <n v="0.10515703855934763"/>
    <n v="9.2397072499137209"/>
    <n v="66.514435208478716"/>
    <n v="57.274727958564995"/>
    <n v="7.9198179046403583E-2"/>
    <n v="0.49895437217186855"/>
    <n v="0.44856037580887231"/>
    <n v="0.33727060638623169"/>
    <n v="0.33146287857550805"/>
    <n v="0.17503688253926386"/>
    <n v="0.17634778176921101"/>
    <n v="0.16223372384696783"/>
    <n v="0.15511509680629704"/>
    <n v="0.16168376578563687"/>
    <n v="54.944231768830136"/>
    <n v="75.229815399574008"/>
    <n v="0.28140107366209943"/>
    <n v="0.26559994146996724"/>
    <n v="3.5536467113866781"/>
    <n v="9.0853369221675445E-2"/>
    <n v="8.800489653704055E-2"/>
    <n v="0.13122842512753094"/>
    <n v="0.36452340313203035"/>
    <n v="0.18"/>
    <n v="0.36"/>
    <n v="0.18"/>
    <n v="0.13293007388064451"/>
    <n v="-4.9756113645873743"/>
    <n v="0.15"/>
    <n v="0.33"/>
    <n v="0.18000000000000002"/>
    <n v="0.20216934363962613"/>
    <n v="0.14347836910570472"/>
    <n v="0.31463380771742805"/>
    <n v="0.17115543861172333"/>
    <n v="0.17520844497570165"/>
    <n v="0.33783041621329707"/>
    <n v="0.16262197123759542"/>
    <n v="55"/>
    <n v="4"/>
    <n v="122"/>
    <n v="4"/>
    <n v="122"/>
    <n v="16.825722021388341"/>
    <n v="19.606170005951753"/>
    <n v="16.825722021388341"/>
    <n v="19.606170005951753"/>
    <n v="8.7697905732174242"/>
  </r>
  <r>
    <x v="7"/>
    <x v="2"/>
    <n v="6.69548404077619"/>
    <n v="48.658844807979797"/>
    <n v="44.645671151244002"/>
    <n v="4.8140000000000002E-2"/>
    <n v="0.32558999999999999"/>
    <n v="4.4600000000000001E-2"/>
    <n v="0.39623000000000003"/>
    <n v="3.5400000000000015E-3"/>
    <n v="-7.0640000000000036E-2"/>
    <n v="1.5252154708644645"/>
    <n v="1.5627670617172675"/>
    <n v="1.6075886396329238"/>
    <n v="-2.3991708021598505E-2"/>
    <n v="-2.8636502102799274E-2"/>
    <n v="-5.2628210124397778E-2"/>
    <n v="1.5651903907382188"/>
    <n v="1.3035231936290375"/>
    <n v="0.22022325139532106"/>
    <n v="0.275224896669098"/>
    <n v="0.34469131690108357"/>
    <n v="0.43077936355839136"/>
    <n v="8.6088046657307793E-2"/>
    <n v="8.2105626115443613"/>
    <n v="58.258126389872004"/>
    <n v="50.047563778327643"/>
    <n v="5.5001645273776933E-2"/>
    <n v="0.40936211670255895"/>
    <n v="0.50810445523432546"/>
    <n v="0.38247464721486985"/>
    <n v="0.40975762059659249"/>
    <n v="0.26735634255168306"/>
    <n v="0.25027628143613534"/>
    <n v="0.11511830466318679"/>
    <n v="0.15948133916045715"/>
    <n v="2.6887469487689108E-2"/>
    <n v="168.82239604037645"/>
    <n v="79.557724320155288"/>
    <n v="0.13165971873260035"/>
    <n v="0.20013631100388793"/>
    <n v="7.5953375081333006"/>
    <n v="9.1027203671570966E-2"/>
    <n v="0.1111798062782714"/>
    <n v="1.6586890481365517E-3"/>
    <n v="4.6074695781570885E-3"/>
    <n v="0.26"/>
    <n v="0.42"/>
    <n v="0.15999999999999998"/>
    <n v="4.5473117559321083E-2"/>
    <n v="-7.6347141029453072"/>
    <n v="0.26"/>
    <n v="0.42"/>
    <n v="0.15999999999999998"/>
    <n v="0.10957574761209465"/>
    <n v="0.1998892368394008"/>
    <n v="0.35587357087122862"/>
    <n v="0.15598433403182782"/>
    <n v="0.13771711080625931"/>
    <n v="0.3104219787333638"/>
    <n v="0.17270486792710449"/>
    <n v="55"/>
    <n v="4"/>
    <n v="122"/>
    <n v="4"/>
    <n v="122"/>
    <n v="16.825722021388341"/>
    <n v="19.606170005951753"/>
    <n v="16.825722021388341"/>
    <n v="19.606170005951753"/>
    <n v="8.7697905732174242"/>
  </r>
  <r>
    <x v="7"/>
    <x v="3"/>
    <n v="8.0721881693911399"/>
    <n v="51.498918626188903"/>
    <n v="40.42889320442"/>
    <n v="3.4750000000000003E-2"/>
    <n v="0.25477"/>
    <n v="4.3020000000000003E-2"/>
    <n v="0.26384999999999997"/>
    <n v="-8.2699999999999996E-3"/>
    <n v="-9.079999999999977E-3"/>
    <n v="1.5118108187617358"/>
    <n v="1.5995108174461001"/>
    <n v="1.7251900973542331"/>
    <n v="-5.4398709348177449E-2"/>
    <n v="-7.7956564667881464E-2"/>
    <n v="-0.13235527401605893"/>
    <n v="1.6121705778540232"/>
    <m/>
    <n v="0.23565057533873482"/>
    <m/>
    <n v="0.37990892421548111"/>
    <s v=""/>
    <s v=""/>
    <n v="8.6590027828890364"/>
    <m/>
    <s v=""/>
    <s v=""/>
    <n v="0.39163374420602892"/>
    <s v=""/>
    <n v="0.36375807109621094"/>
    <s v=""/>
    <n v="0.24611483405442258"/>
    <s v=""/>
    <n v="0.11764323704178836"/>
    <s v=""/>
    <n v="2.7875673109817978E-2"/>
    <n v="170.58970634273086"/>
    <s v=""/>
    <n v="0.14647836498423392"/>
    <s v=""/>
    <n v="6.8269467651938509"/>
    <n v="8.9055705180245012E-2"/>
    <s v=""/>
    <n v="1.9044375802991001E-3"/>
    <n v="5.290104389719723E-3"/>
    <n v="0.24"/>
    <n v="0.4"/>
    <n v="0.16000000000000003"/>
    <n v="5.9238950489283231E-2"/>
    <n v="-6.8603607515773692"/>
    <n v="0.23"/>
    <n v="0.4"/>
    <n v="0.17"/>
    <n v="9.1253474636930898E-2"/>
    <n v="0.21105172929811594"/>
    <n v="0.3616337442060289"/>
    <n v="0.15058201490791295"/>
    <s v=""/>
    <s v=""/>
    <s v=""/>
    <n v="55"/>
    <n v="4"/>
    <n v="122"/>
    <n v="4"/>
    <n v="122"/>
    <n v="16.825722021388341"/>
    <n v="19.606170005951753"/>
    <n v="16.825722021388341"/>
    <n v="19.606170005951753"/>
    <n v="8.7697905732174242"/>
  </r>
  <r>
    <x v="7"/>
    <x v="4"/>
    <n v="7.67819308009694"/>
    <n v="46.261096411638299"/>
    <n v="46.060710508264698"/>
    <n v="4.2169999999999999E-2"/>
    <n v="0.22012999999999999"/>
    <n v="2.5860000000000001E-2"/>
    <n v="0.23608999999999999"/>
    <n v="1.6309999999999998E-2"/>
    <n v="-1.5960000000000002E-2"/>
    <n v="1.6512357723681701"/>
    <n v="1.640874928907605"/>
    <n v="1.6877846832027767"/>
    <n v="6.2416030823808071E-3"/>
    <n v="-2.8259481780308741E-2"/>
    <n v="-2.2017878697927935E-2"/>
    <n v="1.6599651281595174"/>
    <m/>
    <n v="0.22769815735595189"/>
    <m/>
    <n v="0.37797100095705866"/>
    <s v=""/>
    <s v=""/>
    <n v="7.8997238446195208"/>
    <m/>
    <s v=""/>
    <s v=""/>
    <n v="0.37359806484546509"/>
    <s v=""/>
    <n v="0.36365130705563187"/>
    <s v=""/>
    <n v="0.27421305045891775"/>
    <s v=""/>
    <n v="8.9438256596714116E-2"/>
    <s v=""/>
    <n v="9.9467577898332271E-3"/>
    <n v="233.20865253563085"/>
    <s v=""/>
    <n v="9.9428350923627215E-2"/>
    <s v=""/>
    <n v="10.057493569093978"/>
    <n v="8.0430063286990733E-2"/>
    <s v=""/>
    <n v="3.3739894358368518E-4"/>
    <n v="9.3721928773245883E-4"/>
    <n v="0.26"/>
    <n v="0.42"/>
    <n v="0.15999999999999998"/>
    <n v="3.9585224068265326E-2"/>
    <n v="-7.9445354734097444"/>
    <n v="0.27"/>
    <n v="0.43"/>
    <n v="0.15999999999999998"/>
    <n v="7.261360001778816E-2"/>
    <n v="0.22240771445070134"/>
    <n v="0.34359806484546507"/>
    <n v="0.12119035039476372"/>
    <s v=""/>
    <s v=""/>
    <s v=""/>
    <n v="55"/>
    <n v="4"/>
    <n v="122"/>
    <n v="4"/>
    <n v="122"/>
    <n v="16.825722021388341"/>
    <n v="19.606170005951753"/>
    <n v="16.825722021388341"/>
    <n v="19.606170005951753"/>
    <n v="8.7697905732174242"/>
  </r>
  <r>
    <x v="8"/>
    <x v="0"/>
    <n v="9.7227805125582574"/>
    <n v="55.208650350843556"/>
    <n v="35.068569136598207"/>
    <n v="0.12776999999999999"/>
    <n v="1.7784"/>
    <n v="0.10792666666666666"/>
    <n v="1.3632666666666668"/>
    <n v="1.9843333333333338E-2"/>
    <n v="0.41513333333333313"/>
    <n v="1.4377069299147158"/>
    <n v="1.31653704635937"/>
    <n v="1.4316522013983715"/>
    <n v="8.6841535297744757E-2"/>
    <n v="-8.2502157353800343E-2"/>
    <n v="4.3393779439444159E-3"/>
    <n v="1.3952987258908192"/>
    <n v="1.1240502062975173"/>
    <n v="0.12747148288973409"/>
    <n v="0.22798434442270069"/>
    <n v="0.17786079766345933"/>
    <n v="0.31810626529604796"/>
    <n v="0.14024546763258863"/>
    <n v="3.632855944578147"/>
    <n v="31.269087718533196"/>
    <n v="27.63623177395505"/>
    <n v="0.1005128615329666"/>
    <n v="0.47347217890912485"/>
    <n v="0.57583011083112556"/>
    <n v="0.36763033240028375"/>
    <n v="0.37542294035436163"/>
    <n v="0.2105877900434176"/>
    <n v="0.20290927161340161"/>
    <n v="0.15704254235686615"/>
    <n v="0.17251366874096002"/>
    <n v="0.1058418465088411"/>
    <n v="78.219613730733926"/>
    <n v="41.874430219489071"/>
    <n v="0.23139722719950503"/>
    <n v="0.27052136063963816"/>
    <n v="4.3215729596354429"/>
    <n v="9.9883024137034468E-2"/>
    <n v="0.1074968443856474"/>
    <n v="3.9154014846440335E-2"/>
    <n v="0.10876115235122315"/>
    <n v="0.24"/>
    <n v="0.43"/>
    <n v="0.19"/>
    <n v="8.3207552459701142E-2"/>
    <n v="-5.9856647976773756"/>
    <n v="0.19"/>
    <n v="0.37"/>
    <n v="0.18"/>
    <n v="0.17583349690258043"/>
    <n v="0.15952297727165865"/>
    <n v="0.3263633886872353"/>
    <n v="0.16684041141557665"/>
    <n v="9.5074329016290149E-2"/>
    <n v="0.27924752083387877"/>
    <n v="0.18417319181758862"/>
    <n v="85"/>
    <n v="4"/>
    <n v="122"/>
    <n v="4"/>
    <n v="122"/>
    <n v="15.304093376225429"/>
    <n v="18.994588163194585"/>
    <n v="15.304093376225429"/>
    <n v="18.994588163194585"/>
    <n v="11.649119984143297"/>
  </r>
  <r>
    <x v="8"/>
    <x v="1"/>
    <n v="7.0589209728017703"/>
    <n v="56.1497233927266"/>
    <n v="36.7913556344716"/>
    <n v="8.5339999999999999E-2"/>
    <n v="0.91766999999999999"/>
    <n v="8.4870000000000001E-2"/>
    <n v="0.79405000000000003"/>
    <n v="4.699999999999982E-4"/>
    <n v="0.12361999999999995"/>
    <n v="1.2718606844961164"/>
    <n v="1.5278773635684866"/>
    <n v="1.7104160223724127"/>
    <n v="-0.17029352550315191"/>
    <n v="-0.1214184632851615"/>
    <n v="-0.29171198878831339"/>
    <n v="1.6191466929704497"/>
    <n v="1.3688798762783483"/>
    <n v="0.12654914941113077"/>
    <n v="0.25473126419379277"/>
    <n v="0.2049016367672557"/>
    <n v="0.41244728401556147"/>
    <n v="0.20754564724830576"/>
    <n v="3.2276944395056644"/>
    <n v="33.943072302189591"/>
    <n v="30.715377862683926"/>
    <n v="0.128182114782662"/>
    <n v="0.38900124793567936"/>
    <n v="0.48344155612137796"/>
    <n v="0.35470770140007468"/>
    <n v="0.37893334272381951"/>
    <n v="0.22799707710433914"/>
    <n v="0.21878078121208117"/>
    <n v="0.12671062429573554"/>
    <n v="0.16015256151173834"/>
    <n v="3.429354653560468E-2"/>
    <n v="161.243946679049"/>
    <n v="80.119835052894487"/>
    <n v="0.16895617951888162"/>
    <n v="0.22612571042480711"/>
    <n v="5.9186944380939055"/>
    <n v="8.8095852839744485E-2"/>
    <n v="0.10191485508957809"/>
    <n v="3.031330070016415E-3"/>
    <n v="8.4203613056011532E-3"/>
    <n v="0.23"/>
    <n v="0.41"/>
    <n v="0.17999999999999997"/>
    <n v="8.0115744807157885E-2"/>
    <n v="-6.2088710840154748"/>
    <n v="0.21"/>
    <n v="0.38"/>
    <n v="0.17"/>
    <n v="8.8532789741524565E-2"/>
    <n v="0.21270925424977888"/>
    <n v="0.35900124793567934"/>
    <n v="0.14629199368590046"/>
    <n v="0.15324585860373557"/>
    <n v="0.32177443450954907"/>
    <n v="0.16852857590581349"/>
    <n v="85"/>
    <n v="4"/>
    <n v="122"/>
    <n v="4"/>
    <n v="122"/>
    <n v="15.304093376225429"/>
    <n v="18.994588163194585"/>
    <n v="15.304093376225429"/>
    <n v="18.994588163194585"/>
    <n v="11.649119984143297"/>
  </r>
  <r>
    <x v="8"/>
    <x v="2"/>
    <n v="5.6099195486992102"/>
    <n v="56.612643490379902"/>
    <n v="37.777436960920802"/>
    <n v="6.5740000000000007E-2"/>
    <n v="0.49596000000000001"/>
    <n v="0.15007000000000001"/>
    <n v="1.9557"/>
    <n v="-8.4330000000000002E-2"/>
    <n v="-1.45974"/>
    <n v="1.5664989519884485"/>
    <n v="1.5654672898623361"/>
    <n v="1.6738995605955826"/>
    <n v="6.4400183142061449E-4"/>
    <n v="-6.7687452286776584E-2"/>
    <n v="-6.7043450455355966E-2"/>
    <n v="1.6019552674821222"/>
    <e v="#VALUE!"/>
    <n v="0.19741309620048494"/>
    <n v="0.21541501976284572"/>
    <n v="0.31624694932832181"/>
    <n v="0.34508522560385618"/>
    <n v="2.8838276275534369E-2"/>
    <n v="2.029007042258637"/>
    <n v="45.607619159344509"/>
    <n v="43.578612117085875"/>
    <n v="1.8001923562360772E-2"/>
    <n v="0.39548857830863304"/>
    <e v="#VALUE!"/>
    <n v="0.3611255204370174"/>
    <s v=""/>
    <n v="0.23373327588456153"/>
    <s v=""/>
    <n v="0.12739224455245587"/>
    <s v=""/>
    <n v="3.4363057871615643E-2"/>
    <n v="160.77238167680471"/>
    <e v="#VALUE!"/>
    <n v="0.16525555697053324"/>
    <e v="#VALUE!"/>
    <n v="6.051233727518829"/>
    <n v="8.8802589135209525E-2"/>
    <e v="#VALUE!"/>
    <n v="2.9955795091237015E-3"/>
    <n v="8.3210541920102823E-3"/>
    <n v="0.25"/>
    <n v="0.43"/>
    <n v="0.18"/>
    <n v="7.7442549343488917E-2"/>
    <n v="-6.3496604470985778"/>
    <n v="0.21"/>
    <n v="0.39"/>
    <n v="0.18000000000000002"/>
    <n v="9.5237445681972233E-2"/>
    <n v="0.20862457155375225"/>
    <n v="0.36225962996164462"/>
    <n v="0.15363505840789238"/>
    <e v="#VALUE!"/>
    <e v="#VALUE!"/>
    <e v="#VALUE!"/>
    <n v="85"/>
    <n v="4"/>
    <n v="122"/>
    <n v="4"/>
    <n v="122"/>
    <n v="15.304093376225429"/>
    <n v="18.994588163194585"/>
    <n v="15.304093376225429"/>
    <n v="18.994588163194585"/>
    <n v="11.649119984143297"/>
  </r>
  <r>
    <x v="8"/>
    <x v="3"/>
    <n v="5.3221694189129796"/>
    <n v="42.100441549429704"/>
    <n v="52.577389031657297"/>
    <n v="4.2790000000000002E-2"/>
    <n v="0.28944999999999999"/>
    <n v="3.1550000000000002E-2"/>
    <n v="0.37141999999999997"/>
    <n v="1.124E-2"/>
    <n v="-8.1969999999999987E-2"/>
    <n v="1.5390036883354654"/>
    <n v="1.5400519071632881"/>
    <n v="1.6155022030715254"/>
    <n v="-6.6985147875392383E-4"/>
    <n v="-4.8215592913489452E-2"/>
    <n v="-4.8885444392243377E-2"/>
    <n v="1.5648525995234264"/>
    <m/>
    <n v="0.21535075653370003"/>
    <m/>
    <n v="0.33699219117109697"/>
    <s v=""/>
    <s v=""/>
    <n v="3.4316116045040688"/>
    <m/>
    <s v=""/>
    <s v=""/>
    <n v="0.40948958508549949"/>
    <s v=""/>
    <n v="0.39702395927997824"/>
    <s v=""/>
    <n v="0.30639581716616926"/>
    <s v=""/>
    <n v="9.0628142113808985E-2"/>
    <s v=""/>
    <n v="1.2465625805521241E-2"/>
    <n v="213.29657254820924"/>
    <s v=""/>
    <n v="8.9124385978268952E-2"/>
    <s v=""/>
    <n v="11.220273654887544"/>
    <n v="8.2719538421166222E-2"/>
    <s v=""/>
    <n v="3.9706183991268491E-4"/>
    <n v="1.1029495553130137E-3"/>
    <n v="0.3"/>
    <n v="0.45"/>
    <n v="0.15000000000000002"/>
    <n v="2.65758698679124E-2"/>
    <n v="-9.3288141999991741"/>
    <n v="0.31"/>
    <n v="0.47"/>
    <n v="0.15999999999999998"/>
    <n v="0.10970748618586368"/>
    <n v="0.19980897764676614"/>
    <n v="0.35581489653721915"/>
    <n v="0.15600591889045301"/>
    <s v=""/>
    <s v=""/>
    <s v=""/>
    <n v="85"/>
    <n v="4"/>
    <n v="122"/>
    <n v="4"/>
    <n v="122"/>
    <n v="15.304093376225429"/>
    <n v="18.994588163194585"/>
    <n v="15.304093376225429"/>
    <n v="18.994588163194585"/>
    <n v="11.649119984143297"/>
  </r>
  <r>
    <x v="8"/>
    <x v="4"/>
    <n v="6.5390364062877904"/>
    <n v="50.797887733944499"/>
    <n v="42.663075859767801"/>
    <n v="3.1300000000000001E-2"/>
    <n v="0.23011000000000001"/>
    <n v="3.5529999999999999E-2"/>
    <n v="0.25385000000000002"/>
    <n v="-4.2299999999999977E-3"/>
    <n v="-2.3740000000000011E-2"/>
    <n v="1.5616900356654566"/>
    <n v="1.5733381774321065"/>
    <n v="1.6762146038518324"/>
    <n v="-7.2630766372557233E-3"/>
    <n v="-6.4147516764673826E-2"/>
    <n v="-7.141059340192954E-2"/>
    <n v="1.6037476056497983"/>
    <m/>
    <n v="0.18727818727818721"/>
    <m/>
    <n v="0.30034694443782728"/>
    <s v=""/>
    <s v=""/>
    <n v="5.7782056211672534"/>
    <m/>
    <s v=""/>
    <s v=""/>
    <n v="0.39481222428309493"/>
    <s v=""/>
    <n v="0.3711817013432705"/>
    <s v=""/>
    <n v="0.25830042440992795"/>
    <s v=""/>
    <n v="0.11288127693334254"/>
    <s v=""/>
    <n v="2.3630522939824428E-2"/>
    <n v="180.87485562113611"/>
    <s v=""/>
    <n v="0.13345073035877941"/>
    <s v=""/>
    <n v="7.4934022265110247"/>
    <n v="8.8349089464358987E-2"/>
    <s v=""/>
    <n v="1.3705652524270977E-3"/>
    <n v="3.8071257011863826E-3"/>
    <n v="0.25"/>
    <n v="0.41"/>
    <n v="0.15999999999999998"/>
    <n v="5.2851224448487326E-2"/>
    <n v="-7.2442626378058748"/>
    <n v="0.24"/>
    <n v="0.41"/>
    <n v="0.16999999999999998"/>
    <n v="9.4538433796578558E-2"/>
    <n v="0.20905043110239213"/>
    <n v="0.36257095910136999"/>
    <n v="0.15352052799897786"/>
    <s v=""/>
    <s v=""/>
    <s v=""/>
    <n v="85"/>
    <n v="4"/>
    <n v="122"/>
    <n v="4"/>
    <n v="122"/>
    <n v="15.304093376225429"/>
    <n v="18.994588163194585"/>
    <n v="15.304093376225429"/>
    <n v="18.994588163194585"/>
    <n v="11.649119984143297"/>
  </r>
  <r>
    <x v="9"/>
    <x v="0"/>
    <n v="8.3388330574289657"/>
    <n v="55.16503169450435"/>
    <n v="36.496135248066693"/>
    <n v="0.12609000000000001"/>
    <n v="1.5738000000000001"/>
    <n v="0.12801499999999999"/>
    <n v="1.5343"/>
    <n v="-1.9249999999999823E-3"/>
    <n v="3.9500000000000091E-2"/>
    <n v="1.4984740197829354"/>
    <n v="1.2911306632739894"/>
    <n v="1.3654577175225653"/>
    <n v="0.14970414630598231"/>
    <n v="-5.3664937189542419E-2"/>
    <n v="9.6039209116439872E-2"/>
    <n v="1.3850208001931632"/>
    <n v="1.2634765679019795"/>
    <m/>
    <n v="0.21683309557774613"/>
    <s v=""/>
    <n v="0.30031834754545056"/>
    <s v=""/>
    <m/>
    <n v="29.872723652761803"/>
    <s v=""/>
    <s v=""/>
    <n v="0.47735064143654216"/>
    <n v="0.52321638947095117"/>
    <n v="0.37534662433097721"/>
    <n v="0.37953873735131627"/>
    <n v="0.21746960465274029"/>
    <n v="0.21240838837216139"/>
    <n v="0.15787701967823692"/>
    <n v="0.16713034897915488"/>
    <n v="0.10200401710556495"/>
    <n v="80.813147296195638"/>
    <n v="59.87700578274282"/>
    <n v="0.22494357428423437"/>
    <n v="0.24730854429951052"/>
    <n v="4.4455593060703267"/>
    <n v="0.10136007028817427"/>
    <n v="0.10595590089747139"/>
    <n v="3.5422117636521866E-2"/>
    <n v="9.8394771212560739E-2"/>
    <n v="0.25"/>
    <n v="0.43"/>
    <n v="0.18"/>
    <n v="7.8631581516923052E-2"/>
    <n v="-6.1853856722333171"/>
    <n v="0.2"/>
    <n v="0.38"/>
    <n v="0.18"/>
    <n v="0.17984188792466627"/>
    <n v="0.15708094212589557"/>
    <n v="0.32457811299355244"/>
    <n v="0.16749717086765686"/>
    <n v="0.12820203253351037"/>
    <n v="0.30346587984457385"/>
    <n v="0.17526384731106348"/>
    <n v="73"/>
    <n v="4"/>
    <n v="122"/>
    <n v="4"/>
    <n v="122"/>
    <n v="16.051548539144399"/>
    <n v="19.334120107483027"/>
    <n v="16.051548539144399"/>
    <n v="19.334120107483027"/>
    <n v="10.395870894310921"/>
  </r>
  <r>
    <x v="9"/>
    <x v="1"/>
    <n v="7.4315159505624697"/>
    <n v="56.499125074635003"/>
    <n v="36.069358974802498"/>
    <n v="7.6569999999999999E-2"/>
    <n v="0.73506000000000005"/>
    <n v="8.0640000000000003E-2"/>
    <n v="0.71467999999999998"/>
    <n v="-4.0700000000000042E-3"/>
    <n v="2.0380000000000065E-2"/>
    <n v="1.4227242165329244"/>
    <n v="1.5362371451561021"/>
    <n v="1.6435094809270065"/>
    <n v="-7.399042764515848E-2"/>
    <n v="-6.9922660744069665E-2"/>
    <n v="-0.14391308838922814"/>
    <n v="1.5341569475386778"/>
    <n v="1.2907207994798631"/>
    <n v="0.14003860175852456"/>
    <n v="0.21730769230769229"/>
    <n v="0.21484119381144257"/>
    <n v="0.33338410590744344"/>
    <n v="0.11854291209600087"/>
    <n v="4.2923004458702287"/>
    <n v="19.939030008849183"/>
    <n v="15.646729562978955"/>
    <n v="7.7269090549167724E-2"/>
    <n v="0.42107284998540462"/>
    <n v="0.51293554736608937"/>
    <n v="0.36360997504518544"/>
    <n v="0.37862063420767439"/>
    <n v="0.22200378413429403"/>
    <n v="0.212088506698903"/>
    <n v="0.14160619091089141"/>
    <n v="0.16653212750877139"/>
    <n v="5.7462874940219177E-2"/>
    <n v="122.42359878143492"/>
    <n v="64.73587669865185"/>
    <n v="0.19432050329810008"/>
    <n v="0.24461015864803912"/>
    <n v="5.1461373505498598"/>
    <n v="9.3204062453694808E-2"/>
    <n v="0.10420764217422655"/>
    <n v="8.5157419310686929E-3"/>
    <n v="2.3654838697413038E-2"/>
    <n v="0.23"/>
    <n v="0.4"/>
    <n v="0.17"/>
    <n v="8.3567721794449198E-2"/>
    <n v="-6.0976189244115888"/>
    <n v="0.2"/>
    <n v="0.38"/>
    <n v="0.18"/>
    <n v="0.12167879045991559"/>
    <n v="0.19251569073518987"/>
    <n v="0.35048306178746835"/>
    <n v="0.15796737105227848"/>
    <n v="0.13467526195641549"/>
    <n v="0.30819820286965222"/>
    <n v="0.17352294091323672"/>
    <n v="73"/>
    <n v="4"/>
    <n v="122"/>
    <n v="4"/>
    <n v="122"/>
    <n v="16.051548539144399"/>
    <n v="19.334120107483027"/>
    <n v="16.051548539144399"/>
    <n v="19.334120107483027"/>
    <n v="10.395870894310921"/>
  </r>
  <r>
    <x v="9"/>
    <x v="2"/>
    <n v="7.9428411734799198"/>
    <n v="51.313649632824699"/>
    <n v="40.743509193695402"/>
    <n v="6.2539999999999998E-2"/>
    <n v="0.52124999999999999"/>
    <n v="6.0539999999999997E-2"/>
    <n v="0.44346000000000002"/>
    <n v="2.0000000000000018E-3"/>
    <n v="7.778999999999997E-2"/>
    <n v="1.5591421406552737"/>
    <n v="1.4470685933160308"/>
    <n v="1.6563175604808127"/>
    <n v="7.2111228240221814E-2"/>
    <n v="-0.13463658810205908"/>
    <n v="-6.2525359861837285E-2"/>
    <n v="1.5541760981507056"/>
    <n v="1.4381417496609323"/>
    <n v="0.19712259648165825"/>
    <n v="0.21920210434020168"/>
    <n v="0.3063632278571996"/>
    <n v="0.34067867122987849"/>
    <n v="3.4315443372678889E-2"/>
    <n v="1.4446456559608023"/>
    <n v="24.388238161823374"/>
    <n v="22.943592505862572"/>
    <n v="2.2079507858543429E-2"/>
    <n v="0.41351845352803562"/>
    <n v="0.45730500012795006"/>
    <n v="0.37405030842672821"/>
    <n v="0.38717207390748576"/>
    <n v="0.24630594801677758"/>
    <n v="0.24059809698282369"/>
    <n v="0.12774436040995063"/>
    <n v="0.14657397692466206"/>
    <n v="3.9468145101307417E-2"/>
    <n v="144.35253608496484"/>
    <n v="103.01244877547491"/>
    <n v="0.15919610186428462"/>
    <n v="0.18858510775449094"/>
    <n v="6.2815608440745896"/>
    <n v="9.3507230026692326E-2"/>
    <n v="0.10152983245497539"/>
    <n v="3.6713698109317795E-3"/>
    <n v="1.0198249474810499E-2"/>
    <n v="0.24"/>
    <n v="0.41"/>
    <n v="0.16999999999999998"/>
    <n v="5.8138797738134226E-2"/>
    <n v="-6.9148291519122704"/>
    <n v="0.23"/>
    <n v="0.4"/>
    <n v="0.17"/>
    <n v="0.11387132172122483"/>
    <n v="0.19727224092060769"/>
    <n v="0.35396038824877757"/>
    <n v="0.15668814732816988"/>
    <n v="0.16970247971943753"/>
    <n v="0.33380522191610396"/>
    <n v="0.16410274219666643"/>
    <n v="73"/>
    <n v="4"/>
    <n v="122"/>
    <n v="4"/>
    <n v="122"/>
    <n v="16.051548539144399"/>
    <n v="19.334120107483027"/>
    <n v="16.051548539144399"/>
    <n v="19.334120107483027"/>
    <n v="10.395870894310921"/>
  </r>
  <r>
    <x v="9"/>
    <x v="3"/>
    <n v="5.8368849217750096"/>
    <n v="47.587342037399999"/>
    <n v="46.575773040824998"/>
    <n v="3.8850000000000003E-2"/>
    <n v="0.24585000000000001"/>
    <n v="3.8420000000000003E-2"/>
    <n v="0.32551000000000002"/>
    <n v="4.2999999999999983E-4"/>
    <n v="-7.9660000000000009E-2"/>
    <n v="1.5296541273874276"/>
    <n v="1.6361160947024618"/>
    <n v="1.6650295496578336"/>
    <n v="-6.6114498020180379E-2"/>
    <n v="-1.7955694494606177E-2"/>
    <n v="-8.4070192514786563E-2"/>
    <n v="1.6102665905825742"/>
    <m/>
    <n v="0.19468168572069044"/>
    <m/>
    <n v="0.31348941431432442"/>
    <s v=""/>
    <s v=""/>
    <n v="1.8958145976033649"/>
    <m/>
    <s v=""/>
    <s v=""/>
    <n v="0.39235222996883989"/>
    <s v=""/>
    <n v="0.37721540594228292"/>
    <s v=""/>
    <n v="0.27816269696941431"/>
    <s v=""/>
    <n v="9.9052708972868608E-2"/>
    <s v=""/>
    <n v="1.5136824026556972E-2"/>
    <n v="207.11870241298311"/>
    <s v=""/>
    <n v="0.10828528118083805"/>
    <s v=""/>
    <n v="9.2348654322648418"/>
    <n v="8.4620673567450344E-2"/>
    <s v=""/>
    <n v="6.0499147983502505E-4"/>
    <n v="1.6805318884306249E-3"/>
    <n v="0.27"/>
    <n v="0.42"/>
    <n v="0.14999999999999997"/>
    <n v="4.0533853272753814E-2"/>
    <n v="-8.0111359783315272"/>
    <n v="0.27"/>
    <n v="0.43"/>
    <n v="0.15999999999999998"/>
    <n v="9.1996029672796076E-2"/>
    <n v="0.21059934192241964"/>
    <n v="0.36235222996883987"/>
    <n v="0.15175288804642023"/>
    <s v=""/>
    <s v=""/>
    <s v=""/>
    <n v="73"/>
    <n v="4"/>
    <n v="122"/>
    <n v="4"/>
    <n v="122"/>
    <n v="16.051548539144399"/>
    <n v="19.334120107483027"/>
    <n v="16.051548539144399"/>
    <n v="19.334120107483027"/>
    <n v="10.395870894310921"/>
  </r>
  <r>
    <x v="9"/>
    <x v="4"/>
    <n v="8.4431291376567703"/>
    <n v="51.148707597037301"/>
    <n v="40.408163265305902"/>
    <n v="4.0849999999999997E-2"/>
    <n v="0.23558999999999999"/>
    <n v="2.8969999999999999E-2"/>
    <n v="0.24317"/>
    <n v="1.1879999999999998E-2"/>
    <n v="-7.5800000000000034E-3"/>
    <n v="1.6477701883408238"/>
    <n v="1.6286780655889941"/>
    <n v="1.6175107428197357"/>
    <n v="1.1703483476982673E-2"/>
    <n v="6.8455760111652457E-3"/>
    <n v="1.8549059488147918E-2"/>
    <n v="1.6313196655831845"/>
    <m/>
    <n v="0.20420097863706868"/>
    <m/>
    <n v="0.33311707218198189"/>
    <s v=""/>
    <s v=""/>
    <n v="5.7715889446374273"/>
    <m/>
    <s v=""/>
    <s v=""/>
    <n v="0.38440767336483606"/>
    <s v=""/>
    <n v="0.35990540013706751"/>
    <s v=""/>
    <n v="0.24601224422042811"/>
    <s v=""/>
    <n v="0.1138931559166394"/>
    <s v=""/>
    <n v="2.4502273227768545E-2"/>
    <n v="179.84619183702742"/>
    <s v=""/>
    <n v="0.14197710700447833"/>
    <s v=""/>
    <n v="7.0433890441820131"/>
    <n v="8.7661485570639047E-2"/>
    <s v=""/>
    <n v="1.5228288176899051E-3"/>
    <n v="4.2300800491386252E-3"/>
    <n v="0.23"/>
    <n v="0.4"/>
    <n v="0.17"/>
    <n v="5.8528995928514654E-2"/>
    <n v="-6.8652181322813277"/>
    <n v="0.23"/>
    <n v="0.4"/>
    <n v="0.17"/>
    <n v="8.378533042255798E-2"/>
    <n v="0.21560155254256469"/>
    <n v="0.35440767336483603"/>
    <n v="0.13880612082227134"/>
    <s v=""/>
    <s v=""/>
    <s v=""/>
    <n v="73"/>
    <n v="4"/>
    <n v="122"/>
    <n v="4"/>
    <n v="122"/>
    <n v="16.051548539144399"/>
    <n v="19.334120107483027"/>
    <n v="16.051548539144399"/>
    <n v="19.334120107483027"/>
    <n v="10.395870894310921"/>
  </r>
  <r>
    <x v="10"/>
    <x v="0"/>
    <n v="7.7620460865632763"/>
    <n v="58.52566866595037"/>
    <n v="33.712285247486335"/>
    <n v="0.13455"/>
    <n v="1.4826999999999999"/>
    <n v="0.14864666666666668"/>
    <n v="1.8048333333333335"/>
    <n v="-1.4096666666666674E-2"/>
    <n v="-0.3221333333333336"/>
    <n v="1.4583745128310848"/>
    <n v="1.2421713208344407"/>
    <n v="1.2670392698602519"/>
    <n v="0.16347716786554828"/>
    <n v="-1.8803338839824088E-2"/>
    <n v="0.14467382902572418"/>
    <n v="1.3502729168327627"/>
    <n v="0.9843475340279646"/>
    <n v="0.13571674114816096"/>
    <n v="0.27796506282562067"/>
    <n v="0.18325463993316432"/>
    <n v="0.37532869615915299"/>
    <n v="0.19207405622598867"/>
    <n v="4.3662490670360681"/>
    <n v="44.004944206007643"/>
    <n v="39.638695138971578"/>
    <n v="0.14224832167745971"/>
    <n v="0.4904630502517876"/>
    <n v="0.62854810036680586"/>
    <n v="0.36745628068062608"/>
    <n v="0.37979701906388147"/>
    <n v="0.2039892845446345"/>
    <n v="0.19878537403509156"/>
    <n v="0.16346699613599158"/>
    <n v="0.18101164502878991"/>
    <n v="0.12300676957116152"/>
    <n v="71.253143562991056"/>
    <n v="33.737045357249912"/>
    <n v="0.24618022339527668"/>
    <n v="0.28334781002562315"/>
    <n v="4.0620647191239261"/>
    <n v="9.9132549962836852E-2"/>
    <n v="0.1059100096673713"/>
    <n v="5.8107036244967054E-2"/>
    <n v="0.1614084340137974"/>
    <n v="0.24"/>
    <n v="0.43"/>
    <n v="0.19"/>
    <n v="9.8500426631872709E-2"/>
    <n v="-5.7338353948062295"/>
    <n v="0.19"/>
    <n v="0.36"/>
    <n v="0.16999999999999998"/>
    <n v="0.19339356243522243"/>
    <n v="0.14882484503946447"/>
    <n v="0.31854240565385089"/>
    <n v="0.16971756061438642"/>
    <n v="6.1880974085044421E-2"/>
    <n v="0.25498116666065745"/>
    <n v="0.19310019257561303"/>
    <n v="85"/>
    <n v="4"/>
    <n v="122"/>
    <n v="3"/>
    <n v="91"/>
    <n v="15.983542460952991"/>
    <n v="17.218269050898893"/>
    <n v="12.723801056081506"/>
    <n v="12.882156830360916"/>
    <n v="11.884869118317891"/>
  </r>
  <r>
    <x v="10"/>
    <x v="1"/>
    <n v="9.5832409287092197"/>
    <n v="59.332298401541408"/>
    <n v="31.084460669749404"/>
    <n v="6.9330000000000003E-2"/>
    <n v="0.53976000000000002"/>
    <n v="8.3019999999999997E-2"/>
    <n v="0.76527000000000001"/>
    <n v="-1.3689999999999994E-2"/>
    <n v="-0.22550999999999999"/>
    <n v="1.5837208010263895"/>
    <n v="1.5106315277090034"/>
    <n v="1.5698953671278597"/>
    <n v="4.7010329264165769E-2"/>
    <n v="-3.8117940952032435E-2"/>
    <n v="8.8923883121333393E-3"/>
    <n v="1.5547492319544176"/>
    <n v="1.3216491732589477"/>
    <n v="0.11735526401670904"/>
    <n v="0.27425687044307351"/>
    <n v="0.18245800659578629"/>
    <n v="0.42640065867959076"/>
    <n v="0.24394265208380447"/>
    <n v="4.9113469910947227"/>
    <n v="45.77429520778859"/>
    <n v="40.862948216693866"/>
    <n v="0.15690160642636447"/>
    <n v="0.41330217662097446"/>
    <n v="0.50126446292115179"/>
    <n v="0.34238707057781698"/>
    <n v="0.35572565863826394"/>
    <n v="0.19605856664355525"/>
    <n v="0.19100198118358314"/>
    <n v="0.14632850393426172"/>
    <n v="0.16472367745468081"/>
    <n v="7.0915106043157483E-2"/>
    <n v="110.54561160622319"/>
    <n v="61.180179121564194"/>
    <n v="0.22549240789449176"/>
    <n v="0.26443749378407411"/>
    <n v="4.4347391086794437"/>
    <n v="8.883251392424428E-2"/>
    <n v="9.6530305328686727E-2"/>
    <n v="1.4136499820698617E-2"/>
    <n v="3.9268055057496157E-2"/>
    <n v="0.2"/>
    <n v="0.38"/>
    <n v="0.18"/>
    <n v="0.11298366819930941"/>
    <n v="-5.3845205088443597"/>
    <n v="0.17"/>
    <n v="0.35"/>
    <n v="0.17999999999999997"/>
    <n v="0.11364779953777704"/>
    <n v="0.19740841751236965"/>
    <n v="0.35405994159048237"/>
    <n v="0.15665152407811272"/>
    <n v="0.14202384356632597"/>
    <n v="0.31357046139507921"/>
    <n v="0.17154661782875325"/>
    <n v="85"/>
    <n v="4"/>
    <n v="122"/>
    <n v="3"/>
    <n v="91"/>
    <n v="15.983542460952991"/>
    <n v="17.218269050898893"/>
    <n v="12.723801056081506"/>
    <n v="12.882156830360916"/>
    <n v="11.884869118317891"/>
  </r>
  <r>
    <x v="10"/>
    <x v="2"/>
    <n v="6.2786976368137699"/>
    <n v="56.022503326652597"/>
    <n v="37.6987990365336"/>
    <n v="4.1329999999999999E-2"/>
    <n v="0.29791000000000001"/>
    <n v="6.0510000000000001E-2"/>
    <n v="0.43284"/>
    <n v="-1.9180000000000003E-2"/>
    <n v="-0.13492999999999999"/>
    <n v="1.5741954180198643"/>
    <n v="1.6320096665594068"/>
    <n v="1.8852731783788297"/>
    <n v="-3.4065302189438984E-2"/>
    <n v="-0.14922788554081687"/>
    <n v="-0.18329318773025585"/>
    <n v="1.6971594209860337"/>
    <n v="1.4324681706710825"/>
    <n v="0.15423114537191493"/>
    <n v="0.25193798449612398"/>
    <n v="0.26175484137741195"/>
    <n v="0.42757892389183011"/>
    <n v="0.16582408251441816"/>
    <n v="2.1108996248666703"/>
    <n v="30.327220867304877"/>
    <n v="28.216321242438205"/>
    <n v="9.7706839124209049E-2"/>
    <n v="0.3595624826467797"/>
    <n v="0.45944597333166703"/>
    <n v="0.34278893764605883"/>
    <n v="0.37939717476413842"/>
    <n v="0.23311846883450421"/>
    <n v="0.22651361942869858"/>
    <n v="0.10967046881155462"/>
    <n v="0.15288355533543985"/>
    <n v="1.6773545000720869E-2"/>
    <n v="213.38460336923353"/>
    <n v="97.887548593463393"/>
    <n v="0.14299186350656157"/>
    <n v="0.2069165096285733"/>
    <n v="6.9934049076443587"/>
    <n v="8.2040080011733255E-2"/>
    <n v="9.9409942558689179E-2"/>
    <n v="9.9987440899368635E-4"/>
    <n v="2.7774289138713512E-3"/>
    <n v="0.22"/>
    <n v="0.4"/>
    <n v="0.18000000000000002"/>
    <n v="7.659572464806487E-2"/>
    <n v="-6.3468407201567976"/>
    <n v="0.21"/>
    <n v="0.38"/>
    <n v="0.17"/>
    <n v="5.8107825815446823E-2"/>
    <n v="0.23124507842628161"/>
    <n v="0.32956248264677968"/>
    <n v="9.8317404220498061E-2"/>
    <n v="0.16835443735144923"/>
    <n v="0.33281972124556702"/>
    <n v="0.1644652838941178"/>
    <n v="85"/>
    <n v="4"/>
    <n v="122"/>
    <n v="3"/>
    <n v="91"/>
    <n v="15.983542460952991"/>
    <n v="17.218269050898893"/>
    <n v="12.723801056081506"/>
    <n v="12.882156830360916"/>
    <n v="11.884869118317891"/>
  </r>
  <r>
    <x v="10"/>
    <x v="3"/>
    <n v="6.6191174734853888"/>
    <n v="49.842345760197901"/>
    <n v="43.538536766316703"/>
    <n v="5.2760000000000001E-2"/>
    <n v="0.30841000000000002"/>
    <n v="5.3240000000000003E-2"/>
    <n v="0.42642999999999998"/>
    <n v="-4.8000000000000126E-4"/>
    <n v="-0.11801999999999996"/>
    <n v="1.5889600596560938"/>
    <n v="1.6724544747401147"/>
    <n v="1.6274670378495131"/>
    <n v="-5.1235285934120613E-2"/>
    <n v="2.7605968497577953E-2"/>
    <n v="-2.362931743654266E-2"/>
    <n v="1.6296271907485738"/>
    <m/>
    <n v="0.1674450333210892"/>
    <m/>
    <n v="0.27287297925584791"/>
    <s v=""/>
    <s v=""/>
    <n v="1.3207507110939334"/>
    <m/>
    <s v=""/>
    <s v=""/>
    <n v="0.38504634311374575"/>
    <s v=""/>
    <n v="0.36747367955759047"/>
    <s v=""/>
    <n v="0.26288907594913646"/>
    <s v=""/>
    <n v="0.10458460360845401"/>
    <s v=""/>
    <n v="1.7572663556155277E-2"/>
    <n v="200.57988739099235"/>
    <s v=""/>
    <n v="0.12140761709611909"/>
    <s v=""/>
    <n v="8.2367154872028685"/>
    <n v="8.5456836231256827E-2"/>
    <s v=""/>
    <n v="8.279830024675571E-4"/>
    <n v="2.2999527846321029E-3"/>
    <n v="0.25"/>
    <n v="0.42"/>
    <n v="0.16999999999999998"/>
    <n v="4.9442052398707054E-2"/>
    <n v="-7.4147000355996129"/>
    <n v="0.25"/>
    <n v="0.42"/>
    <n v="0.16999999999999998"/>
    <n v="8.4445395608056195E-2"/>
    <n v="0.21519942052186114"/>
    <n v="0.35504634311374572"/>
    <n v="0.13984692259188458"/>
    <s v=""/>
    <s v=""/>
    <s v=""/>
    <n v="85"/>
    <n v="4"/>
    <n v="122"/>
    <n v="3"/>
    <n v="91"/>
    <n v="15.983542460952991"/>
    <n v="17.218269050898893"/>
    <n v="12.723801056081506"/>
    <n v="12.882156830360916"/>
    <n v="11.884869118317891"/>
  </r>
  <r>
    <x v="10"/>
    <x v="4"/>
    <n v="8.2347269553652893"/>
    <n v="52.331477017703897"/>
    <n v="39.4337960269308"/>
    <n v="5.1200000000000002E-2"/>
    <n v="0.2863"/>
    <n v="4.4400000000000002E-2"/>
    <n v="0.33912999999999999"/>
    <n v="6.8000000000000005E-3"/>
    <n v="-5.2829999999999988E-2"/>
    <n v="1.6746526212352282"/>
    <n v="1.6625873927857762"/>
    <n v="1.7440612223591587"/>
    <n v="7.123310283044991E-3"/>
    <n v="-4.810214497227281E-2"/>
    <n v="-4.0978834689227819E-2"/>
    <n v="1.6937670787933878"/>
    <m/>
    <n v="0.16901993355481729"/>
    <m/>
    <n v="0.28628039911499537"/>
    <s v=""/>
    <s v=""/>
    <n v="2.8148871476379509"/>
    <m/>
    <s v=""/>
    <s v=""/>
    <n v="0.36084261177608001"/>
    <s v=""/>
    <n v="0.34537736290091431"/>
    <s v=""/>
    <n v="0.24083485411177472"/>
    <s v=""/>
    <n v="0.10454250878913959"/>
    <s v=""/>
    <n v="1.5465248875165705E-2"/>
    <n v="214.61037191086075"/>
    <s v=""/>
    <n v="0.13294409792074932"/>
    <s v=""/>
    <n v="7.5219585949285266"/>
    <n v="8.2672618833293909E-2"/>
    <s v=""/>
    <n v="8.0578137835783951E-4"/>
    <n v="2.238281606549554E-3"/>
    <n v="0.23"/>
    <n v="0.4"/>
    <n v="0.17"/>
    <n v="6.341719498681532E-2"/>
    <n v="-6.6853172364951909"/>
    <n v="0.22"/>
    <n v="0.39"/>
    <n v="0.17"/>
    <n v="5.9430839270578684E-2"/>
    <n v="0.23043905792130898"/>
    <n v="0.33084261177607999"/>
    <n v="0.10040355385477101"/>
    <s v=""/>
    <s v=""/>
    <s v=""/>
    <n v="85"/>
    <n v="4"/>
    <n v="122"/>
    <n v="3"/>
    <n v="91"/>
    <n v="15.983542460952991"/>
    <n v="17.218269050898893"/>
    <n v="12.723801056081506"/>
    <n v="12.882156830360916"/>
    <n v="11.884869118317891"/>
  </r>
  <r>
    <x v="11"/>
    <x v="0"/>
    <n v="9.055450367661626"/>
    <n v="57.678511464599239"/>
    <n v="33.266038167739133"/>
    <n v="0.13633999999999999"/>
    <n v="1.8011999999999999"/>
    <n v="0.13940333333333332"/>
    <n v="1.6613"/>
    <n v="-3.0633333333333346E-3"/>
    <n v="0.13989999999999991"/>
    <n v="1.3437287657760386"/>
    <n v="1.4439415287610997"/>
    <n v="1.475403436783304"/>
    <n v="-7.0521484708654991E-2"/>
    <n v="-2.2140298295375213E-2"/>
    <n v="-9.2661783004030204E-2"/>
    <n v="1.421024577106814"/>
    <n v="1.0328124246847674"/>
    <n v="9.1237113402062017E-2"/>
    <n v="0.26253891387063288"/>
    <n v="0.1296501804886116"/>
    <n v="0.37307424905709835"/>
    <n v="0.24342406856848675"/>
    <n v="6.8754009408259238"/>
    <n v="74.029708370081607"/>
    <n v="67.154307429255681"/>
    <n v="0.17130180046857085"/>
    <n v="0.46376431052573053"/>
    <n v="0.61025946238310658"/>
    <n v="0.36063731465664828"/>
    <n v="0.37373129400633487"/>
    <n v="0.20358448075163352"/>
    <n v="0.19638515960364367"/>
    <n v="0.15705283390501476"/>
    <n v="0.1773461344026912"/>
    <n v="0.10312699586908225"/>
    <n v="81.912971424759903"/>
    <n v="35.354937068458419"/>
    <n v="0.23654110320043098"/>
    <n v="0.28269373472684761"/>
    <n v="4.2275950626334016"/>
    <n v="9.6492512182153323E-2"/>
    <n v="0.10504594825300864"/>
    <n v="3.5712404678553744E-2"/>
    <n v="9.9201124107093724E-2"/>
    <n v="0.24"/>
    <n v="0.43"/>
    <n v="0.19"/>
    <n v="9.7660638557675469E-2"/>
    <n v="-5.6917554840429938"/>
    <n v="0.18"/>
    <n v="0.36"/>
    <n v="0.18"/>
    <n v="0.16580041492834252"/>
    <n v="0.16563543952057902"/>
    <n v="0.33083196904345358"/>
    <n v="0.16519652952287456"/>
    <n v="7.3396232105100767E-2"/>
    <n v="0.2633995181677441"/>
    <n v="0.19000328606264333"/>
    <n v="43"/>
    <n v="4"/>
    <n v="122"/>
    <n v="4"/>
    <n v="122"/>
    <n v="15.756936042209677"/>
    <n v="18.908470498405549"/>
    <n v="15.756936042209677"/>
    <n v="18.908470498405549"/>
    <n v="6.5371488170773731"/>
  </r>
  <r>
    <x v="11"/>
    <x v="1"/>
    <n v="8.4596730401464093"/>
    <n v="59.496305090577508"/>
    <n v="32.044021869276101"/>
    <n v="9.1579999999999995E-2"/>
    <n v="0.75255000000000005"/>
    <n v="6.2780000000000002E-2"/>
    <n v="0.47765000000000002"/>
    <n v="2.8799999999999992E-2"/>
    <n v="0.27490000000000003"/>
    <n v="1.3527249796131937"/>
    <n v="1.6410097661108711"/>
    <n v="1.6333535794626257"/>
    <n v="-0.18691114124304894"/>
    <n v="4.9639337593170999E-3"/>
    <n v="-0.18194720748373183"/>
    <n v="1.5423627750622302"/>
    <n v="1.4141027217980939"/>
    <n v="0.1896551724137932"/>
    <n v="0.27841409691629954"/>
    <n v="0.29251707802904381"/>
    <n v="0.42941553913626845"/>
    <n v="0.13689846110722464"/>
    <n v="5.7733587581720522"/>
    <n v="42.490261275301556"/>
    <n v="36.716902517129505"/>
    <n v="8.8758924502506331E-2"/>
    <n v="0.41797631129727164"/>
    <n v="0.46637633139694568"/>
    <n v="0.34834024100207323"/>
    <n v="0.35734505770689051"/>
    <n v="0.201339641554652"/>
    <n v="0.19812334490961953"/>
    <n v="0.14700059944742122"/>
    <n v="0.15922171279727099"/>
    <n v="6.9636070295198416E-2"/>
    <n v="111.78957794619072"/>
    <n v="79.680616635106063"/>
    <n v="0.22041701071479916"/>
    <n v="0.24450030643536663"/>
    <n v="4.5368549222088621"/>
    <n v="8.9917053739821964E-2"/>
    <n v="9.4906930810836815E-2"/>
    <n v="1.3459185621500169E-2"/>
    <n v="3.7386626726389358E-2"/>
    <n v="0.2"/>
    <n v="0.38"/>
    <n v="0.18"/>
    <n v="0.10913517702491127"/>
    <n v="-5.4994362696595651"/>
    <n v="0.18"/>
    <n v="0.35"/>
    <n v="0.16999999999999998"/>
    <n v="0.11847851772573015"/>
    <n v="0.19446539535478591"/>
    <n v="0.35190841402830941"/>
    <n v="0.1574430186735235"/>
    <n v="0.16399080669922717"/>
    <n v="0.32962964277632889"/>
    <n v="0.16563883607710173"/>
    <n v="43"/>
    <n v="4"/>
    <n v="122"/>
    <n v="4"/>
    <n v="122"/>
    <n v="15.756936042209677"/>
    <n v="18.908470498405549"/>
    <n v="15.756936042209677"/>
    <n v="18.908470498405549"/>
    <n v="6.5371488170773731"/>
  </r>
  <r>
    <x v="11"/>
    <x v="2"/>
    <n v="9.6648491199403992"/>
    <n v="45.681402411949598"/>
    <n v="44.653748468110003"/>
    <n v="6.5369999999999998E-2"/>
    <n v="0.46438000000000001"/>
    <n v="4.0379999999999999E-2"/>
    <n v="0.35624"/>
    <n v="2.4989999999999998E-2"/>
    <n v="0.10814000000000001"/>
    <n v="1.5558905730702894"/>
    <n v="1.5984935691877029"/>
    <n v="1.6254035139213994"/>
    <n v="-2.6739469940051993E-2"/>
    <n v="-1.6889836956819716E-2"/>
    <n v="-4.3629306896871708E-2"/>
    <n v="1.5932625520597972"/>
    <n v="1.4792567766263385"/>
    <n v="0.18017823386443432"/>
    <n v="0.25270914607715678"/>
    <n v="0.28707123271247559"/>
    <n v="0.40263201900774287"/>
    <n v="0.11556078629526728"/>
    <n v="10.559448060391793"/>
    <n v="43.106986128374757"/>
    <n v="32.547538067982963"/>
    <n v="7.2530912212722454E-2"/>
    <n v="0.3987688482793218"/>
    <n v="0.44178989561270243"/>
    <n v="0.3751431500779398"/>
    <n v="0.39319030756162388"/>
    <n v="0.26647743140772268"/>
    <n v="0.26165918945612204"/>
    <n v="0.10866571867021713"/>
    <n v="0.13153111810550183"/>
    <n v="2.3625698201381995E-2"/>
    <n v="175.14406292746952"/>
    <n v="123.41329748814478"/>
    <n v="0.12549883800664288"/>
    <n v="0.15585183209820949"/>
    <n v="7.968201266907891"/>
    <n v="8.9626435180425956E-2"/>
    <n v="9.9823325075592578E-2"/>
    <n v="1.2744914777599056E-3"/>
    <n v="3.5402541048886269E-3"/>
    <n v="0.26"/>
    <n v="0.42"/>
    <n v="0.15999999999999998"/>
    <n v="4.0441970130531343E-2"/>
    <n v="-7.7119053797188837"/>
    <n v="0.26"/>
    <n v="0.42"/>
    <n v="0.15999999999999998"/>
    <n v="9.8627604696679083E-2"/>
    <n v="0.20655918236940785"/>
    <n v="0.36074970529278677"/>
    <n v="0.15419052292337893"/>
    <n v="0.17947141012641804"/>
    <n v="0.34094690209999501"/>
    <n v="0.16147549197357697"/>
    <n v="43"/>
    <n v="4"/>
    <n v="122"/>
    <n v="4"/>
    <n v="122"/>
    <n v="15.756936042209677"/>
    <n v="18.908470498405549"/>
    <n v="15.756936042209677"/>
    <n v="18.908470498405549"/>
    <n v="6.5371488170773731"/>
  </r>
  <r>
    <x v="11"/>
    <x v="3"/>
    <n v="6.6669602658654288"/>
    <n v="49.223034889747801"/>
    <n v="44.1100048443868"/>
    <n v="5.9180000000000003E-2"/>
    <n v="0.41302"/>
    <n v="4.1820000000000003E-2"/>
    <n v="0.34137000000000001"/>
    <n v="1.736E-2"/>
    <n v="7.1649999999999991E-2"/>
    <n v="1.567616666486831"/>
    <n v="1.6442589325255219"/>
    <n v="1.6610397312253982"/>
    <n v="-4.718464872338643E-2"/>
    <n v="-1.0331063170180826E-2"/>
    <n v="-5.7515711893567259E-2"/>
    <n v="1.6243051100792503"/>
    <m/>
    <n v="0.21132457027300305"/>
    <m/>
    <n v="0.34325557937974049"/>
    <s v=""/>
    <s v=""/>
    <n v="14.872087305149986"/>
    <m/>
    <s v=""/>
    <s v=""/>
    <n v="0.38705467544179228"/>
    <s v=""/>
    <n v="0.36959504418334005"/>
    <s v=""/>
    <n v="0.26569334236305292"/>
    <s v=""/>
    <n v="0.10390170182028713"/>
    <s v=""/>
    <n v="1.7459631258452235E-2"/>
    <n v="200.16620840939666"/>
    <s v=""/>
    <n v="0.11934001496960889"/>
    <s v=""/>
    <n v="8.3794190930398322"/>
    <n v="8.5602492213050316E-2"/>
    <s v=""/>
    <n v="8.0428134927419041E-4"/>
    <n v="2.2341148590949737E-3"/>
    <n v="0.26"/>
    <n v="0.42"/>
    <n v="0.15999999999999998"/>
    <n v="4.7340059754928401E-2"/>
    <n v="-7.5277453188578622"/>
    <n v="0.25"/>
    <n v="0.42"/>
    <n v="0.16999999999999998"/>
    <n v="8.6521007069092382E-2"/>
    <n v="0.21393489415482991"/>
    <n v="0.35705467544179226"/>
    <n v="0.14311978128696234"/>
    <s v=""/>
    <s v=""/>
    <s v=""/>
    <n v="43"/>
    <n v="4"/>
    <n v="122"/>
    <n v="4"/>
    <n v="122"/>
    <n v="15.756936042209677"/>
    <n v="18.908470498405549"/>
    <n v="15.756936042209677"/>
    <n v="18.908470498405549"/>
    <n v="6.5371488170773731"/>
  </r>
  <r>
    <x v="11"/>
    <x v="4"/>
    <n v="6.6880989053019491"/>
    <n v="48.618792145187498"/>
    <n v="44.693108949510503"/>
    <n v="5.5930000000000001E-2"/>
    <n v="0.33795999999999998"/>
    <n v="4.6300000000000001E-2"/>
    <n v="0.39301999999999998"/>
    <n v="9.6299999999999997E-3"/>
    <n v="-5.5059999999999998E-2"/>
    <n v="1.5512688378245973"/>
    <n v="1.6285340808811364"/>
    <n v="1.631894881513442"/>
    <n v="-4.8173376382668637E-2"/>
    <n v="-2.09539383301618E-3"/>
    <n v="-5.0268770215684822E-2"/>
    <n v="1.6038992667397254"/>
    <m/>
    <n v="0.22811703290032773"/>
    <m/>
    <n v="0.36587674179967744"/>
    <s v=""/>
    <s v=""/>
    <n v="15.358736868612926"/>
    <m/>
    <s v=""/>
    <s v=""/>
    <n v="0.3947549936831225"/>
    <s v=""/>
    <n v="0.37497515730229586"/>
    <s v=""/>
    <n v="0.26843651392805373"/>
    <s v=""/>
    <n v="0.10653864337424213"/>
    <s v=""/>
    <n v="1.9779836380826643E-2"/>
    <n v="190.64159717532189"/>
    <s v=""/>
    <n v="0.12116322101157641"/>
    <s v=""/>
    <n v="8.2533296131542766"/>
    <n v="8.7233593935951634E-2"/>
    <s v=""/>
    <n v="9.6501549356437454E-4"/>
    <n v="2.6805985932343741E-3"/>
    <n v="0.26"/>
    <n v="0.42"/>
    <n v="0.15999999999999998"/>
    <n v="4.5325778021314461E-2"/>
    <n v="-7.6440427280251813"/>
    <n v="0.26"/>
    <n v="0.42"/>
    <n v="0.15999999999999998"/>
    <n v="9.447928597150701E-2"/>
    <n v="0.20908646577735879"/>
    <n v="0.3625973026326903"/>
    <n v="0.15351083685533151"/>
    <s v=""/>
    <s v=""/>
    <s v=""/>
    <n v="43"/>
    <n v="4"/>
    <n v="122"/>
    <n v="4"/>
    <n v="122"/>
    <n v="15.756936042209677"/>
    <n v="18.908470498405549"/>
    <n v="15.756936042209677"/>
    <n v="18.908470498405549"/>
    <n v="6.53714881707737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J4:N42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dataField="1"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3" hier="-1"/>
  </pageFields>
  <dataFields count="1">
    <dataField name="Sum of Ec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23:AA37" firstHeaderRow="1" firstDataRow="2" firstDataCol="1"/>
  <pivotFields count="5">
    <pivotField axis="axisCol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LAI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showError="1" updatedVersion="4" minRefreshableVersion="3" useAutoFormatting="1" rowGrandTotals="0" colGrandTotals="0" itemPrintTitles="1" createdVersion="4" indent="0" compact="0" compactData="0" multipleFieldFilters="0">
  <location ref="DE5:DG65" firstHeaderRow="1" firstDataRow="1" firstDataCol="2"/>
  <pivotFields count="71"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6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Items count="1">
    <i/>
  </colItems>
  <dataFields count="1">
    <dataField name="Average of AWC" fld="3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115" zoomScaleNormal="115" workbookViewId="0">
      <selection activeCell="E13" sqref="E13"/>
    </sheetView>
  </sheetViews>
  <sheetFormatPr defaultRowHeight="15" x14ac:dyDescent="0.25"/>
  <cols>
    <col min="1" max="1" width="26.28515625" style="73" customWidth="1"/>
    <col min="2" max="16384" width="9.140625" style="73"/>
  </cols>
  <sheetData>
    <row r="1" spans="1:13" x14ac:dyDescent="0.25">
      <c r="A1" s="73" t="s">
        <v>213</v>
      </c>
      <c r="B1" s="73" t="s">
        <v>16</v>
      </c>
      <c r="C1" s="73" t="s">
        <v>17</v>
      </c>
      <c r="D1" s="73" t="s">
        <v>18</v>
      </c>
      <c r="E1" s="73" t="s">
        <v>19</v>
      </c>
      <c r="F1" s="73" t="s">
        <v>20</v>
      </c>
      <c r="G1" s="73" t="s">
        <v>21</v>
      </c>
      <c r="H1" s="73" t="s">
        <v>22</v>
      </c>
      <c r="I1" s="73" t="s">
        <v>23</v>
      </c>
      <c r="J1" s="73" t="s">
        <v>24</v>
      </c>
      <c r="K1" s="73" t="s">
        <v>25</v>
      </c>
      <c r="L1" s="73" t="s">
        <v>26</v>
      </c>
      <c r="M1" s="73" t="s">
        <v>27</v>
      </c>
    </row>
    <row r="2" spans="1:13" x14ac:dyDescent="0.25">
      <c r="A2" s="74">
        <v>41277</v>
      </c>
      <c r="B2" s="73">
        <v>2.5</v>
      </c>
      <c r="C2" s="73">
        <v>3</v>
      </c>
      <c r="D2" s="73">
        <v>3</v>
      </c>
      <c r="E2" s="73">
        <v>3</v>
      </c>
      <c r="F2" s="73">
        <v>3</v>
      </c>
      <c r="G2" s="73">
        <v>3</v>
      </c>
      <c r="H2" s="73">
        <v>3.5</v>
      </c>
      <c r="I2" s="73">
        <v>3</v>
      </c>
      <c r="J2" s="73">
        <v>2.5</v>
      </c>
      <c r="K2" s="73">
        <v>2.5</v>
      </c>
      <c r="L2" s="73">
        <v>2.5</v>
      </c>
      <c r="M2" s="73">
        <v>2.5</v>
      </c>
    </row>
    <row r="3" spans="1:13" x14ac:dyDescent="0.25">
      <c r="A3" s="74">
        <v>41284</v>
      </c>
      <c r="B3" s="73">
        <v>3</v>
      </c>
      <c r="C3" s="73">
        <v>2.75</v>
      </c>
      <c r="D3" s="73">
        <v>2.5</v>
      </c>
      <c r="E3" s="73">
        <v>2.75</v>
      </c>
      <c r="F3" s="73">
        <v>3</v>
      </c>
      <c r="G3" s="73">
        <v>3</v>
      </c>
      <c r="H3" s="73">
        <v>2.5</v>
      </c>
      <c r="I3" s="73">
        <v>3</v>
      </c>
      <c r="J3" s="73">
        <v>3</v>
      </c>
      <c r="K3" s="73">
        <v>2.5</v>
      </c>
      <c r="L3" s="73">
        <v>3</v>
      </c>
      <c r="M3" s="73">
        <v>2.5</v>
      </c>
    </row>
    <row r="4" spans="1:13" x14ac:dyDescent="0.25">
      <c r="A4" s="74">
        <v>41305</v>
      </c>
      <c r="B4" s="73">
        <v>2.5</v>
      </c>
      <c r="C4" s="73">
        <v>3.5</v>
      </c>
      <c r="D4" s="73">
        <v>3</v>
      </c>
      <c r="E4" s="73">
        <v>3.5</v>
      </c>
      <c r="F4" s="73">
        <v>2</v>
      </c>
      <c r="G4" s="73">
        <v>3</v>
      </c>
      <c r="H4" s="73">
        <v>3</v>
      </c>
      <c r="I4" s="73">
        <v>5</v>
      </c>
      <c r="J4" s="73">
        <v>2.5</v>
      </c>
      <c r="K4" s="73">
        <v>1</v>
      </c>
      <c r="L4" s="73">
        <v>2.5</v>
      </c>
      <c r="M4" s="73">
        <v>2.5</v>
      </c>
    </row>
    <row r="5" spans="1:13" x14ac:dyDescent="0.25">
      <c r="A5" s="74">
        <v>41310</v>
      </c>
      <c r="B5" s="73">
        <v>0</v>
      </c>
      <c r="C5" s="73">
        <v>0</v>
      </c>
      <c r="D5" s="73">
        <v>0</v>
      </c>
      <c r="E5" s="73">
        <v>0</v>
      </c>
      <c r="F5" s="73">
        <v>0</v>
      </c>
      <c r="G5" s="73">
        <v>0</v>
      </c>
      <c r="H5" s="73">
        <v>0</v>
      </c>
      <c r="I5" s="73">
        <v>0</v>
      </c>
      <c r="J5" s="73">
        <v>0</v>
      </c>
      <c r="K5" s="73">
        <v>0</v>
      </c>
      <c r="L5" s="73">
        <v>0</v>
      </c>
      <c r="M5" s="73">
        <v>0</v>
      </c>
    </row>
    <row r="6" spans="1:13" x14ac:dyDescent="0.25">
      <c r="A6" s="74">
        <v>41317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0</v>
      </c>
      <c r="K6" s="73">
        <v>0</v>
      </c>
      <c r="L6" s="73">
        <v>0</v>
      </c>
      <c r="M6" s="73">
        <v>0</v>
      </c>
    </row>
    <row r="7" spans="1:13" x14ac:dyDescent="0.25">
      <c r="A7" s="74">
        <v>41337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0</v>
      </c>
      <c r="L7" s="73">
        <v>0</v>
      </c>
      <c r="M7" s="73">
        <v>0</v>
      </c>
    </row>
    <row r="8" spans="1:13" x14ac:dyDescent="0.25">
      <c r="A8" s="74">
        <v>41646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</row>
    <row r="9" spans="1:13" x14ac:dyDescent="0.25">
      <c r="A9" s="74">
        <v>41650</v>
      </c>
      <c r="B9" s="73">
        <v>0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</row>
    <row r="10" spans="1:13" x14ac:dyDescent="0.25">
      <c r="A10" s="74">
        <v>41670</v>
      </c>
      <c r="B10" s="73">
        <v>3.4</v>
      </c>
      <c r="C10" s="73">
        <v>3.5</v>
      </c>
      <c r="D10" s="73">
        <v>3.75</v>
      </c>
      <c r="E10" s="73">
        <v>3.75</v>
      </c>
      <c r="G10" s="73">
        <v>5.5</v>
      </c>
      <c r="I10" s="73">
        <v>3.25</v>
      </c>
      <c r="J10" s="73">
        <v>4.5</v>
      </c>
      <c r="K10" s="73">
        <v>4</v>
      </c>
      <c r="L10" s="73">
        <v>3.5</v>
      </c>
      <c r="M10" s="73">
        <v>3.5</v>
      </c>
    </row>
    <row r="11" spans="1:13" x14ac:dyDescent="0.25">
      <c r="A11" s="74">
        <v>41681</v>
      </c>
      <c r="B11" s="73">
        <v>3.5</v>
      </c>
      <c r="C11" s="73">
        <v>5.5</v>
      </c>
      <c r="D11" s="73">
        <v>4.5</v>
      </c>
      <c r="E11" s="73">
        <v>5</v>
      </c>
      <c r="F11" s="73">
        <v>7</v>
      </c>
      <c r="G11" s="73">
        <v>5.75</v>
      </c>
      <c r="H11" s="73">
        <v>5.5</v>
      </c>
      <c r="I11" s="73">
        <v>5.5</v>
      </c>
      <c r="J11" s="73">
        <v>5</v>
      </c>
      <c r="K11" s="73">
        <v>6</v>
      </c>
      <c r="L11" s="73">
        <v>3.5</v>
      </c>
      <c r="M11" s="73">
        <v>3.5</v>
      </c>
    </row>
    <row r="12" spans="1:13" x14ac:dyDescent="0.25">
      <c r="A12" s="74">
        <v>41684</v>
      </c>
      <c r="B12" s="73">
        <v>0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</row>
    <row r="13" spans="1:13" x14ac:dyDescent="0.25">
      <c r="A13" s="74">
        <v>42010</v>
      </c>
      <c r="B13" s="73">
        <v>2</v>
      </c>
      <c r="C13" s="73">
        <v>3</v>
      </c>
      <c r="D13" s="73">
        <v>2</v>
      </c>
      <c r="E13" s="73">
        <v>3</v>
      </c>
      <c r="F13" s="73">
        <v>2.5</v>
      </c>
      <c r="G13" s="73">
        <v>1.5</v>
      </c>
      <c r="H13" s="73">
        <v>2</v>
      </c>
      <c r="I13" s="73">
        <v>3</v>
      </c>
      <c r="J13" s="73">
        <v>1</v>
      </c>
      <c r="K13" s="73">
        <v>1</v>
      </c>
      <c r="L13" s="73">
        <v>2</v>
      </c>
      <c r="M13" s="73">
        <v>2</v>
      </c>
    </row>
    <row r="17" spans="1:14" x14ac:dyDescent="0.25">
      <c r="A17" s="73" t="s">
        <v>214</v>
      </c>
      <c r="N17" s="73" t="s">
        <v>215</v>
      </c>
    </row>
    <row r="18" spans="1:14" x14ac:dyDescent="0.25">
      <c r="A18" s="74">
        <v>41277</v>
      </c>
      <c r="B18" s="73">
        <v>13.5</v>
      </c>
      <c r="C18" s="73">
        <v>13.5</v>
      </c>
      <c r="D18" s="73">
        <v>13.5</v>
      </c>
      <c r="E18" s="73">
        <v>13.5</v>
      </c>
      <c r="F18" s="73">
        <v>13.5</v>
      </c>
      <c r="G18" s="73">
        <v>13.5</v>
      </c>
      <c r="H18" s="73">
        <v>13.5</v>
      </c>
      <c r="I18" s="73">
        <v>13.5</v>
      </c>
      <c r="J18" s="73">
        <v>13.5</v>
      </c>
      <c r="K18" s="73">
        <v>13.5</v>
      </c>
      <c r="L18" s="73">
        <v>13.5</v>
      </c>
      <c r="M18" s="73">
        <v>13</v>
      </c>
      <c r="N18" s="73">
        <v>12.5</v>
      </c>
    </row>
    <row r="19" spans="1:14" x14ac:dyDescent="0.25">
      <c r="A19" s="74">
        <v>41284</v>
      </c>
      <c r="B19" s="73">
        <v>13.5</v>
      </c>
      <c r="C19" s="73">
        <v>13</v>
      </c>
      <c r="D19" s="73">
        <v>13</v>
      </c>
      <c r="E19" s="73">
        <v>13</v>
      </c>
      <c r="F19" s="73">
        <v>13.5</v>
      </c>
      <c r="G19" s="73">
        <v>13</v>
      </c>
      <c r="H19" s="73">
        <v>13</v>
      </c>
      <c r="I19" s="73">
        <v>13</v>
      </c>
      <c r="J19" s="73">
        <v>13</v>
      </c>
      <c r="K19" s="73">
        <v>13</v>
      </c>
      <c r="L19" s="73">
        <v>13.5</v>
      </c>
      <c r="M19" s="73">
        <v>13</v>
      </c>
      <c r="N19" s="73">
        <v>12.5</v>
      </c>
    </row>
    <row r="20" spans="1:14" x14ac:dyDescent="0.25">
      <c r="A20" s="74">
        <v>41305</v>
      </c>
      <c r="B20" s="73">
        <v>13.5</v>
      </c>
      <c r="C20" s="73">
        <v>13.5</v>
      </c>
      <c r="D20" s="73">
        <v>14</v>
      </c>
      <c r="E20" s="73">
        <v>14</v>
      </c>
      <c r="F20" s="73">
        <v>13.5</v>
      </c>
      <c r="G20" s="73">
        <v>14</v>
      </c>
      <c r="H20" s="73">
        <v>13</v>
      </c>
      <c r="I20" s="73">
        <v>15</v>
      </c>
      <c r="J20" s="73">
        <v>13.5</v>
      </c>
      <c r="K20" s="73">
        <v>13</v>
      </c>
      <c r="L20" s="73">
        <v>13.5</v>
      </c>
      <c r="M20" s="73">
        <v>13.5</v>
      </c>
      <c r="N20" s="73">
        <v>12.5</v>
      </c>
    </row>
    <row r="21" spans="1:14" x14ac:dyDescent="0.25">
      <c r="A21" s="74">
        <v>41670</v>
      </c>
      <c r="B21" s="73">
        <v>13.5</v>
      </c>
      <c r="C21" s="73">
        <v>13</v>
      </c>
      <c r="D21" s="73">
        <v>13.5</v>
      </c>
      <c r="E21" s="73">
        <v>13.5</v>
      </c>
      <c r="G21" s="73">
        <v>14.5</v>
      </c>
      <c r="I21" s="73">
        <v>13</v>
      </c>
      <c r="J21" s="73">
        <v>14</v>
      </c>
      <c r="K21" s="73">
        <v>13.5</v>
      </c>
      <c r="L21" s="73">
        <v>13</v>
      </c>
      <c r="M21" s="73">
        <v>13</v>
      </c>
      <c r="N21" s="73">
        <v>12.5</v>
      </c>
    </row>
    <row r="22" spans="1:14" x14ac:dyDescent="0.25">
      <c r="A22" s="74">
        <v>41681</v>
      </c>
      <c r="B22" s="73">
        <v>14.5</v>
      </c>
      <c r="C22" s="73">
        <v>15</v>
      </c>
      <c r="D22" s="73">
        <v>15</v>
      </c>
      <c r="E22" s="73">
        <v>14</v>
      </c>
      <c r="F22" s="73">
        <v>15.5</v>
      </c>
      <c r="G22" s="73">
        <v>15</v>
      </c>
      <c r="H22" s="73">
        <v>14</v>
      </c>
      <c r="I22" s="73">
        <v>14</v>
      </c>
      <c r="J22" s="73">
        <v>14.5</v>
      </c>
      <c r="K22" s="73">
        <v>14.5</v>
      </c>
      <c r="L22" s="73">
        <v>14.5</v>
      </c>
      <c r="M22" s="73">
        <v>14</v>
      </c>
      <c r="N22" s="73">
        <v>12.5</v>
      </c>
    </row>
    <row r="23" spans="1:14" x14ac:dyDescent="0.25">
      <c r="A23" s="74" t="s">
        <v>216</v>
      </c>
    </row>
    <row r="24" spans="1:14" x14ac:dyDescent="0.25">
      <c r="A24" s="74">
        <v>41277</v>
      </c>
      <c r="B24" s="73">
        <f>B18-12.5</f>
        <v>1</v>
      </c>
      <c r="C24" s="73">
        <f t="shared" ref="C24:M24" si="0">C18-12.5</f>
        <v>1</v>
      </c>
      <c r="D24" s="73">
        <f t="shared" si="0"/>
        <v>1</v>
      </c>
      <c r="E24" s="73">
        <f t="shared" si="0"/>
        <v>1</v>
      </c>
      <c r="F24" s="73">
        <f t="shared" si="0"/>
        <v>1</v>
      </c>
      <c r="G24" s="73">
        <f t="shared" si="0"/>
        <v>1</v>
      </c>
      <c r="H24" s="73">
        <f t="shared" si="0"/>
        <v>1</v>
      </c>
      <c r="I24" s="73">
        <f t="shared" si="0"/>
        <v>1</v>
      </c>
      <c r="J24" s="73">
        <f t="shared" si="0"/>
        <v>1</v>
      </c>
      <c r="K24" s="73">
        <f t="shared" si="0"/>
        <v>1</v>
      </c>
      <c r="L24" s="73">
        <f t="shared" si="0"/>
        <v>1</v>
      </c>
      <c r="M24" s="73">
        <f t="shared" si="0"/>
        <v>0.5</v>
      </c>
    </row>
    <row r="25" spans="1:14" x14ac:dyDescent="0.25">
      <c r="A25" s="74">
        <v>41284</v>
      </c>
      <c r="B25" s="73">
        <f t="shared" ref="B25:M28" si="1">B19-12.5</f>
        <v>1</v>
      </c>
      <c r="C25" s="73">
        <f t="shared" si="1"/>
        <v>0.5</v>
      </c>
      <c r="D25" s="73">
        <f t="shared" si="1"/>
        <v>0.5</v>
      </c>
      <c r="E25" s="73">
        <f t="shared" si="1"/>
        <v>0.5</v>
      </c>
      <c r="F25" s="73">
        <f t="shared" si="1"/>
        <v>1</v>
      </c>
      <c r="G25" s="73">
        <f t="shared" si="1"/>
        <v>0.5</v>
      </c>
      <c r="H25" s="73">
        <f t="shared" si="1"/>
        <v>0.5</v>
      </c>
      <c r="I25" s="73">
        <f t="shared" si="1"/>
        <v>0.5</v>
      </c>
      <c r="J25" s="73">
        <f t="shared" si="1"/>
        <v>0.5</v>
      </c>
      <c r="K25" s="73">
        <f t="shared" si="1"/>
        <v>0.5</v>
      </c>
      <c r="L25" s="73">
        <f t="shared" si="1"/>
        <v>1</v>
      </c>
      <c r="M25" s="73">
        <f t="shared" si="1"/>
        <v>0.5</v>
      </c>
    </row>
    <row r="26" spans="1:14" x14ac:dyDescent="0.25">
      <c r="A26" s="74">
        <v>41305</v>
      </c>
      <c r="B26" s="73">
        <f t="shared" si="1"/>
        <v>1</v>
      </c>
      <c r="C26" s="73">
        <f t="shared" si="1"/>
        <v>1</v>
      </c>
      <c r="D26" s="73">
        <f t="shared" si="1"/>
        <v>1.5</v>
      </c>
      <c r="E26" s="73">
        <f t="shared" si="1"/>
        <v>1.5</v>
      </c>
      <c r="F26" s="73">
        <f t="shared" si="1"/>
        <v>1</v>
      </c>
      <c r="G26" s="73">
        <f t="shared" si="1"/>
        <v>1.5</v>
      </c>
      <c r="H26" s="73">
        <f t="shared" si="1"/>
        <v>0.5</v>
      </c>
      <c r="I26" s="73">
        <f t="shared" si="1"/>
        <v>2.5</v>
      </c>
      <c r="J26" s="73">
        <f t="shared" si="1"/>
        <v>1</v>
      </c>
      <c r="K26" s="73">
        <f t="shared" si="1"/>
        <v>0.5</v>
      </c>
      <c r="L26" s="73">
        <f t="shared" si="1"/>
        <v>1</v>
      </c>
      <c r="M26" s="73">
        <f t="shared" si="1"/>
        <v>1</v>
      </c>
    </row>
    <row r="27" spans="1:14" x14ac:dyDescent="0.25">
      <c r="A27" s="74">
        <v>41670</v>
      </c>
      <c r="B27" s="73">
        <f t="shared" si="1"/>
        <v>1</v>
      </c>
      <c r="C27" s="73">
        <f t="shared" si="1"/>
        <v>0.5</v>
      </c>
      <c r="D27" s="73">
        <f t="shared" si="1"/>
        <v>1</v>
      </c>
      <c r="E27" s="73">
        <f t="shared" si="1"/>
        <v>1</v>
      </c>
      <c r="G27" s="73">
        <f t="shared" si="1"/>
        <v>2</v>
      </c>
      <c r="I27" s="73">
        <f t="shared" si="1"/>
        <v>0.5</v>
      </c>
      <c r="J27" s="73">
        <f t="shared" si="1"/>
        <v>1.5</v>
      </c>
      <c r="K27" s="73">
        <f t="shared" si="1"/>
        <v>1</v>
      </c>
      <c r="L27" s="73">
        <f t="shared" si="1"/>
        <v>0.5</v>
      </c>
      <c r="M27" s="73">
        <f t="shared" si="1"/>
        <v>0.5</v>
      </c>
    </row>
    <row r="28" spans="1:14" x14ac:dyDescent="0.25">
      <c r="A28" s="74">
        <v>41681</v>
      </c>
      <c r="B28" s="73">
        <f t="shared" si="1"/>
        <v>2</v>
      </c>
      <c r="C28" s="73">
        <f t="shared" si="1"/>
        <v>2.5</v>
      </c>
      <c r="D28" s="73">
        <f t="shared" si="1"/>
        <v>2.5</v>
      </c>
      <c r="E28" s="73">
        <f t="shared" si="1"/>
        <v>1.5</v>
      </c>
      <c r="F28" s="73">
        <f t="shared" si="1"/>
        <v>3</v>
      </c>
      <c r="G28" s="73">
        <f t="shared" si="1"/>
        <v>2.5</v>
      </c>
      <c r="H28" s="73">
        <f t="shared" si="1"/>
        <v>1.5</v>
      </c>
      <c r="I28" s="73">
        <f t="shared" si="1"/>
        <v>1.5</v>
      </c>
      <c r="J28" s="73">
        <f t="shared" si="1"/>
        <v>2</v>
      </c>
      <c r="K28" s="73">
        <f t="shared" si="1"/>
        <v>2</v>
      </c>
      <c r="L28" s="73">
        <f t="shared" si="1"/>
        <v>2</v>
      </c>
      <c r="M28" s="73">
        <f t="shared" si="1"/>
        <v>1.5</v>
      </c>
    </row>
    <row r="30" spans="1:14" x14ac:dyDescent="0.25">
      <c r="B30" s="73">
        <f t="shared" ref="B30:M32" si="2">B24/B2</f>
        <v>0.4</v>
      </c>
      <c r="C30" s="73">
        <f t="shared" si="2"/>
        <v>0.33333333333333331</v>
      </c>
      <c r="D30" s="73">
        <f t="shared" si="2"/>
        <v>0.33333333333333331</v>
      </c>
      <c r="E30" s="73">
        <f t="shared" si="2"/>
        <v>0.33333333333333331</v>
      </c>
      <c r="F30" s="73">
        <f t="shared" si="2"/>
        <v>0.33333333333333331</v>
      </c>
      <c r="G30" s="73">
        <f t="shared" si="2"/>
        <v>0.33333333333333331</v>
      </c>
      <c r="H30" s="73">
        <f t="shared" si="2"/>
        <v>0.2857142857142857</v>
      </c>
      <c r="I30" s="73">
        <f t="shared" si="2"/>
        <v>0.33333333333333331</v>
      </c>
      <c r="J30" s="73">
        <f t="shared" si="2"/>
        <v>0.4</v>
      </c>
      <c r="K30" s="73">
        <f t="shared" si="2"/>
        <v>0.4</v>
      </c>
      <c r="L30" s="73">
        <f t="shared" si="2"/>
        <v>0.4</v>
      </c>
      <c r="M30" s="73">
        <f t="shared" si="2"/>
        <v>0.2</v>
      </c>
    </row>
    <row r="31" spans="1:14" x14ac:dyDescent="0.25">
      <c r="B31" s="73">
        <f t="shared" si="2"/>
        <v>0.33333333333333331</v>
      </c>
      <c r="C31" s="73">
        <f t="shared" si="2"/>
        <v>0.18181818181818182</v>
      </c>
      <c r="D31" s="73">
        <f t="shared" si="2"/>
        <v>0.2</v>
      </c>
      <c r="E31" s="73">
        <f t="shared" si="2"/>
        <v>0.18181818181818182</v>
      </c>
      <c r="F31" s="73">
        <f t="shared" si="2"/>
        <v>0.33333333333333331</v>
      </c>
      <c r="G31" s="73">
        <f t="shared" si="2"/>
        <v>0.16666666666666666</v>
      </c>
      <c r="H31" s="73">
        <f t="shared" si="2"/>
        <v>0.2</v>
      </c>
      <c r="I31" s="73">
        <f t="shared" si="2"/>
        <v>0.16666666666666666</v>
      </c>
      <c r="J31" s="73">
        <f t="shared" si="2"/>
        <v>0.16666666666666666</v>
      </c>
      <c r="K31" s="73">
        <f t="shared" si="2"/>
        <v>0.2</v>
      </c>
      <c r="L31" s="73">
        <f t="shared" si="2"/>
        <v>0.33333333333333331</v>
      </c>
      <c r="M31" s="73">
        <f t="shared" si="2"/>
        <v>0.2</v>
      </c>
    </row>
    <row r="32" spans="1:14" x14ac:dyDescent="0.25">
      <c r="B32" s="73">
        <f t="shared" si="2"/>
        <v>0.4</v>
      </c>
      <c r="C32" s="73">
        <f t="shared" si="2"/>
        <v>0.2857142857142857</v>
      </c>
      <c r="D32" s="73">
        <f t="shared" si="2"/>
        <v>0.5</v>
      </c>
      <c r="E32" s="73">
        <f t="shared" si="2"/>
        <v>0.42857142857142855</v>
      </c>
      <c r="F32" s="73">
        <f t="shared" si="2"/>
        <v>0.5</v>
      </c>
      <c r="G32" s="73">
        <f t="shared" si="2"/>
        <v>0.5</v>
      </c>
      <c r="H32" s="73">
        <f t="shared" si="2"/>
        <v>0.16666666666666666</v>
      </c>
      <c r="I32" s="73">
        <f t="shared" si="2"/>
        <v>0.5</v>
      </c>
      <c r="J32" s="73">
        <f t="shared" si="2"/>
        <v>0.4</v>
      </c>
      <c r="K32" s="73">
        <f t="shared" si="2"/>
        <v>0.5</v>
      </c>
      <c r="L32" s="73">
        <f t="shared" si="2"/>
        <v>0.4</v>
      </c>
      <c r="M32" s="73">
        <f t="shared" si="2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62"/>
  <sheetViews>
    <sheetView topLeftCell="A40" workbookViewId="0">
      <selection activeCell="C71" sqref="C71"/>
    </sheetView>
  </sheetViews>
  <sheetFormatPr defaultRowHeight="15" x14ac:dyDescent="0.25"/>
  <cols>
    <col min="1" max="1" width="26.28515625" style="73" customWidth="1"/>
    <col min="2" max="2" width="10.7109375" style="73" bestFit="1" customWidth="1"/>
    <col min="3" max="17" width="9.140625" style="73"/>
    <col min="18" max="18" width="10.7109375" style="73" bestFit="1" customWidth="1"/>
    <col min="19" max="16384" width="9.140625" style="73"/>
  </cols>
  <sheetData>
    <row r="2" spans="1:17" x14ac:dyDescent="0.25">
      <c r="B2" s="73" t="s">
        <v>16</v>
      </c>
      <c r="C2" s="73" t="s">
        <v>17</v>
      </c>
      <c r="D2" s="73" t="s">
        <v>18</v>
      </c>
      <c r="E2" s="73" t="s">
        <v>19</v>
      </c>
      <c r="F2" s="73" t="s">
        <v>20</v>
      </c>
      <c r="G2" s="73" t="s">
        <v>21</v>
      </c>
      <c r="H2" s="73" t="s">
        <v>22</v>
      </c>
      <c r="I2" s="73" t="s">
        <v>23</v>
      </c>
      <c r="J2" s="73" t="s">
        <v>24</v>
      </c>
      <c r="K2" s="73" t="s">
        <v>25</v>
      </c>
      <c r="L2" s="73" t="s">
        <v>27</v>
      </c>
      <c r="M2" s="73" t="s">
        <v>26</v>
      </c>
      <c r="N2" s="73" t="s">
        <v>196</v>
      </c>
      <c r="O2" s="73" t="s">
        <v>197</v>
      </c>
    </row>
    <row r="3" spans="1:17" x14ac:dyDescent="0.25">
      <c r="A3" s="74">
        <v>40918</v>
      </c>
      <c r="B3" s="73" t="s">
        <v>198</v>
      </c>
      <c r="C3" s="73" t="s">
        <v>198</v>
      </c>
      <c r="D3" s="73" t="s">
        <v>198</v>
      </c>
      <c r="E3" s="73" t="s">
        <v>198</v>
      </c>
      <c r="F3" s="73" t="s">
        <v>198</v>
      </c>
      <c r="G3" s="73" t="s">
        <v>198</v>
      </c>
      <c r="H3" s="73" t="s">
        <v>198</v>
      </c>
      <c r="I3" s="73" t="s">
        <v>198</v>
      </c>
      <c r="J3" s="73" t="s">
        <v>198</v>
      </c>
      <c r="K3" s="73" t="s">
        <v>198</v>
      </c>
      <c r="L3" s="73" t="s">
        <v>198</v>
      </c>
      <c r="M3" s="73" t="s">
        <v>198</v>
      </c>
    </row>
    <row r="4" spans="1:17" x14ac:dyDescent="0.25">
      <c r="A4" s="74">
        <v>40920</v>
      </c>
      <c r="B4" s="73" t="s">
        <v>198</v>
      </c>
      <c r="G4" s="73" t="s">
        <v>198</v>
      </c>
      <c r="H4" s="73" t="s">
        <v>198</v>
      </c>
      <c r="J4" s="73" t="s">
        <v>198</v>
      </c>
      <c r="K4" s="73" t="s">
        <v>198</v>
      </c>
      <c r="L4" s="73" t="s">
        <v>198</v>
      </c>
      <c r="M4" s="73" t="s">
        <v>198</v>
      </c>
    </row>
    <row r="5" spans="1:17" x14ac:dyDescent="0.25">
      <c r="A5" s="74">
        <v>40941</v>
      </c>
      <c r="B5" s="73">
        <v>2.95</v>
      </c>
      <c r="C5" s="73">
        <v>2.6</v>
      </c>
      <c r="D5" s="73">
        <v>1.1499999999999999</v>
      </c>
      <c r="E5" s="73">
        <v>2.02</v>
      </c>
      <c r="F5" s="73">
        <v>2.4</v>
      </c>
      <c r="G5" s="73">
        <v>2.72</v>
      </c>
      <c r="H5" s="73">
        <v>2.29</v>
      </c>
      <c r="I5" s="73">
        <v>1.54</v>
      </c>
      <c r="J5" s="73" t="s">
        <v>198</v>
      </c>
      <c r="K5" s="73" t="s">
        <v>198</v>
      </c>
      <c r="L5" s="73">
        <v>1.98</v>
      </c>
      <c r="M5" s="73" t="s">
        <v>198</v>
      </c>
    </row>
    <row r="6" spans="1:17" x14ac:dyDescent="0.25">
      <c r="A6" s="74">
        <v>40962</v>
      </c>
      <c r="B6" s="73">
        <v>2.9</v>
      </c>
      <c r="C6" s="73">
        <v>2.5</v>
      </c>
      <c r="D6" s="73">
        <v>1.5</v>
      </c>
      <c r="E6" s="73">
        <v>2.2000000000000002</v>
      </c>
      <c r="F6" s="73">
        <v>2.2999999999999998</v>
      </c>
      <c r="G6" s="73">
        <v>2.6</v>
      </c>
      <c r="H6" s="73">
        <v>2.73</v>
      </c>
      <c r="I6" s="73">
        <v>1.6</v>
      </c>
      <c r="J6" s="73" t="s">
        <v>198</v>
      </c>
      <c r="K6" s="73" t="s">
        <v>198</v>
      </c>
      <c r="M6" s="73" t="s">
        <v>198</v>
      </c>
    </row>
    <row r="7" spans="1:17" x14ac:dyDescent="0.25">
      <c r="A7" s="74">
        <v>40963</v>
      </c>
      <c r="B7" s="73">
        <v>2.88</v>
      </c>
      <c r="C7" s="73">
        <v>2.5</v>
      </c>
      <c r="D7" s="73">
        <v>1.3</v>
      </c>
      <c r="E7" s="73">
        <v>2.0699999999999998</v>
      </c>
      <c r="F7" s="73">
        <v>2.2599999999999998</v>
      </c>
      <c r="G7" s="73">
        <v>2.5099999999999998</v>
      </c>
      <c r="H7" s="73">
        <v>2.59</v>
      </c>
      <c r="I7" s="73">
        <v>1.58</v>
      </c>
      <c r="J7" s="73" t="s">
        <v>198</v>
      </c>
      <c r="K7" s="73" t="s">
        <v>198</v>
      </c>
      <c r="L7" s="73">
        <v>1.81</v>
      </c>
      <c r="M7" s="73" t="s">
        <v>198</v>
      </c>
      <c r="N7" s="73">
        <v>2.2999999999999998</v>
      </c>
      <c r="O7" s="73">
        <v>7.92</v>
      </c>
    </row>
    <row r="8" spans="1:17" x14ac:dyDescent="0.25">
      <c r="A8" s="74">
        <v>40990</v>
      </c>
      <c r="B8" s="73">
        <v>2.4</v>
      </c>
      <c r="C8" s="73">
        <v>1.8</v>
      </c>
      <c r="D8" s="73">
        <v>1.1000000000000001</v>
      </c>
      <c r="E8" s="73">
        <v>2</v>
      </c>
      <c r="F8" s="73">
        <v>1.4</v>
      </c>
      <c r="G8" s="73">
        <v>1.8</v>
      </c>
      <c r="H8" s="73">
        <v>2.71</v>
      </c>
      <c r="I8" s="73">
        <v>1.6</v>
      </c>
      <c r="J8" s="73">
        <v>3.1</v>
      </c>
      <c r="K8" s="73">
        <v>3.1</v>
      </c>
      <c r="M8" s="73" t="s">
        <v>198</v>
      </c>
      <c r="N8" s="73">
        <v>2.1</v>
      </c>
      <c r="O8" s="73">
        <v>7.5</v>
      </c>
    </row>
    <row r="9" spans="1:17" x14ac:dyDescent="0.25">
      <c r="A9" s="74">
        <v>41016</v>
      </c>
      <c r="B9" s="73">
        <v>3.1</v>
      </c>
      <c r="C9" s="73">
        <v>3.2</v>
      </c>
      <c r="D9" s="73">
        <v>2</v>
      </c>
      <c r="E9" s="73">
        <v>2.9</v>
      </c>
      <c r="F9" s="73">
        <v>2.9</v>
      </c>
      <c r="G9" s="73">
        <v>2.8</v>
      </c>
      <c r="H9" s="73">
        <v>3.4</v>
      </c>
      <c r="I9" s="73">
        <v>1.8</v>
      </c>
      <c r="J9" s="73" t="s">
        <v>198</v>
      </c>
      <c r="K9" s="73" t="s">
        <v>198</v>
      </c>
      <c r="L9" s="73">
        <v>2.2999999999999998</v>
      </c>
      <c r="M9" s="73" t="s">
        <v>198</v>
      </c>
      <c r="O9" s="73">
        <v>4.9000000000000004</v>
      </c>
      <c r="P9" s="75"/>
      <c r="Q9" s="75"/>
    </row>
    <row r="10" spans="1:17" x14ac:dyDescent="0.25">
      <c r="A10" s="74">
        <v>41092</v>
      </c>
      <c r="B10" s="73">
        <f>112/(2.54*12)</f>
        <v>3.674540682414698</v>
      </c>
      <c r="C10" s="73">
        <f>102/(2.54*12)</f>
        <v>3.3464566929133857</v>
      </c>
      <c r="D10" s="73" t="s">
        <v>198</v>
      </c>
      <c r="E10" s="73" t="s">
        <v>198</v>
      </c>
      <c r="F10" s="73">
        <f>95/(2.54*12)</f>
        <v>3.1167979002624673</v>
      </c>
      <c r="G10" s="73">
        <f>100/(2.54*12)</f>
        <v>3.2808398950131235</v>
      </c>
      <c r="H10" s="73" t="s">
        <v>198</v>
      </c>
      <c r="I10" s="73">
        <f>100/(2.54*12)</f>
        <v>3.2808398950131235</v>
      </c>
      <c r="K10" s="73" t="s">
        <v>198</v>
      </c>
      <c r="L10" s="76" t="s">
        <v>198</v>
      </c>
      <c r="M10" s="73" t="s">
        <v>198</v>
      </c>
      <c r="N10" s="73">
        <v>5.8070866141732287</v>
      </c>
      <c r="O10" s="73">
        <v>7.3818897637795278</v>
      </c>
    </row>
    <row r="11" spans="1:17" x14ac:dyDescent="0.25">
      <c r="A11" s="74">
        <v>41123</v>
      </c>
      <c r="B11" s="73" t="s">
        <v>198</v>
      </c>
      <c r="C11" s="73" t="s">
        <v>198</v>
      </c>
      <c r="D11" s="73" t="s">
        <v>198</v>
      </c>
      <c r="E11" s="73" t="s">
        <v>198</v>
      </c>
      <c r="F11" s="73" t="s">
        <v>198</v>
      </c>
      <c r="G11" s="73" t="s">
        <v>198</v>
      </c>
      <c r="H11" s="73" t="s">
        <v>198</v>
      </c>
      <c r="I11" s="73" t="s">
        <v>198</v>
      </c>
      <c r="J11" s="73" t="s">
        <v>198</v>
      </c>
      <c r="K11" s="73" t="s">
        <v>198</v>
      </c>
      <c r="L11" s="73" t="s">
        <v>198</v>
      </c>
      <c r="M11" s="73" t="s">
        <v>198</v>
      </c>
      <c r="N11" s="73" t="s">
        <v>198</v>
      </c>
      <c r="O11" s="73" t="s">
        <v>198</v>
      </c>
    </row>
    <row r="12" spans="1:17" ht="15" customHeight="1" x14ac:dyDescent="0.25">
      <c r="A12" s="74">
        <v>41227</v>
      </c>
      <c r="B12" s="73">
        <v>3.65</v>
      </c>
      <c r="C12" s="73" t="s">
        <v>198</v>
      </c>
      <c r="D12" s="73">
        <v>1.9</v>
      </c>
      <c r="E12" s="73" t="s">
        <v>198</v>
      </c>
      <c r="F12" s="73">
        <v>3.5</v>
      </c>
      <c r="G12" s="73">
        <v>3.35</v>
      </c>
      <c r="H12" s="77"/>
      <c r="I12" s="73">
        <v>3.05</v>
      </c>
      <c r="J12" s="73" t="s">
        <v>198</v>
      </c>
      <c r="K12" s="77"/>
      <c r="L12" s="73">
        <v>2.75</v>
      </c>
      <c r="M12" s="73" t="s">
        <v>198</v>
      </c>
      <c r="N12" s="73">
        <v>4</v>
      </c>
      <c r="O12" s="73">
        <v>7.85</v>
      </c>
      <c r="Q12" s="73">
        <f>3.36-1.51</f>
        <v>1.8499999999999999</v>
      </c>
    </row>
    <row r="13" spans="1:17" x14ac:dyDescent="0.25">
      <c r="A13" s="74">
        <v>41248</v>
      </c>
      <c r="B13" s="73">
        <v>2.9</v>
      </c>
      <c r="C13" s="73">
        <v>3.6</v>
      </c>
      <c r="D13" s="73">
        <v>1.25</v>
      </c>
      <c r="E13" s="73">
        <v>3.75</v>
      </c>
      <c r="F13" s="73">
        <v>2.6</v>
      </c>
      <c r="G13" s="73">
        <v>2.6</v>
      </c>
      <c r="I13" s="73">
        <v>2</v>
      </c>
      <c r="L13" s="73">
        <v>1.7</v>
      </c>
      <c r="N13" s="73">
        <v>2.6</v>
      </c>
      <c r="O13" s="73">
        <f>81/12</f>
        <v>6.75</v>
      </c>
    </row>
    <row r="14" spans="1:17" x14ac:dyDescent="0.25">
      <c r="A14" s="74">
        <v>41277</v>
      </c>
      <c r="B14" s="73">
        <v>4.0999999999999996</v>
      </c>
      <c r="D14" s="73">
        <v>2.5</v>
      </c>
      <c r="E14" s="73" t="s">
        <v>198</v>
      </c>
      <c r="F14" s="73">
        <v>3.4</v>
      </c>
      <c r="G14" s="73">
        <v>3.2</v>
      </c>
      <c r="I14" s="73">
        <v>3.1</v>
      </c>
      <c r="J14" s="73" t="s">
        <v>198</v>
      </c>
      <c r="L14" s="73">
        <v>2.8</v>
      </c>
      <c r="M14" s="73" t="s">
        <v>198</v>
      </c>
      <c r="N14" s="73">
        <v>3.9</v>
      </c>
      <c r="O14" s="73">
        <v>7.3</v>
      </c>
    </row>
    <row r="15" spans="1:17" x14ac:dyDescent="0.25">
      <c r="A15" s="74">
        <v>41284</v>
      </c>
      <c r="B15" s="73">
        <v>3</v>
      </c>
      <c r="C15" s="73">
        <v>3.4</v>
      </c>
      <c r="D15" s="73">
        <v>1.25</v>
      </c>
      <c r="E15" s="73">
        <v>3.9</v>
      </c>
      <c r="F15" s="73">
        <v>2.9</v>
      </c>
      <c r="G15" s="73">
        <v>2.6</v>
      </c>
      <c r="I15" s="73">
        <v>2.1</v>
      </c>
      <c r="J15" s="73">
        <v>3.7</v>
      </c>
      <c r="L15" s="73">
        <v>2</v>
      </c>
      <c r="M15" s="73" t="s">
        <v>198</v>
      </c>
      <c r="N15" s="73">
        <v>3.6</v>
      </c>
      <c r="O15" s="73">
        <v>8</v>
      </c>
    </row>
    <row r="16" spans="1:17" x14ac:dyDescent="0.25">
      <c r="A16" s="74">
        <v>41305</v>
      </c>
      <c r="B16" s="73">
        <v>2.63</v>
      </c>
      <c r="C16" s="73">
        <v>2.27</v>
      </c>
      <c r="D16" s="76">
        <v>0.9</v>
      </c>
      <c r="E16" s="73">
        <v>2.82</v>
      </c>
      <c r="F16" s="73">
        <v>2.35</v>
      </c>
      <c r="G16" s="73">
        <v>1.71</v>
      </c>
      <c r="I16" s="73">
        <v>1.75</v>
      </c>
      <c r="J16" s="73">
        <v>2.85</v>
      </c>
      <c r="L16" s="73">
        <v>1.85</v>
      </c>
      <c r="M16" s="73" t="s">
        <v>198</v>
      </c>
      <c r="N16" s="73">
        <v>2.4700000000000002</v>
      </c>
      <c r="O16" s="73">
        <v>4.9000000000000004</v>
      </c>
    </row>
    <row r="17" spans="1:32" x14ac:dyDescent="0.25">
      <c r="A17" s="74">
        <v>41310</v>
      </c>
      <c r="B17" s="73">
        <v>2.87</v>
      </c>
      <c r="C17" s="73">
        <v>2.75</v>
      </c>
      <c r="D17" s="73">
        <v>1.23</v>
      </c>
      <c r="E17" s="73">
        <v>2.29</v>
      </c>
      <c r="F17" s="73">
        <v>2.57</v>
      </c>
      <c r="G17" s="73">
        <v>2.1</v>
      </c>
      <c r="I17" s="73">
        <v>1.7</v>
      </c>
      <c r="J17" s="73">
        <v>3.4</v>
      </c>
      <c r="L17" s="73">
        <v>2.15</v>
      </c>
      <c r="M17" s="73">
        <v>4.1500000000000004</v>
      </c>
      <c r="N17" s="73">
        <v>2.4500000000000002</v>
      </c>
      <c r="O17" s="73">
        <v>4.3</v>
      </c>
    </row>
    <row r="18" spans="1:32" x14ac:dyDescent="0.25">
      <c r="A18" s="74">
        <v>41317</v>
      </c>
      <c r="B18" s="73">
        <v>2.9</v>
      </c>
      <c r="C18" s="73">
        <v>3</v>
      </c>
      <c r="D18" s="73">
        <v>1.32</v>
      </c>
      <c r="E18" s="73">
        <v>2.69</v>
      </c>
      <c r="F18" s="73">
        <v>2.68</v>
      </c>
      <c r="G18" s="73">
        <v>2.29</v>
      </c>
      <c r="I18" s="73">
        <v>1.68</v>
      </c>
      <c r="J18" s="73">
        <v>3.67</v>
      </c>
      <c r="L18" s="73">
        <v>2.0699999999999998</v>
      </c>
      <c r="M18" s="73" t="s">
        <v>198</v>
      </c>
      <c r="N18" s="73">
        <v>2.5299999999999998</v>
      </c>
      <c r="O18" s="73">
        <v>4.67</v>
      </c>
    </row>
    <row r="19" spans="1:32" x14ac:dyDescent="0.25">
      <c r="A19" s="74">
        <v>41337</v>
      </c>
      <c r="B19" s="73">
        <v>2.86</v>
      </c>
      <c r="C19" s="73">
        <v>2.64</v>
      </c>
      <c r="D19" s="73">
        <v>1.58</v>
      </c>
      <c r="E19" s="73">
        <v>3.15</v>
      </c>
      <c r="F19" s="73">
        <v>2.56</v>
      </c>
      <c r="G19" s="73">
        <v>2.33</v>
      </c>
      <c r="I19" s="73">
        <v>1.93</v>
      </c>
      <c r="J19" s="73" t="s">
        <v>198</v>
      </c>
      <c r="L19" s="73">
        <v>2.4</v>
      </c>
      <c r="M19" s="73" t="s">
        <v>198</v>
      </c>
      <c r="N19" s="73">
        <v>2.63</v>
      </c>
      <c r="O19" s="73">
        <v>5.13</v>
      </c>
    </row>
    <row r="20" spans="1:32" x14ac:dyDescent="0.25">
      <c r="A20" s="74">
        <v>41360</v>
      </c>
      <c r="B20" s="73">
        <v>3.81</v>
      </c>
      <c r="C20" s="73">
        <v>3.36</v>
      </c>
      <c r="D20" s="73" t="s">
        <v>198</v>
      </c>
      <c r="E20" s="73">
        <v>4.0999999999999996</v>
      </c>
      <c r="F20" s="73">
        <v>3.45</v>
      </c>
      <c r="G20" s="73">
        <v>3.27</v>
      </c>
      <c r="I20" s="73">
        <v>3.22</v>
      </c>
      <c r="J20" s="73" t="s">
        <v>198</v>
      </c>
      <c r="L20" s="73">
        <v>2.98</v>
      </c>
      <c r="M20" s="73" t="s">
        <v>198</v>
      </c>
      <c r="N20" s="73">
        <v>3.83</v>
      </c>
      <c r="O20" s="73">
        <v>5.65</v>
      </c>
    </row>
    <row r="21" spans="1:32" x14ac:dyDescent="0.25">
      <c r="A21" s="74">
        <v>41646</v>
      </c>
      <c r="B21" s="73" t="s">
        <v>198</v>
      </c>
      <c r="C21" s="73" t="s">
        <v>198</v>
      </c>
      <c r="D21" s="73" t="s">
        <v>198</v>
      </c>
      <c r="E21" s="73" t="s">
        <v>198</v>
      </c>
      <c r="F21" s="73" t="s">
        <v>198</v>
      </c>
      <c r="G21" s="73" t="s">
        <v>198</v>
      </c>
      <c r="I21" s="73" t="s">
        <v>198</v>
      </c>
      <c r="J21" s="73" t="s">
        <v>198</v>
      </c>
      <c r="L21" s="73" t="s">
        <v>198</v>
      </c>
      <c r="M21" s="73" t="s">
        <v>198</v>
      </c>
      <c r="N21" s="73">
        <v>7.4</v>
      </c>
      <c r="O21" s="73" t="s">
        <v>198</v>
      </c>
    </row>
    <row r="22" spans="1:32" x14ac:dyDescent="0.25">
      <c r="A22" s="74">
        <v>41650</v>
      </c>
      <c r="B22" s="73" t="s">
        <v>198</v>
      </c>
      <c r="C22" s="73" t="s">
        <v>198</v>
      </c>
      <c r="D22" s="73" t="s">
        <v>198</v>
      </c>
      <c r="E22" s="73" t="s">
        <v>198</v>
      </c>
      <c r="F22" s="73" t="s">
        <v>198</v>
      </c>
      <c r="G22" s="73" t="s">
        <v>198</v>
      </c>
      <c r="H22" s="73" t="s">
        <v>198</v>
      </c>
      <c r="I22" s="73" t="s">
        <v>198</v>
      </c>
      <c r="J22" s="73" t="s">
        <v>198</v>
      </c>
      <c r="K22" s="73" t="s">
        <v>198</v>
      </c>
      <c r="L22" s="73" t="s">
        <v>198</v>
      </c>
      <c r="M22" s="73" t="s">
        <v>198</v>
      </c>
      <c r="N22" s="73" t="s">
        <v>198</v>
      </c>
      <c r="O22" s="73" t="s">
        <v>198</v>
      </c>
    </row>
    <row r="23" spans="1:32" x14ac:dyDescent="0.25">
      <c r="A23" s="74">
        <v>41653</v>
      </c>
      <c r="B23" s="73">
        <v>3.8</v>
      </c>
      <c r="D23" s="73">
        <v>2.2000000000000002</v>
      </c>
      <c r="F23" s="73">
        <v>4.16</v>
      </c>
      <c r="G23" s="73">
        <v>3.15</v>
      </c>
      <c r="H23" s="73">
        <v>3.22</v>
      </c>
      <c r="I23" s="73">
        <v>3.45</v>
      </c>
      <c r="L23" s="73">
        <v>3.1</v>
      </c>
      <c r="O23" s="73">
        <v>7.6</v>
      </c>
    </row>
    <row r="24" spans="1:32" x14ac:dyDescent="0.25">
      <c r="A24" s="74">
        <v>41670</v>
      </c>
      <c r="B24" s="73">
        <v>3.4</v>
      </c>
      <c r="D24" s="73">
        <v>1.9</v>
      </c>
      <c r="E24" s="73" t="s">
        <v>198</v>
      </c>
      <c r="G24" s="73">
        <v>3.45</v>
      </c>
      <c r="J24" s="73" t="s">
        <v>198</v>
      </c>
      <c r="K24" s="73" t="s">
        <v>198</v>
      </c>
      <c r="L24" s="73">
        <v>2.93</v>
      </c>
      <c r="M24" s="73" t="s">
        <v>198</v>
      </c>
      <c r="N24" s="73">
        <v>7.8</v>
      </c>
      <c r="O24" s="73">
        <v>7.41</v>
      </c>
    </row>
    <row r="25" spans="1:32" x14ac:dyDescent="0.25">
      <c r="A25" s="74">
        <v>41681</v>
      </c>
      <c r="B25" s="73">
        <v>3.3</v>
      </c>
      <c r="C25" s="73" t="s">
        <v>198</v>
      </c>
      <c r="D25" s="73">
        <v>2.06</v>
      </c>
      <c r="E25" s="73">
        <v>4.26</v>
      </c>
      <c r="F25" s="73" t="s">
        <v>198</v>
      </c>
      <c r="G25" s="73">
        <v>3.29</v>
      </c>
      <c r="H25" s="73">
        <v>3.5</v>
      </c>
      <c r="J25" s="73" t="s">
        <v>198</v>
      </c>
      <c r="K25" s="73" t="s">
        <v>198</v>
      </c>
      <c r="L25" s="73">
        <v>3.33</v>
      </c>
      <c r="M25" s="73" t="s">
        <v>198</v>
      </c>
      <c r="N25" s="73" t="s">
        <v>198</v>
      </c>
      <c r="O25" s="73">
        <v>8.1</v>
      </c>
    </row>
    <row r="26" spans="1:32" x14ac:dyDescent="0.25">
      <c r="A26" s="74">
        <v>41684</v>
      </c>
      <c r="B26" s="73">
        <v>3.17</v>
      </c>
      <c r="C26" s="73">
        <v>3.8</v>
      </c>
      <c r="D26" s="73">
        <v>1.1599999999999999</v>
      </c>
      <c r="E26" s="73">
        <v>4.24</v>
      </c>
      <c r="F26" s="73">
        <v>2.25</v>
      </c>
      <c r="G26" s="73">
        <v>2.94</v>
      </c>
      <c r="H26" s="73">
        <v>2.4500000000000002</v>
      </c>
      <c r="I26" s="73">
        <v>2.31</v>
      </c>
      <c r="J26" s="73" t="s">
        <v>198</v>
      </c>
      <c r="K26" s="73">
        <v>3.07</v>
      </c>
      <c r="L26" s="73">
        <v>1.98</v>
      </c>
      <c r="M26" s="73" t="s">
        <v>198</v>
      </c>
      <c r="N26" s="73">
        <v>7.55</v>
      </c>
      <c r="O26" s="73">
        <v>7</v>
      </c>
    </row>
    <row r="27" spans="1:32" x14ac:dyDescent="0.25">
      <c r="A27" s="74">
        <v>41691</v>
      </c>
      <c r="B27" s="73">
        <v>3.18</v>
      </c>
      <c r="C27" s="73">
        <v>3.21</v>
      </c>
      <c r="D27" s="73">
        <v>1.46</v>
      </c>
      <c r="E27" s="73" t="s">
        <v>198</v>
      </c>
      <c r="F27" s="73">
        <v>3.1</v>
      </c>
      <c r="G27" s="73">
        <v>2.82</v>
      </c>
      <c r="H27" s="73">
        <v>2.69</v>
      </c>
      <c r="I27" s="73">
        <v>2.31</v>
      </c>
      <c r="J27" s="73" t="s">
        <v>198</v>
      </c>
      <c r="K27" s="73">
        <v>3.4</v>
      </c>
      <c r="L27" s="73">
        <v>2.27</v>
      </c>
      <c r="M27" s="73" t="s">
        <v>198</v>
      </c>
      <c r="N27" s="73">
        <v>6.69</v>
      </c>
      <c r="O27" s="73">
        <v>7.8</v>
      </c>
    </row>
    <row r="28" spans="1:32" x14ac:dyDescent="0.25">
      <c r="A28" s="74">
        <v>41705</v>
      </c>
      <c r="B28" s="73">
        <v>2.62</v>
      </c>
      <c r="C28" s="73">
        <v>2.2999999999999998</v>
      </c>
      <c r="D28" s="73">
        <v>1.1200000000000001</v>
      </c>
      <c r="E28" s="73">
        <v>2.35</v>
      </c>
      <c r="F28" s="73">
        <v>1.9</v>
      </c>
      <c r="G28" s="73">
        <v>2.0699999999999998</v>
      </c>
      <c r="H28" s="73">
        <v>2.35</v>
      </c>
      <c r="I28" s="73">
        <v>2.02</v>
      </c>
      <c r="J28" s="73">
        <v>2.96</v>
      </c>
      <c r="K28" s="73">
        <v>2.4500000000000002</v>
      </c>
      <c r="L28" s="73">
        <v>1.95</v>
      </c>
      <c r="M28" s="73">
        <v>3.25</v>
      </c>
      <c r="N28" s="73">
        <v>6.85</v>
      </c>
      <c r="O28" s="73">
        <v>3.58</v>
      </c>
    </row>
    <row r="29" spans="1:32" x14ac:dyDescent="0.25">
      <c r="A29" s="74">
        <v>41712</v>
      </c>
      <c r="B29" s="73">
        <v>2.85</v>
      </c>
      <c r="C29" s="73">
        <v>3.16</v>
      </c>
      <c r="D29" s="73">
        <v>1.65</v>
      </c>
      <c r="E29" s="73">
        <v>2.64</v>
      </c>
      <c r="F29" s="73">
        <v>2.57</v>
      </c>
      <c r="G29" s="73">
        <v>2.75</v>
      </c>
      <c r="H29" s="73">
        <v>2.78</v>
      </c>
      <c r="I29" s="73">
        <v>2.23</v>
      </c>
      <c r="J29" s="73">
        <v>3.42</v>
      </c>
      <c r="K29" s="73">
        <v>2.94</v>
      </c>
      <c r="L29" s="73">
        <v>2.31</v>
      </c>
      <c r="M29" s="73">
        <v>3.58</v>
      </c>
      <c r="N29" s="73">
        <v>7.71</v>
      </c>
      <c r="O29" s="73">
        <v>3.87</v>
      </c>
    </row>
    <row r="30" spans="1:32" x14ac:dyDescent="0.25">
      <c r="A30" s="78" t="s">
        <v>199</v>
      </c>
      <c r="B30" s="73">
        <v>2</v>
      </c>
      <c r="C30" s="73">
        <v>3</v>
      </c>
      <c r="D30" s="73">
        <v>4</v>
      </c>
      <c r="E30" s="73">
        <v>5</v>
      </c>
      <c r="F30" s="73">
        <v>6</v>
      </c>
      <c r="G30" s="73">
        <v>7</v>
      </c>
      <c r="H30" s="73">
        <v>8</v>
      </c>
      <c r="I30" s="73">
        <v>9</v>
      </c>
      <c r="J30" s="73">
        <v>10</v>
      </c>
      <c r="K30" s="73">
        <v>11</v>
      </c>
      <c r="L30" s="73">
        <v>12</v>
      </c>
      <c r="M30" s="73">
        <v>13</v>
      </c>
      <c r="R30" s="78" t="s">
        <v>200</v>
      </c>
      <c r="S30" s="73">
        <v>2</v>
      </c>
      <c r="T30" s="73">
        <v>3</v>
      </c>
      <c r="U30" s="73">
        <v>4</v>
      </c>
      <c r="V30" s="73">
        <v>5</v>
      </c>
      <c r="W30" s="73">
        <v>6</v>
      </c>
      <c r="X30" s="73">
        <v>7</v>
      </c>
      <c r="Y30" s="73">
        <v>8</v>
      </c>
      <c r="Z30" s="73">
        <v>9</v>
      </c>
      <c r="AA30" s="73">
        <v>10</v>
      </c>
      <c r="AB30" s="73">
        <v>11</v>
      </c>
      <c r="AC30" s="73">
        <v>12</v>
      </c>
      <c r="AD30" s="73">
        <v>13</v>
      </c>
    </row>
    <row r="31" spans="1:32" x14ac:dyDescent="0.25">
      <c r="A31" s="79" t="s">
        <v>2</v>
      </c>
      <c r="B31" s="79" t="s">
        <v>16</v>
      </c>
      <c r="C31" s="79" t="s">
        <v>17</v>
      </c>
      <c r="D31" s="79" t="s">
        <v>18</v>
      </c>
      <c r="E31" s="79" t="s">
        <v>19</v>
      </c>
      <c r="F31" s="79" t="s">
        <v>20</v>
      </c>
      <c r="G31" s="79" t="s">
        <v>21</v>
      </c>
      <c r="H31" s="79" t="s">
        <v>22</v>
      </c>
      <c r="I31" s="79" t="s">
        <v>23</v>
      </c>
      <c r="J31" s="79" t="s">
        <v>24</v>
      </c>
      <c r="K31" s="79" t="s">
        <v>25</v>
      </c>
      <c r="L31" s="79" t="s">
        <v>27</v>
      </c>
      <c r="M31" s="79" t="s">
        <v>26</v>
      </c>
      <c r="N31" s="79" t="s">
        <v>196</v>
      </c>
      <c r="O31" s="79" t="s">
        <v>197</v>
      </c>
      <c r="P31" s="79"/>
      <c r="R31" s="79" t="s">
        <v>2</v>
      </c>
      <c r="S31" s="79" t="s">
        <v>16</v>
      </c>
      <c r="T31" s="80" t="s">
        <v>17</v>
      </c>
      <c r="U31" s="79" t="s">
        <v>18</v>
      </c>
      <c r="V31" s="79" t="s">
        <v>19</v>
      </c>
      <c r="W31" s="79" t="s">
        <v>20</v>
      </c>
      <c r="X31" s="79" t="s">
        <v>21</v>
      </c>
      <c r="Y31" s="80" t="s">
        <v>22</v>
      </c>
      <c r="Z31" s="79" t="s">
        <v>23</v>
      </c>
      <c r="AA31" s="79" t="s">
        <v>24</v>
      </c>
      <c r="AB31" s="80" t="s">
        <v>25</v>
      </c>
      <c r="AC31" s="79" t="s">
        <v>27</v>
      </c>
      <c r="AD31" s="80" t="s">
        <v>26</v>
      </c>
      <c r="AE31" s="79" t="s">
        <v>196</v>
      </c>
      <c r="AF31" s="79" t="s">
        <v>197</v>
      </c>
    </row>
    <row r="32" spans="1:32" x14ac:dyDescent="0.25">
      <c r="A32" s="81">
        <v>40918</v>
      </c>
      <c r="B32" s="79">
        <f t="shared" ref="B32:O38" si="0">IF(B3="","",IF(B3="dry",VLOOKUP($A32,$A$131:$M$157,B$30,FALSE),B3-VLOOKUP($A32,$A$103:$M$129,B$30,FALSE)))</f>
        <v>2.5399999999999996</v>
      </c>
      <c r="C32" s="79">
        <f t="shared" si="0"/>
        <v>1.4700000000000002</v>
      </c>
      <c r="D32" s="79">
        <f t="shared" si="0"/>
        <v>1.9100000000000001</v>
      </c>
      <c r="E32" s="79">
        <f t="shared" si="0"/>
        <v>2.4699999999999998</v>
      </c>
      <c r="F32" s="79">
        <f t="shared" si="0"/>
        <v>2.9799999999999995</v>
      </c>
      <c r="G32" s="79">
        <f t="shared" si="0"/>
        <v>2.73</v>
      </c>
      <c r="H32" s="79">
        <f t="shared" si="0"/>
        <v>1.6400000000000001</v>
      </c>
      <c r="I32" s="79">
        <f t="shared" si="0"/>
        <v>2.0299999999999998</v>
      </c>
      <c r="J32" s="79">
        <f t="shared" si="0"/>
        <v>1.7600000000000002</v>
      </c>
      <c r="K32" s="79">
        <f t="shared" si="0"/>
        <v>1.9499999999999997</v>
      </c>
      <c r="L32" s="79">
        <f t="shared" si="0"/>
        <v>2.04</v>
      </c>
      <c r="M32" s="79">
        <f t="shared" si="0"/>
        <v>1.98</v>
      </c>
      <c r="N32" s="79" t="str">
        <f t="shared" si="0"/>
        <v/>
      </c>
      <c r="O32" s="79" t="str">
        <f t="shared" si="0"/>
        <v/>
      </c>
      <c r="P32" s="79"/>
      <c r="R32" s="81">
        <v>40918</v>
      </c>
      <c r="S32" s="79">
        <f t="shared" ref="S32:AD38" si="1">IF(B3="","",IF(B3="dry",0,VLOOKUP($R32,$A$131:$M$157,S$30,FALSE)-B32))</f>
        <v>0</v>
      </c>
      <c r="T32" s="79">
        <f t="shared" si="1"/>
        <v>0</v>
      </c>
      <c r="U32" s="79">
        <f t="shared" si="1"/>
        <v>0</v>
      </c>
      <c r="V32" s="79">
        <f t="shared" si="1"/>
        <v>0</v>
      </c>
      <c r="W32" s="79">
        <f t="shared" si="1"/>
        <v>0</v>
      </c>
      <c r="X32" s="79">
        <f t="shared" si="1"/>
        <v>0</v>
      </c>
      <c r="Y32" s="79">
        <f t="shared" si="1"/>
        <v>0</v>
      </c>
      <c r="Z32" s="79">
        <f t="shared" si="1"/>
        <v>0</v>
      </c>
      <c r="AA32" s="79">
        <f t="shared" si="1"/>
        <v>0</v>
      </c>
      <c r="AB32" s="79">
        <f t="shared" si="1"/>
        <v>0</v>
      </c>
      <c r="AC32" s="79">
        <f t="shared" si="1"/>
        <v>0</v>
      </c>
      <c r="AD32" s="79">
        <f t="shared" si="1"/>
        <v>0</v>
      </c>
      <c r="AE32" s="79" t="str">
        <f t="shared" ref="AE32:AF38" si="2">IF(N3="","",IF(N3="dry","dry",ROUND(N$64-N3,2)))</f>
        <v/>
      </c>
      <c r="AF32" s="79" t="str">
        <f t="shared" si="2"/>
        <v/>
      </c>
    </row>
    <row r="33" spans="1:32" x14ac:dyDescent="0.25">
      <c r="A33" s="81">
        <v>40920</v>
      </c>
      <c r="B33" s="79">
        <f t="shared" ref="B33:B38" si="3">IF($B4="","",IF($B4="dry",VLOOKUP($A33,$A$131:$M$157,B$30,FALSE),$B4-VLOOKUP($A33,$A$103:$M$129,B$30,FALSE)))</f>
        <v>2.5399999999999996</v>
      </c>
      <c r="C33" s="79" t="str">
        <f t="shared" si="0"/>
        <v/>
      </c>
      <c r="D33" s="79" t="str">
        <f t="shared" si="0"/>
        <v/>
      </c>
      <c r="E33" s="79" t="str">
        <f t="shared" si="0"/>
        <v/>
      </c>
      <c r="F33" s="79" t="str">
        <f t="shared" si="0"/>
        <v/>
      </c>
      <c r="G33" s="79">
        <f t="shared" si="0"/>
        <v>2.73</v>
      </c>
      <c r="H33" s="79">
        <f t="shared" si="0"/>
        <v>1.6400000000000001</v>
      </c>
      <c r="I33" s="79" t="str">
        <f t="shared" si="0"/>
        <v/>
      </c>
      <c r="J33" s="79">
        <f t="shared" si="0"/>
        <v>1.7600000000000002</v>
      </c>
      <c r="K33" s="79">
        <f t="shared" si="0"/>
        <v>1.9499999999999997</v>
      </c>
      <c r="L33" s="79">
        <f t="shared" si="0"/>
        <v>2.04</v>
      </c>
      <c r="M33" s="79">
        <f t="shared" si="0"/>
        <v>1.98</v>
      </c>
      <c r="N33" s="79" t="str">
        <f t="shared" ref="N33:O38" si="4">IF(N4="","",IF(N4="dry",ROUND(N$64-N$68,2),ROUND(N4-N$68,2)))</f>
        <v/>
      </c>
      <c r="O33" s="79" t="str">
        <f t="shared" si="4"/>
        <v/>
      </c>
      <c r="P33" s="79"/>
      <c r="R33" s="81">
        <v>40920</v>
      </c>
      <c r="S33" s="79">
        <f t="shared" ref="S33:S38" si="5">IF(B4="","",IF(B4="dry",0,VLOOKUP(R33,$A$131:$M$157,S$30,FALSE)-B33))</f>
        <v>0</v>
      </c>
      <c r="T33" s="79" t="str">
        <f t="shared" si="1"/>
        <v/>
      </c>
      <c r="U33" s="79" t="str">
        <f t="shared" si="1"/>
        <v/>
      </c>
      <c r="V33" s="79" t="str">
        <f t="shared" si="1"/>
        <v/>
      </c>
      <c r="W33" s="79" t="str">
        <f t="shared" si="1"/>
        <v/>
      </c>
      <c r="X33" s="79">
        <f t="shared" si="1"/>
        <v>0</v>
      </c>
      <c r="Y33" s="79">
        <f t="shared" si="1"/>
        <v>0</v>
      </c>
      <c r="Z33" s="79" t="str">
        <f t="shared" si="1"/>
        <v/>
      </c>
      <c r="AA33" s="79">
        <f t="shared" si="1"/>
        <v>0</v>
      </c>
      <c r="AB33" s="79">
        <f t="shared" si="1"/>
        <v>0</v>
      </c>
      <c r="AC33" s="79">
        <f t="shared" si="1"/>
        <v>0</v>
      </c>
      <c r="AD33" s="79">
        <f t="shared" si="1"/>
        <v>0</v>
      </c>
      <c r="AE33" s="79" t="str">
        <f t="shared" si="2"/>
        <v/>
      </c>
      <c r="AF33" s="79" t="str">
        <f t="shared" si="2"/>
        <v/>
      </c>
    </row>
    <row r="34" spans="1:32" x14ac:dyDescent="0.25">
      <c r="A34" s="81">
        <v>40941</v>
      </c>
      <c r="B34" s="79">
        <f t="shared" si="3"/>
        <v>1.2200000000000002</v>
      </c>
      <c r="C34" s="79">
        <f t="shared" si="0"/>
        <v>1.1800000000000002</v>
      </c>
      <c r="D34" s="79">
        <f t="shared" si="0"/>
        <v>0.51999999999999991</v>
      </c>
      <c r="E34" s="79">
        <f t="shared" si="0"/>
        <v>0.22999999999999998</v>
      </c>
      <c r="F34" s="79">
        <f t="shared" si="0"/>
        <v>1.3699999999999999</v>
      </c>
      <c r="G34" s="79">
        <f t="shared" si="0"/>
        <v>1.5500000000000003</v>
      </c>
      <c r="H34" s="79">
        <f t="shared" si="0"/>
        <v>0.58000000000000007</v>
      </c>
      <c r="I34" s="79">
        <f t="shared" si="0"/>
        <v>0</v>
      </c>
      <c r="J34" s="79">
        <f t="shared" si="0"/>
        <v>1.7600000000000002</v>
      </c>
      <c r="K34" s="79">
        <f t="shared" si="0"/>
        <v>1.9499999999999997</v>
      </c>
      <c r="L34" s="79">
        <f t="shared" si="0"/>
        <v>0.6399999999999999</v>
      </c>
      <c r="M34" s="79">
        <f t="shared" si="0"/>
        <v>1.98</v>
      </c>
      <c r="N34" s="79" t="str">
        <f t="shared" si="4"/>
        <v/>
      </c>
      <c r="O34" s="79" t="str">
        <f t="shared" si="4"/>
        <v/>
      </c>
      <c r="P34" s="79"/>
      <c r="R34" s="81">
        <v>40941</v>
      </c>
      <c r="S34" s="79">
        <f t="shared" si="5"/>
        <v>1.3199999999999994</v>
      </c>
      <c r="T34" s="79">
        <f t="shared" si="1"/>
        <v>0.29000000000000004</v>
      </c>
      <c r="U34" s="79">
        <f t="shared" si="1"/>
        <v>1.3900000000000001</v>
      </c>
      <c r="V34" s="79">
        <f t="shared" si="1"/>
        <v>2.2399999999999998</v>
      </c>
      <c r="W34" s="79">
        <f t="shared" si="1"/>
        <v>1.6099999999999997</v>
      </c>
      <c r="X34" s="79">
        <f t="shared" si="1"/>
        <v>1.1799999999999997</v>
      </c>
      <c r="Y34" s="79">
        <f t="shared" si="1"/>
        <v>1.06</v>
      </c>
      <c r="Z34" s="79">
        <f t="shared" si="1"/>
        <v>2.0299999999999998</v>
      </c>
      <c r="AA34" s="79">
        <f t="shared" si="1"/>
        <v>0</v>
      </c>
      <c r="AB34" s="79">
        <f t="shared" si="1"/>
        <v>0</v>
      </c>
      <c r="AC34" s="79">
        <f t="shared" si="1"/>
        <v>1.4000000000000001</v>
      </c>
      <c r="AD34" s="79">
        <f t="shared" si="1"/>
        <v>0</v>
      </c>
      <c r="AE34" s="79" t="str">
        <f t="shared" si="2"/>
        <v/>
      </c>
      <c r="AF34" s="79" t="str">
        <f t="shared" si="2"/>
        <v/>
      </c>
    </row>
    <row r="35" spans="1:32" x14ac:dyDescent="0.25">
      <c r="A35" s="81">
        <v>40962</v>
      </c>
      <c r="B35" s="79">
        <f t="shared" si="3"/>
        <v>1.17</v>
      </c>
      <c r="C35" s="79">
        <f t="shared" si="0"/>
        <v>1.08</v>
      </c>
      <c r="D35" s="79">
        <f t="shared" si="0"/>
        <v>0.87</v>
      </c>
      <c r="E35" s="79">
        <f t="shared" si="0"/>
        <v>0.41000000000000014</v>
      </c>
      <c r="F35" s="79">
        <f t="shared" si="0"/>
        <v>1.2699999999999998</v>
      </c>
      <c r="G35" s="79">
        <f t="shared" si="0"/>
        <v>1.4300000000000002</v>
      </c>
      <c r="H35" s="79">
        <f t="shared" si="0"/>
        <v>1.02</v>
      </c>
      <c r="I35" s="79">
        <f t="shared" si="0"/>
        <v>6.0000000000000053E-2</v>
      </c>
      <c r="J35" s="79">
        <f t="shared" si="0"/>
        <v>1.7600000000000002</v>
      </c>
      <c r="K35" s="79">
        <f t="shared" si="0"/>
        <v>1.9499999999999997</v>
      </c>
      <c r="L35" s="79" t="str">
        <f t="shared" si="0"/>
        <v/>
      </c>
      <c r="M35" s="79">
        <f t="shared" si="0"/>
        <v>1.98</v>
      </c>
      <c r="N35" s="79" t="str">
        <f t="shared" si="4"/>
        <v/>
      </c>
      <c r="O35" s="79" t="str">
        <f t="shared" si="4"/>
        <v/>
      </c>
      <c r="P35" s="79"/>
      <c r="R35" s="81">
        <v>40962</v>
      </c>
      <c r="S35" s="79">
        <f t="shared" si="5"/>
        <v>1.3699999999999997</v>
      </c>
      <c r="T35" s="79">
        <f t="shared" si="1"/>
        <v>0.39000000000000012</v>
      </c>
      <c r="U35" s="79">
        <f t="shared" si="1"/>
        <v>1.04</v>
      </c>
      <c r="V35" s="79">
        <f t="shared" si="1"/>
        <v>2.0599999999999996</v>
      </c>
      <c r="W35" s="79">
        <f t="shared" si="1"/>
        <v>1.7099999999999997</v>
      </c>
      <c r="X35" s="79">
        <f t="shared" si="1"/>
        <v>1.2999999999999998</v>
      </c>
      <c r="Y35" s="79">
        <f t="shared" si="1"/>
        <v>0.62000000000000011</v>
      </c>
      <c r="Z35" s="79">
        <f t="shared" si="1"/>
        <v>1.9699999999999998</v>
      </c>
      <c r="AA35" s="79">
        <f t="shared" si="1"/>
        <v>0</v>
      </c>
      <c r="AB35" s="79">
        <f t="shared" si="1"/>
        <v>0</v>
      </c>
      <c r="AC35" s="79" t="str">
        <f t="shared" si="1"/>
        <v/>
      </c>
      <c r="AD35" s="79">
        <f t="shared" si="1"/>
        <v>0</v>
      </c>
      <c r="AE35" s="79" t="str">
        <f t="shared" si="2"/>
        <v/>
      </c>
      <c r="AF35" s="79" t="str">
        <f t="shared" si="2"/>
        <v/>
      </c>
    </row>
    <row r="36" spans="1:32" x14ac:dyDescent="0.25">
      <c r="A36" s="81">
        <v>40963</v>
      </c>
      <c r="B36" s="79">
        <f t="shared" si="3"/>
        <v>1.1499999999999999</v>
      </c>
      <c r="C36" s="79">
        <f t="shared" si="0"/>
        <v>1.08</v>
      </c>
      <c r="D36" s="79">
        <f t="shared" si="0"/>
        <v>0.67</v>
      </c>
      <c r="E36" s="79">
        <f t="shared" si="0"/>
        <v>0.2799999999999998</v>
      </c>
      <c r="F36" s="79">
        <f t="shared" si="0"/>
        <v>1.2299999999999998</v>
      </c>
      <c r="G36" s="79">
        <f t="shared" si="0"/>
        <v>1.3399999999999999</v>
      </c>
      <c r="H36" s="79">
        <f t="shared" si="0"/>
        <v>0.87999999999999989</v>
      </c>
      <c r="I36" s="79">
        <f t="shared" si="0"/>
        <v>4.0000000000000036E-2</v>
      </c>
      <c r="J36" s="79">
        <f t="shared" si="0"/>
        <v>1.7600000000000002</v>
      </c>
      <c r="K36" s="79">
        <f t="shared" si="0"/>
        <v>1.9499999999999997</v>
      </c>
      <c r="L36" s="79">
        <f t="shared" si="0"/>
        <v>0.47</v>
      </c>
      <c r="M36" s="79">
        <f t="shared" si="0"/>
        <v>1.98</v>
      </c>
      <c r="N36" s="79">
        <f t="shared" si="4"/>
        <v>0.06</v>
      </c>
      <c r="O36" s="79">
        <f t="shared" si="4"/>
        <v>5.51</v>
      </c>
      <c r="P36" s="79"/>
      <c r="R36" s="81">
        <v>40963</v>
      </c>
      <c r="S36" s="79">
        <f t="shared" si="5"/>
        <v>1.3899999999999997</v>
      </c>
      <c r="T36" s="79">
        <f t="shared" si="1"/>
        <v>0.39000000000000012</v>
      </c>
      <c r="U36" s="79">
        <f t="shared" si="1"/>
        <v>1.2400000000000002</v>
      </c>
      <c r="V36" s="79">
        <f t="shared" si="1"/>
        <v>2.19</v>
      </c>
      <c r="W36" s="79">
        <f t="shared" si="1"/>
        <v>1.7499999999999998</v>
      </c>
      <c r="X36" s="79">
        <f t="shared" si="1"/>
        <v>1.3900000000000001</v>
      </c>
      <c r="Y36" s="79">
        <f t="shared" si="1"/>
        <v>0.76000000000000023</v>
      </c>
      <c r="Z36" s="79">
        <f t="shared" si="1"/>
        <v>1.9899999999999998</v>
      </c>
      <c r="AA36" s="79">
        <f t="shared" si="1"/>
        <v>0</v>
      </c>
      <c r="AB36" s="79">
        <f t="shared" si="1"/>
        <v>0</v>
      </c>
      <c r="AC36" s="79">
        <f t="shared" si="1"/>
        <v>1.57</v>
      </c>
      <c r="AD36" s="79">
        <f t="shared" si="1"/>
        <v>0</v>
      </c>
      <c r="AE36" s="79">
        <f t="shared" si="2"/>
        <v>5.7</v>
      </c>
      <c r="AF36" s="79">
        <f t="shared" si="2"/>
        <v>0.38</v>
      </c>
    </row>
    <row r="37" spans="1:32" x14ac:dyDescent="0.25">
      <c r="A37" s="81">
        <v>40990</v>
      </c>
      <c r="B37" s="79">
        <f t="shared" si="3"/>
        <v>0.66999999999999993</v>
      </c>
      <c r="C37" s="79">
        <f t="shared" si="0"/>
        <v>0.38000000000000012</v>
      </c>
      <c r="D37" s="79">
        <f t="shared" si="0"/>
        <v>0.47000000000000008</v>
      </c>
      <c r="E37" s="79">
        <f t="shared" si="0"/>
        <v>0.20999999999999996</v>
      </c>
      <c r="F37" s="79">
        <f t="shared" si="0"/>
        <v>0.36999999999999988</v>
      </c>
      <c r="G37" s="79">
        <f t="shared" si="0"/>
        <v>0.63000000000000012</v>
      </c>
      <c r="H37" s="79">
        <f t="shared" si="0"/>
        <v>1</v>
      </c>
      <c r="I37" s="79">
        <f t="shared" si="0"/>
        <v>6.0000000000000053E-2</v>
      </c>
      <c r="J37" s="79">
        <f t="shared" si="0"/>
        <v>1.2200000000000002</v>
      </c>
      <c r="K37" s="79">
        <f t="shared" si="0"/>
        <v>1</v>
      </c>
      <c r="L37" s="79" t="str">
        <f t="shared" si="0"/>
        <v/>
      </c>
      <c r="M37" s="79">
        <f t="shared" si="0"/>
        <v>1.98</v>
      </c>
      <c r="N37" s="79">
        <f t="shared" si="4"/>
        <v>-0.14000000000000001</v>
      </c>
      <c r="O37" s="79">
        <f t="shared" si="4"/>
        <v>5.09</v>
      </c>
      <c r="P37" s="79"/>
      <c r="R37" s="81">
        <v>40990</v>
      </c>
      <c r="S37" s="79">
        <f t="shared" si="5"/>
        <v>1.8699999999999997</v>
      </c>
      <c r="T37" s="79">
        <f t="shared" si="1"/>
        <v>1.95</v>
      </c>
      <c r="U37" s="79">
        <f t="shared" si="1"/>
        <v>1.44</v>
      </c>
      <c r="V37" s="79">
        <f t="shared" si="1"/>
        <v>2.2599999999999998</v>
      </c>
      <c r="W37" s="79">
        <f t="shared" si="1"/>
        <v>2.6099999999999994</v>
      </c>
      <c r="X37" s="79">
        <f t="shared" si="1"/>
        <v>2.0999999999999996</v>
      </c>
      <c r="Y37" s="79">
        <f t="shared" si="1"/>
        <v>0.64000000000000012</v>
      </c>
      <c r="Z37" s="79">
        <f t="shared" si="1"/>
        <v>1.9699999999999998</v>
      </c>
      <c r="AA37" s="79">
        <f t="shared" si="1"/>
        <v>0.54</v>
      </c>
      <c r="AB37" s="79">
        <f t="shared" si="1"/>
        <v>0.94999999999999973</v>
      </c>
      <c r="AC37" s="79" t="str">
        <f t="shared" si="1"/>
        <v/>
      </c>
      <c r="AD37" s="79">
        <f t="shared" si="1"/>
        <v>0</v>
      </c>
      <c r="AE37" s="79">
        <f t="shared" si="2"/>
        <v>5.9</v>
      </c>
      <c r="AF37" s="79">
        <f t="shared" si="2"/>
        <v>0.8</v>
      </c>
    </row>
    <row r="38" spans="1:32" x14ac:dyDescent="0.25">
      <c r="A38" s="81">
        <v>41016</v>
      </c>
      <c r="B38" s="79">
        <f t="shared" si="3"/>
        <v>1.37</v>
      </c>
      <c r="C38" s="79">
        <f t="shared" si="0"/>
        <v>1.7800000000000002</v>
      </c>
      <c r="D38" s="79">
        <f t="shared" si="0"/>
        <v>1.37</v>
      </c>
      <c r="E38" s="79">
        <f t="shared" si="0"/>
        <v>1.1099999999999999</v>
      </c>
      <c r="F38" s="79">
        <f t="shared" si="0"/>
        <v>1.8699999999999999</v>
      </c>
      <c r="G38" s="79">
        <f t="shared" si="0"/>
        <v>1.63</v>
      </c>
      <c r="H38" s="79">
        <f t="shared" si="0"/>
        <v>1.69</v>
      </c>
      <c r="I38" s="79">
        <f t="shared" si="0"/>
        <v>0.26</v>
      </c>
      <c r="J38" s="79">
        <f t="shared" si="0"/>
        <v>1.7600000000000002</v>
      </c>
      <c r="K38" s="79">
        <f t="shared" si="0"/>
        <v>1.9499999999999997</v>
      </c>
      <c r="L38" s="79">
        <f t="shared" si="0"/>
        <v>0.95999999999999974</v>
      </c>
      <c r="M38" s="79">
        <f t="shared" si="0"/>
        <v>1.98</v>
      </c>
      <c r="N38" s="79" t="str">
        <f t="shared" si="4"/>
        <v/>
      </c>
      <c r="O38" s="79">
        <f t="shared" si="4"/>
        <v>2.4900000000000002</v>
      </c>
      <c r="P38" s="79"/>
      <c r="R38" s="81">
        <v>41016</v>
      </c>
      <c r="S38" s="79">
        <f t="shared" si="5"/>
        <v>1.1699999999999995</v>
      </c>
      <c r="T38" s="79">
        <f t="shared" si="1"/>
        <v>0.54999999999999982</v>
      </c>
      <c r="U38" s="79">
        <f t="shared" si="1"/>
        <v>0.54</v>
      </c>
      <c r="V38" s="79">
        <f t="shared" si="1"/>
        <v>1.3599999999999999</v>
      </c>
      <c r="W38" s="79">
        <f t="shared" si="1"/>
        <v>1.1099999999999997</v>
      </c>
      <c r="X38" s="79">
        <f t="shared" si="1"/>
        <v>1.1000000000000001</v>
      </c>
      <c r="Y38" s="79">
        <f t="shared" si="1"/>
        <v>-4.9999999999999822E-2</v>
      </c>
      <c r="Z38" s="79">
        <f t="shared" si="1"/>
        <v>1.7699999999999998</v>
      </c>
      <c r="AA38" s="79">
        <f t="shared" si="1"/>
        <v>0</v>
      </c>
      <c r="AB38" s="79">
        <f t="shared" si="1"/>
        <v>0</v>
      </c>
      <c r="AC38" s="79">
        <f t="shared" si="1"/>
        <v>1.0800000000000003</v>
      </c>
      <c r="AD38" s="79">
        <f t="shared" si="1"/>
        <v>0</v>
      </c>
      <c r="AE38" s="79" t="str">
        <f t="shared" si="2"/>
        <v/>
      </c>
      <c r="AF38" s="79">
        <f t="shared" si="2"/>
        <v>3.4</v>
      </c>
    </row>
    <row r="39" spans="1:32" x14ac:dyDescent="0.25">
      <c r="A39" s="81">
        <v>41227</v>
      </c>
      <c r="B39" s="79">
        <f t="shared" ref="B39:B56" si="6">IF($B12="","",IF($B12="dry",VLOOKUP($A39,$A$131:$M$157,B$30,FALSE),$B12-VLOOKUP($A39,$A$103:$M$129,B$30,FALSE)))</f>
        <v>1.75</v>
      </c>
      <c r="C39" s="79">
        <f t="shared" ref="C39:M54" si="7">IF(C12="","",IF(C12="dry",VLOOKUP($A39,$A$131:$M$157,C$30,FALSE),C12-VLOOKUP($A39,$A$103:$M$129,C$30,FALSE)))</f>
        <v>2.2999999999999998</v>
      </c>
      <c r="D39" s="79">
        <f t="shared" si="7"/>
        <v>0.99999999999999989</v>
      </c>
      <c r="E39" s="79">
        <f t="shared" si="7"/>
        <v>2.2999999999999998</v>
      </c>
      <c r="F39" s="79">
        <f t="shared" si="7"/>
        <v>2.35</v>
      </c>
      <c r="G39" s="79">
        <f t="shared" si="7"/>
        <v>1.9000000000000001</v>
      </c>
      <c r="H39" s="79" t="str">
        <f t="shared" si="7"/>
        <v/>
      </c>
      <c r="I39" s="79">
        <f t="shared" si="7"/>
        <v>1.4</v>
      </c>
      <c r="J39" s="79">
        <f t="shared" si="7"/>
        <v>1.75</v>
      </c>
      <c r="K39" s="79" t="str">
        <f t="shared" si="7"/>
        <v/>
      </c>
      <c r="L39" s="79">
        <f t="shared" si="7"/>
        <v>1.1000000000000001</v>
      </c>
      <c r="M39" s="79">
        <f t="shared" si="7"/>
        <v>1.7999999999999998</v>
      </c>
      <c r="N39" s="79">
        <f t="shared" ref="N39:O54" si="8">IF(N12="","",IF(N12="dry",ROUND(N$64-N$68,2),ROUND(N12-N$68,2)))</f>
        <v>1.77</v>
      </c>
      <c r="O39" s="79">
        <f t="shared" si="8"/>
        <v>5.44</v>
      </c>
      <c r="P39" s="79"/>
      <c r="R39" s="81">
        <v>41227</v>
      </c>
      <c r="S39" s="79">
        <f t="shared" ref="S39:S56" si="9">IF(B12="","",IF(B12="dry",0,VLOOKUP(R39,$A$131:$M$157,S$30,FALSE)-B39))</f>
        <v>0.60000000000000009</v>
      </c>
      <c r="T39" s="79">
        <f t="shared" ref="T39:AD56" si="10">IF(C12="","",IF(C12="dry",0,VLOOKUP($R39,$A$131:$M$157,T$30,FALSE)-C39))</f>
        <v>0</v>
      </c>
      <c r="U39" s="79">
        <f t="shared" si="10"/>
        <v>0.50000000000000011</v>
      </c>
      <c r="V39" s="79">
        <f t="shared" si="10"/>
        <v>0</v>
      </c>
      <c r="W39" s="79">
        <f t="shared" si="10"/>
        <v>0.45000000000000018</v>
      </c>
      <c r="X39" s="79">
        <f t="shared" si="10"/>
        <v>0.59999999999999987</v>
      </c>
      <c r="Y39" s="79" t="str">
        <f t="shared" si="10"/>
        <v/>
      </c>
      <c r="Z39" s="79">
        <f t="shared" si="10"/>
        <v>0.40000000000000036</v>
      </c>
      <c r="AA39" s="79">
        <f t="shared" si="10"/>
        <v>0</v>
      </c>
      <c r="AB39" s="79" t="str">
        <f t="shared" si="10"/>
        <v/>
      </c>
      <c r="AC39" s="79">
        <f t="shared" si="10"/>
        <v>0.45000000000000018</v>
      </c>
      <c r="AD39" s="79">
        <f t="shared" si="10"/>
        <v>0</v>
      </c>
      <c r="AE39" s="79">
        <f t="shared" ref="AE39:AF56" si="11">IF(N12="","",IF(N12="dry","dry",ROUND(N$64-N12,2)))</f>
        <v>4</v>
      </c>
      <c r="AF39" s="79">
        <f t="shared" si="11"/>
        <v>0.45</v>
      </c>
    </row>
    <row r="40" spans="1:32" x14ac:dyDescent="0.25">
      <c r="A40" s="81">
        <v>41248</v>
      </c>
      <c r="B40" s="79">
        <f t="shared" si="6"/>
        <v>1</v>
      </c>
      <c r="C40" s="79">
        <f t="shared" si="7"/>
        <v>2.1500000000000004</v>
      </c>
      <c r="D40" s="79">
        <f t="shared" si="7"/>
        <v>0.35</v>
      </c>
      <c r="E40" s="79">
        <f t="shared" si="7"/>
        <v>1.8</v>
      </c>
      <c r="F40" s="79">
        <f t="shared" si="7"/>
        <v>1.4500000000000002</v>
      </c>
      <c r="G40" s="79">
        <f t="shared" si="7"/>
        <v>1.1500000000000001</v>
      </c>
      <c r="H40" s="79" t="str">
        <f t="shared" si="7"/>
        <v/>
      </c>
      <c r="I40" s="79">
        <f t="shared" si="7"/>
        <v>0.35000000000000009</v>
      </c>
      <c r="J40" s="79" t="str">
        <f t="shared" si="7"/>
        <v/>
      </c>
      <c r="K40" s="79" t="str">
        <f t="shared" si="7"/>
        <v/>
      </c>
      <c r="L40" s="79">
        <f t="shared" si="7"/>
        <v>5.0000000000000044E-2</v>
      </c>
      <c r="M40" s="79" t="str">
        <f t="shared" si="7"/>
        <v/>
      </c>
      <c r="N40" s="79">
        <f t="shared" si="8"/>
        <v>0.37</v>
      </c>
      <c r="O40" s="79">
        <f t="shared" si="8"/>
        <v>4.34</v>
      </c>
      <c r="P40" s="79"/>
      <c r="R40" s="81">
        <v>41248</v>
      </c>
      <c r="S40" s="79">
        <f t="shared" si="9"/>
        <v>1.35</v>
      </c>
      <c r="T40" s="79">
        <f t="shared" si="10"/>
        <v>0.14999999999999947</v>
      </c>
      <c r="U40" s="79">
        <f t="shared" si="10"/>
        <v>1.1499999999999999</v>
      </c>
      <c r="V40" s="79">
        <f t="shared" si="10"/>
        <v>0.49999999999999978</v>
      </c>
      <c r="W40" s="79">
        <f t="shared" si="10"/>
        <v>1.35</v>
      </c>
      <c r="X40" s="79">
        <f t="shared" si="10"/>
        <v>1.3499999999999999</v>
      </c>
      <c r="Y40" s="79" t="str">
        <f t="shared" si="10"/>
        <v/>
      </c>
      <c r="Z40" s="79">
        <f t="shared" si="10"/>
        <v>1.4500000000000002</v>
      </c>
      <c r="AA40" s="79" t="str">
        <f t="shared" si="10"/>
        <v/>
      </c>
      <c r="AB40" s="79" t="str">
        <f t="shared" si="10"/>
        <v/>
      </c>
      <c r="AC40" s="79">
        <f t="shared" si="10"/>
        <v>1.5000000000000002</v>
      </c>
      <c r="AD40" s="79" t="str">
        <f t="shared" si="10"/>
        <v/>
      </c>
      <c r="AE40" s="79">
        <f t="shared" si="11"/>
        <v>5.4</v>
      </c>
      <c r="AF40" s="79">
        <f t="shared" si="11"/>
        <v>1.55</v>
      </c>
    </row>
    <row r="41" spans="1:32" x14ac:dyDescent="0.25">
      <c r="A41" s="81">
        <v>41277</v>
      </c>
      <c r="B41" s="79">
        <f t="shared" si="6"/>
        <v>2.1999999999999997</v>
      </c>
      <c r="C41" s="79" t="str">
        <f t="shared" si="7"/>
        <v/>
      </c>
      <c r="D41" s="79">
        <f t="shared" si="7"/>
        <v>1.6</v>
      </c>
      <c r="E41" s="79">
        <f t="shared" si="7"/>
        <v>2.2999999999999998</v>
      </c>
      <c r="F41" s="79">
        <f t="shared" si="7"/>
        <v>2.25</v>
      </c>
      <c r="G41" s="79">
        <f t="shared" si="7"/>
        <v>1.7500000000000002</v>
      </c>
      <c r="H41" s="79" t="str">
        <f t="shared" si="7"/>
        <v/>
      </c>
      <c r="I41" s="79">
        <f t="shared" si="7"/>
        <v>1.4500000000000002</v>
      </c>
      <c r="J41" s="79">
        <f t="shared" si="7"/>
        <v>1.75</v>
      </c>
      <c r="K41" s="79" t="str">
        <f t="shared" si="7"/>
        <v/>
      </c>
      <c r="L41" s="79">
        <f t="shared" si="7"/>
        <v>1.1499999999999999</v>
      </c>
      <c r="M41" s="79">
        <f t="shared" si="7"/>
        <v>1.7999999999999998</v>
      </c>
      <c r="N41" s="79">
        <f t="shared" si="8"/>
        <v>1.67</v>
      </c>
      <c r="O41" s="79">
        <f t="shared" si="8"/>
        <v>4.8899999999999997</v>
      </c>
      <c r="P41" s="79"/>
      <c r="R41" s="81">
        <v>41277</v>
      </c>
      <c r="S41" s="79">
        <f t="shared" si="9"/>
        <v>0.15000000000000036</v>
      </c>
      <c r="T41" s="79" t="str">
        <f t="shared" si="10"/>
        <v/>
      </c>
      <c r="U41" s="79">
        <f t="shared" si="10"/>
        <v>-0.10000000000000009</v>
      </c>
      <c r="V41" s="79">
        <f t="shared" si="10"/>
        <v>0</v>
      </c>
      <c r="W41" s="79">
        <f t="shared" si="10"/>
        <v>0.55000000000000027</v>
      </c>
      <c r="X41" s="79">
        <f t="shared" si="10"/>
        <v>0.74999999999999978</v>
      </c>
      <c r="Y41" s="79" t="str">
        <f t="shared" si="10"/>
        <v/>
      </c>
      <c r="Z41" s="79">
        <f t="shared" si="10"/>
        <v>0.35000000000000009</v>
      </c>
      <c r="AA41" s="79">
        <f t="shared" si="10"/>
        <v>0</v>
      </c>
      <c r="AB41" s="79" t="str">
        <f t="shared" si="10"/>
        <v/>
      </c>
      <c r="AC41" s="79">
        <f t="shared" si="10"/>
        <v>0.40000000000000036</v>
      </c>
      <c r="AD41" s="79">
        <f t="shared" si="10"/>
        <v>0</v>
      </c>
      <c r="AE41" s="79">
        <f t="shared" si="11"/>
        <v>4.0999999999999996</v>
      </c>
      <c r="AF41" s="79">
        <f t="shared" si="11"/>
        <v>1</v>
      </c>
    </row>
    <row r="42" spans="1:32" x14ac:dyDescent="0.25">
      <c r="A42" s="81">
        <v>41284</v>
      </c>
      <c r="B42" s="79">
        <f t="shared" si="6"/>
        <v>1.1000000000000001</v>
      </c>
      <c r="C42" s="79">
        <f t="shared" si="7"/>
        <v>1.95</v>
      </c>
      <c r="D42" s="79">
        <f t="shared" si="7"/>
        <v>0.35</v>
      </c>
      <c r="E42" s="79">
        <f t="shared" si="7"/>
        <v>1.95</v>
      </c>
      <c r="F42" s="79">
        <f t="shared" si="7"/>
        <v>1.75</v>
      </c>
      <c r="G42" s="79">
        <f t="shared" si="7"/>
        <v>1.1500000000000001</v>
      </c>
      <c r="H42" s="79" t="str">
        <f t="shared" si="7"/>
        <v/>
      </c>
      <c r="I42" s="79">
        <f t="shared" si="7"/>
        <v>0.45000000000000018</v>
      </c>
      <c r="J42" s="79">
        <f t="shared" si="7"/>
        <v>1.7000000000000002</v>
      </c>
      <c r="K42" s="79" t="str">
        <f t="shared" si="7"/>
        <v/>
      </c>
      <c r="L42" s="79">
        <f t="shared" si="7"/>
        <v>0.35000000000000009</v>
      </c>
      <c r="M42" s="79">
        <f t="shared" si="7"/>
        <v>1.7999999999999998</v>
      </c>
      <c r="N42" s="79">
        <f t="shared" si="8"/>
        <v>1.37</v>
      </c>
      <c r="O42" s="79">
        <f t="shared" si="8"/>
        <v>5.59</v>
      </c>
      <c r="P42" s="79"/>
      <c r="R42" s="81">
        <v>41284</v>
      </c>
      <c r="S42" s="79">
        <f t="shared" si="9"/>
        <v>1.25</v>
      </c>
      <c r="T42" s="79">
        <f t="shared" si="10"/>
        <v>0.34999999999999987</v>
      </c>
      <c r="U42" s="79">
        <f t="shared" si="10"/>
        <v>1.1499999999999999</v>
      </c>
      <c r="V42" s="79">
        <f t="shared" si="10"/>
        <v>0.34999999999999987</v>
      </c>
      <c r="W42" s="79">
        <f t="shared" si="10"/>
        <v>1.0500000000000003</v>
      </c>
      <c r="X42" s="79">
        <f t="shared" si="10"/>
        <v>1.3499999999999999</v>
      </c>
      <c r="Y42" s="79" t="str">
        <f t="shared" si="10"/>
        <v/>
      </c>
      <c r="Z42" s="79">
        <f t="shared" si="10"/>
        <v>1.35</v>
      </c>
      <c r="AA42" s="79">
        <f t="shared" si="10"/>
        <v>4.9999999999999822E-2</v>
      </c>
      <c r="AB42" s="79" t="str">
        <f t="shared" si="10"/>
        <v/>
      </c>
      <c r="AC42" s="79">
        <f t="shared" si="10"/>
        <v>1.2000000000000002</v>
      </c>
      <c r="AD42" s="79">
        <f t="shared" si="10"/>
        <v>0</v>
      </c>
      <c r="AE42" s="79">
        <f t="shared" si="11"/>
        <v>4.4000000000000004</v>
      </c>
      <c r="AF42" s="79">
        <f t="shared" si="11"/>
        <v>0.3</v>
      </c>
    </row>
    <row r="43" spans="1:32" x14ac:dyDescent="0.25">
      <c r="A43" s="81">
        <v>41305</v>
      </c>
      <c r="B43" s="79">
        <f t="shared" si="6"/>
        <v>0.73</v>
      </c>
      <c r="C43" s="79">
        <f t="shared" si="7"/>
        <v>0.82000000000000006</v>
      </c>
      <c r="D43" s="79">
        <f t="shared" si="7"/>
        <v>0</v>
      </c>
      <c r="E43" s="79">
        <f t="shared" si="7"/>
        <v>0.86999999999999988</v>
      </c>
      <c r="F43" s="79">
        <f t="shared" si="7"/>
        <v>1.2000000000000002</v>
      </c>
      <c r="G43" s="79">
        <f t="shared" si="7"/>
        <v>0.26</v>
      </c>
      <c r="H43" s="79" t="str">
        <f t="shared" si="7"/>
        <v/>
      </c>
      <c r="I43" s="79">
        <f t="shared" si="7"/>
        <v>0.10000000000000009</v>
      </c>
      <c r="J43" s="79">
        <f t="shared" si="7"/>
        <v>0.85000000000000009</v>
      </c>
      <c r="K43" s="79" t="str">
        <f t="shared" si="7"/>
        <v/>
      </c>
      <c r="L43" s="79">
        <f t="shared" si="7"/>
        <v>0.20000000000000018</v>
      </c>
      <c r="M43" s="79">
        <f t="shared" si="7"/>
        <v>1.7999999999999998</v>
      </c>
      <c r="N43" s="79">
        <f t="shared" si="8"/>
        <v>0.24</v>
      </c>
      <c r="O43" s="79">
        <f t="shared" si="8"/>
        <v>2.4900000000000002</v>
      </c>
      <c r="P43" s="79"/>
      <c r="R43" s="81">
        <v>41305</v>
      </c>
      <c r="S43" s="79">
        <f t="shared" si="9"/>
        <v>1.62</v>
      </c>
      <c r="T43" s="79">
        <f t="shared" si="10"/>
        <v>1.4799999999999998</v>
      </c>
      <c r="U43" s="79">
        <f t="shared" si="10"/>
        <v>1.5</v>
      </c>
      <c r="V43" s="79">
        <f t="shared" si="10"/>
        <v>1.43</v>
      </c>
      <c r="W43" s="79">
        <f t="shared" si="10"/>
        <v>1.6</v>
      </c>
      <c r="X43" s="79">
        <f t="shared" si="10"/>
        <v>2.2400000000000002</v>
      </c>
      <c r="Y43" s="79" t="str">
        <f t="shared" si="10"/>
        <v/>
      </c>
      <c r="Z43" s="79">
        <f t="shared" si="10"/>
        <v>1.7000000000000002</v>
      </c>
      <c r="AA43" s="79">
        <f t="shared" si="10"/>
        <v>0.89999999999999991</v>
      </c>
      <c r="AB43" s="79" t="str">
        <f t="shared" si="10"/>
        <v/>
      </c>
      <c r="AC43" s="79">
        <f t="shared" si="10"/>
        <v>1.35</v>
      </c>
      <c r="AD43" s="79">
        <f t="shared" si="10"/>
        <v>0</v>
      </c>
      <c r="AE43" s="79">
        <f t="shared" si="11"/>
        <v>5.53</v>
      </c>
      <c r="AF43" s="79">
        <f t="shared" si="11"/>
        <v>3.4</v>
      </c>
    </row>
    <row r="44" spans="1:32" x14ac:dyDescent="0.25">
      <c r="A44" s="81">
        <v>41310</v>
      </c>
      <c r="B44" s="79">
        <f t="shared" si="6"/>
        <v>0.9700000000000002</v>
      </c>
      <c r="C44" s="79">
        <f t="shared" si="7"/>
        <v>1.3</v>
      </c>
      <c r="D44" s="79">
        <f t="shared" si="7"/>
        <v>0.32999999999999996</v>
      </c>
      <c r="E44" s="79">
        <f t="shared" si="7"/>
        <v>0.34000000000000008</v>
      </c>
      <c r="F44" s="79">
        <f t="shared" si="7"/>
        <v>1.42</v>
      </c>
      <c r="G44" s="79">
        <f t="shared" si="7"/>
        <v>0.65000000000000013</v>
      </c>
      <c r="H44" s="79" t="str">
        <f t="shared" si="7"/>
        <v/>
      </c>
      <c r="I44" s="79">
        <f t="shared" si="7"/>
        <v>5.0000000000000044E-2</v>
      </c>
      <c r="J44" s="79">
        <f t="shared" si="7"/>
        <v>1.4</v>
      </c>
      <c r="K44" s="79" t="str">
        <f t="shared" si="7"/>
        <v/>
      </c>
      <c r="L44" s="79">
        <f t="shared" si="7"/>
        <v>0.5</v>
      </c>
      <c r="M44" s="79">
        <f t="shared" si="7"/>
        <v>1.6000000000000005</v>
      </c>
      <c r="N44" s="79">
        <f t="shared" si="8"/>
        <v>0.22</v>
      </c>
      <c r="O44" s="79">
        <f t="shared" si="8"/>
        <v>1.89</v>
      </c>
      <c r="P44" s="79"/>
      <c r="R44" s="81">
        <v>41310</v>
      </c>
      <c r="S44" s="79">
        <f t="shared" si="9"/>
        <v>1.38</v>
      </c>
      <c r="T44" s="79">
        <f t="shared" si="10"/>
        <v>0.99999999999999978</v>
      </c>
      <c r="U44" s="79">
        <f t="shared" si="10"/>
        <v>1.17</v>
      </c>
      <c r="V44" s="79">
        <f t="shared" si="10"/>
        <v>1.9599999999999997</v>
      </c>
      <c r="W44" s="79">
        <f t="shared" si="10"/>
        <v>1.3800000000000003</v>
      </c>
      <c r="X44" s="79">
        <f t="shared" si="10"/>
        <v>1.8499999999999999</v>
      </c>
      <c r="Y44" s="79" t="str">
        <f t="shared" si="10"/>
        <v/>
      </c>
      <c r="Z44" s="79">
        <f t="shared" si="10"/>
        <v>1.7500000000000002</v>
      </c>
      <c r="AA44" s="79">
        <f t="shared" si="10"/>
        <v>0.35000000000000009</v>
      </c>
      <c r="AB44" s="79" t="str">
        <f t="shared" si="10"/>
        <v/>
      </c>
      <c r="AC44" s="79">
        <f t="shared" si="10"/>
        <v>1.0500000000000003</v>
      </c>
      <c r="AD44" s="79">
        <f t="shared" si="10"/>
        <v>0.19999999999999929</v>
      </c>
      <c r="AE44" s="79">
        <f t="shared" si="11"/>
        <v>5.55</v>
      </c>
      <c r="AF44" s="79">
        <f t="shared" si="11"/>
        <v>4</v>
      </c>
    </row>
    <row r="45" spans="1:32" x14ac:dyDescent="0.25">
      <c r="A45" s="81">
        <v>41317</v>
      </c>
      <c r="B45" s="79">
        <f t="shared" si="6"/>
        <v>1</v>
      </c>
      <c r="C45" s="79">
        <f t="shared" si="7"/>
        <v>1.55</v>
      </c>
      <c r="D45" s="79">
        <f t="shared" si="7"/>
        <v>0.42000000000000004</v>
      </c>
      <c r="E45" s="79">
        <f t="shared" si="7"/>
        <v>0.74</v>
      </c>
      <c r="F45" s="79">
        <f t="shared" si="7"/>
        <v>1.5300000000000002</v>
      </c>
      <c r="G45" s="79">
        <f t="shared" si="7"/>
        <v>0.84000000000000008</v>
      </c>
      <c r="H45" s="79" t="str">
        <f t="shared" si="7"/>
        <v/>
      </c>
      <c r="I45" s="79">
        <f t="shared" si="7"/>
        <v>3.0000000000000027E-2</v>
      </c>
      <c r="J45" s="79">
        <f t="shared" si="7"/>
        <v>1.67</v>
      </c>
      <c r="K45" s="79" t="str">
        <f t="shared" si="7"/>
        <v/>
      </c>
      <c r="L45" s="79">
        <f t="shared" si="7"/>
        <v>0.41999999999999993</v>
      </c>
      <c r="M45" s="79">
        <f t="shared" si="7"/>
        <v>1.7999999999999998</v>
      </c>
      <c r="N45" s="79">
        <f t="shared" si="8"/>
        <v>0.28999999999999998</v>
      </c>
      <c r="O45" s="79">
        <f t="shared" si="8"/>
        <v>2.2599999999999998</v>
      </c>
      <c r="P45" s="79"/>
      <c r="R45" s="81">
        <v>41317</v>
      </c>
      <c r="S45" s="79">
        <f t="shared" si="9"/>
        <v>1.35</v>
      </c>
      <c r="T45" s="79">
        <f t="shared" si="10"/>
        <v>0.74999999999999978</v>
      </c>
      <c r="U45" s="79">
        <f t="shared" si="10"/>
        <v>1.08</v>
      </c>
      <c r="V45" s="79">
        <f t="shared" si="10"/>
        <v>1.5599999999999998</v>
      </c>
      <c r="W45" s="79">
        <f t="shared" si="10"/>
        <v>1.27</v>
      </c>
      <c r="X45" s="79">
        <f t="shared" si="10"/>
        <v>1.66</v>
      </c>
      <c r="Y45" s="79" t="str">
        <f t="shared" si="10"/>
        <v/>
      </c>
      <c r="Z45" s="79">
        <f t="shared" si="10"/>
        <v>1.7700000000000002</v>
      </c>
      <c r="AA45" s="79">
        <f t="shared" si="10"/>
        <v>8.0000000000000071E-2</v>
      </c>
      <c r="AB45" s="79" t="str">
        <f t="shared" si="10"/>
        <v/>
      </c>
      <c r="AC45" s="79">
        <f t="shared" si="10"/>
        <v>1.1300000000000003</v>
      </c>
      <c r="AD45" s="79">
        <f t="shared" si="10"/>
        <v>0</v>
      </c>
      <c r="AE45" s="79">
        <f t="shared" si="11"/>
        <v>5.47</v>
      </c>
      <c r="AF45" s="79">
        <f t="shared" si="11"/>
        <v>3.63</v>
      </c>
    </row>
    <row r="46" spans="1:32" x14ac:dyDescent="0.25">
      <c r="A46" s="81">
        <v>41337</v>
      </c>
      <c r="B46" s="79">
        <f t="shared" si="6"/>
        <v>0.96</v>
      </c>
      <c r="C46" s="79">
        <f t="shared" si="7"/>
        <v>1.1900000000000002</v>
      </c>
      <c r="D46" s="79">
        <f t="shared" si="7"/>
        <v>0.68</v>
      </c>
      <c r="E46" s="79">
        <f t="shared" si="7"/>
        <v>1.2</v>
      </c>
      <c r="F46" s="79">
        <f t="shared" si="7"/>
        <v>1.4100000000000001</v>
      </c>
      <c r="G46" s="79">
        <f t="shared" si="7"/>
        <v>0.88000000000000012</v>
      </c>
      <c r="H46" s="79" t="str">
        <f t="shared" si="7"/>
        <v/>
      </c>
      <c r="I46" s="79">
        <f t="shared" si="7"/>
        <v>0.28000000000000003</v>
      </c>
      <c r="J46" s="79">
        <f t="shared" si="7"/>
        <v>1.75</v>
      </c>
      <c r="K46" s="79" t="str">
        <f t="shared" si="7"/>
        <v/>
      </c>
      <c r="L46" s="79">
        <f t="shared" si="7"/>
        <v>0.75</v>
      </c>
      <c r="M46" s="79">
        <f t="shared" si="7"/>
        <v>1.7999999999999998</v>
      </c>
      <c r="N46" s="79">
        <f t="shared" si="8"/>
        <v>0.4</v>
      </c>
      <c r="O46" s="79">
        <f t="shared" si="8"/>
        <v>2.72</v>
      </c>
      <c r="P46" s="79"/>
      <c r="R46" s="81">
        <v>41337</v>
      </c>
      <c r="S46" s="79">
        <f t="shared" si="9"/>
        <v>1.3900000000000001</v>
      </c>
      <c r="T46" s="79">
        <f t="shared" si="10"/>
        <v>1.1099999999999997</v>
      </c>
      <c r="U46" s="79">
        <f t="shared" si="10"/>
        <v>0.82</v>
      </c>
      <c r="V46" s="79">
        <f t="shared" si="10"/>
        <v>1.0999999999999999</v>
      </c>
      <c r="W46" s="79">
        <f t="shared" si="10"/>
        <v>1.3900000000000001</v>
      </c>
      <c r="X46" s="79">
        <f t="shared" si="10"/>
        <v>1.6199999999999999</v>
      </c>
      <c r="Y46" s="79" t="str">
        <f t="shared" si="10"/>
        <v/>
      </c>
      <c r="Z46" s="79">
        <f t="shared" si="10"/>
        <v>1.5200000000000002</v>
      </c>
      <c r="AA46" s="79">
        <f t="shared" si="10"/>
        <v>0</v>
      </c>
      <c r="AB46" s="79" t="str">
        <f t="shared" si="10"/>
        <v/>
      </c>
      <c r="AC46" s="79">
        <f t="shared" si="10"/>
        <v>0.80000000000000027</v>
      </c>
      <c r="AD46" s="79">
        <f t="shared" si="10"/>
        <v>0</v>
      </c>
      <c r="AE46" s="79">
        <f t="shared" si="11"/>
        <v>5.37</v>
      </c>
      <c r="AF46" s="79">
        <f t="shared" si="11"/>
        <v>3.17</v>
      </c>
    </row>
    <row r="47" spans="1:32" x14ac:dyDescent="0.25">
      <c r="A47" s="81">
        <v>41360</v>
      </c>
      <c r="B47" s="79">
        <f t="shared" si="6"/>
        <v>1.85</v>
      </c>
      <c r="C47" s="79">
        <f t="shared" si="7"/>
        <v>1.8499999999999999</v>
      </c>
      <c r="D47" s="79">
        <f t="shared" si="7"/>
        <v>1.5799999999999998</v>
      </c>
      <c r="E47" s="79">
        <f t="shared" si="7"/>
        <v>2.1199999999999997</v>
      </c>
      <c r="F47" s="79">
        <f t="shared" si="7"/>
        <v>2.13</v>
      </c>
      <c r="G47" s="79">
        <f t="shared" si="7"/>
        <v>1.69</v>
      </c>
      <c r="H47" s="79" t="str">
        <f t="shared" si="7"/>
        <v/>
      </c>
      <c r="I47" s="79">
        <f t="shared" si="7"/>
        <v>1.4200000000000002</v>
      </c>
      <c r="J47" s="79">
        <f t="shared" si="7"/>
        <v>1.6</v>
      </c>
      <c r="K47" s="79" t="str">
        <f t="shared" si="7"/>
        <v/>
      </c>
      <c r="L47" s="79">
        <f t="shared" si="7"/>
        <v>1.24</v>
      </c>
      <c r="M47" s="79">
        <f t="shared" si="7"/>
        <v>1.7799999999999998</v>
      </c>
      <c r="N47" s="79">
        <f t="shared" si="8"/>
        <v>1.6</v>
      </c>
      <c r="O47" s="79">
        <f t="shared" si="8"/>
        <v>3.24</v>
      </c>
      <c r="P47" s="79"/>
      <c r="R47" s="81">
        <v>41360</v>
      </c>
      <c r="S47" s="79">
        <f t="shared" si="9"/>
        <v>0.53999999999999959</v>
      </c>
      <c r="T47" s="79">
        <f t="shared" si="10"/>
        <v>0.53</v>
      </c>
      <c r="U47" s="79">
        <f t="shared" si="10"/>
        <v>0</v>
      </c>
      <c r="V47" s="79">
        <f t="shared" si="10"/>
        <v>0.25</v>
      </c>
      <c r="W47" s="79">
        <f t="shared" si="10"/>
        <v>0.64999999999999947</v>
      </c>
      <c r="X47" s="79">
        <f t="shared" si="10"/>
        <v>0.70000000000000018</v>
      </c>
      <c r="Y47" s="79" t="str">
        <f t="shared" si="10"/>
        <v/>
      </c>
      <c r="Z47" s="79">
        <f t="shared" si="10"/>
        <v>0.38999999999999968</v>
      </c>
      <c r="AA47" s="79">
        <f t="shared" si="10"/>
        <v>0</v>
      </c>
      <c r="AB47" s="79" t="str">
        <f t="shared" si="10"/>
        <v/>
      </c>
      <c r="AC47" s="79">
        <f t="shared" si="10"/>
        <v>0.43999999999999995</v>
      </c>
      <c r="AD47" s="79">
        <f t="shared" si="10"/>
        <v>0</v>
      </c>
      <c r="AE47" s="79">
        <f t="shared" si="11"/>
        <v>4.17</v>
      </c>
      <c r="AF47" s="79">
        <f t="shared" si="11"/>
        <v>2.65</v>
      </c>
    </row>
    <row r="48" spans="1:32" x14ac:dyDescent="0.25">
      <c r="A48" s="81">
        <v>41646</v>
      </c>
      <c r="B48" s="79">
        <f t="shared" si="6"/>
        <v>2.2499999999999996</v>
      </c>
      <c r="C48" s="79">
        <f t="shared" si="7"/>
        <v>2.2400000000000002</v>
      </c>
      <c r="D48" s="79">
        <f t="shared" si="7"/>
        <v>1.5799999999999998</v>
      </c>
      <c r="E48" s="79">
        <f t="shared" si="7"/>
        <v>2.52</v>
      </c>
      <c r="F48" s="79">
        <f t="shared" si="7"/>
        <v>2.5999999999999996</v>
      </c>
      <c r="G48" s="79">
        <f t="shared" si="7"/>
        <v>2.5</v>
      </c>
      <c r="H48" s="79" t="str">
        <f t="shared" si="7"/>
        <v/>
      </c>
      <c r="I48" s="79">
        <f t="shared" si="7"/>
        <v>1.8099999999999998</v>
      </c>
      <c r="J48" s="79">
        <f t="shared" si="7"/>
        <v>1.6099999999999999</v>
      </c>
      <c r="K48" s="79" t="str">
        <f t="shared" si="7"/>
        <v/>
      </c>
      <c r="L48" s="79">
        <f t="shared" si="7"/>
        <v>1.68</v>
      </c>
      <c r="M48" s="79">
        <f t="shared" si="7"/>
        <v>1.7799999999999998</v>
      </c>
      <c r="N48" s="79">
        <f t="shared" si="8"/>
        <v>5.17</v>
      </c>
      <c r="O48" s="79">
        <f t="shared" si="8"/>
        <v>5.89</v>
      </c>
      <c r="P48" s="79"/>
      <c r="R48" s="81">
        <v>41646</v>
      </c>
      <c r="S48" s="79">
        <f t="shared" si="9"/>
        <v>0</v>
      </c>
      <c r="T48" s="79">
        <f t="shared" si="10"/>
        <v>0</v>
      </c>
      <c r="U48" s="79">
        <f t="shared" si="10"/>
        <v>0</v>
      </c>
      <c r="V48" s="79">
        <f t="shared" si="10"/>
        <v>0</v>
      </c>
      <c r="W48" s="79">
        <f t="shared" si="10"/>
        <v>0</v>
      </c>
      <c r="X48" s="79">
        <f t="shared" si="10"/>
        <v>0</v>
      </c>
      <c r="Y48" s="79" t="str">
        <f t="shared" si="10"/>
        <v/>
      </c>
      <c r="Z48" s="79">
        <f t="shared" si="10"/>
        <v>0</v>
      </c>
      <c r="AA48" s="79">
        <f t="shared" si="10"/>
        <v>0</v>
      </c>
      <c r="AB48" s="79" t="str">
        <f t="shared" si="10"/>
        <v/>
      </c>
      <c r="AC48" s="79">
        <f t="shared" si="10"/>
        <v>0</v>
      </c>
      <c r="AD48" s="79">
        <f t="shared" si="10"/>
        <v>0</v>
      </c>
      <c r="AE48" s="79">
        <f t="shared" si="11"/>
        <v>0.6</v>
      </c>
      <c r="AF48" s="79" t="str">
        <f t="shared" si="11"/>
        <v>dry</v>
      </c>
    </row>
    <row r="49" spans="1:32" x14ac:dyDescent="0.25">
      <c r="A49" s="81">
        <v>41650</v>
      </c>
      <c r="B49" s="79">
        <f t="shared" si="6"/>
        <v>2.2499999999999996</v>
      </c>
      <c r="C49" s="79">
        <f t="shared" si="7"/>
        <v>2.2400000000000002</v>
      </c>
      <c r="D49" s="79">
        <f t="shared" si="7"/>
        <v>1.5799999999999998</v>
      </c>
      <c r="E49" s="79">
        <f t="shared" si="7"/>
        <v>2.52</v>
      </c>
      <c r="F49" s="79">
        <f t="shared" si="7"/>
        <v>2.5999999999999996</v>
      </c>
      <c r="G49" s="79">
        <f t="shared" si="7"/>
        <v>2.5</v>
      </c>
      <c r="H49" s="79">
        <f t="shared" si="7"/>
        <v>2.84</v>
      </c>
      <c r="I49" s="79">
        <f t="shared" si="7"/>
        <v>1.8099999999999998</v>
      </c>
      <c r="J49" s="79">
        <f t="shared" si="7"/>
        <v>1.6099999999999999</v>
      </c>
      <c r="K49" s="79">
        <f t="shared" si="7"/>
        <v>1.9499999999999997</v>
      </c>
      <c r="L49" s="79">
        <f t="shared" si="7"/>
        <v>1.68</v>
      </c>
      <c r="M49" s="79">
        <f t="shared" si="7"/>
        <v>1.7799999999999998</v>
      </c>
      <c r="N49" s="79">
        <f t="shared" si="8"/>
        <v>5.77</v>
      </c>
      <c r="O49" s="79">
        <f t="shared" si="8"/>
        <v>5.89</v>
      </c>
      <c r="P49" s="79"/>
      <c r="R49" s="81">
        <v>41650</v>
      </c>
      <c r="S49" s="79">
        <f t="shared" si="9"/>
        <v>0</v>
      </c>
      <c r="T49" s="79">
        <f t="shared" si="10"/>
        <v>0</v>
      </c>
      <c r="U49" s="79">
        <f t="shared" si="10"/>
        <v>0</v>
      </c>
      <c r="V49" s="79">
        <f t="shared" si="10"/>
        <v>0</v>
      </c>
      <c r="W49" s="79">
        <f t="shared" si="10"/>
        <v>0</v>
      </c>
      <c r="X49" s="79">
        <f t="shared" si="10"/>
        <v>0</v>
      </c>
      <c r="Y49" s="79">
        <f t="shared" si="10"/>
        <v>0</v>
      </c>
      <c r="Z49" s="79">
        <f t="shared" si="10"/>
        <v>0</v>
      </c>
      <c r="AA49" s="79">
        <f t="shared" si="10"/>
        <v>0</v>
      </c>
      <c r="AB49" s="79">
        <f t="shared" si="10"/>
        <v>0</v>
      </c>
      <c r="AC49" s="79">
        <f t="shared" si="10"/>
        <v>0</v>
      </c>
      <c r="AD49" s="79">
        <f t="shared" si="10"/>
        <v>0</v>
      </c>
      <c r="AE49" s="79" t="str">
        <f t="shared" si="11"/>
        <v>dry</v>
      </c>
      <c r="AF49" s="79" t="str">
        <f t="shared" si="11"/>
        <v>dry</v>
      </c>
    </row>
    <row r="50" spans="1:32" x14ac:dyDescent="0.25">
      <c r="A50" s="81">
        <v>41653</v>
      </c>
      <c r="B50" s="79">
        <f t="shared" si="6"/>
        <v>1.6999999999999997</v>
      </c>
      <c r="C50" s="79" t="str">
        <f t="shared" si="7"/>
        <v/>
      </c>
      <c r="D50" s="79">
        <f t="shared" si="7"/>
        <v>1.2500000000000002</v>
      </c>
      <c r="E50" s="79" t="str">
        <f t="shared" si="7"/>
        <v/>
      </c>
      <c r="F50" s="79">
        <f t="shared" si="7"/>
        <v>2.66</v>
      </c>
      <c r="G50" s="79">
        <f t="shared" si="7"/>
        <v>1.65</v>
      </c>
      <c r="H50" s="79">
        <f t="shared" si="7"/>
        <v>1.5100000000000002</v>
      </c>
      <c r="I50" s="79">
        <f t="shared" si="7"/>
        <v>1.6500000000000001</v>
      </c>
      <c r="J50" s="79" t="str">
        <f t="shared" si="7"/>
        <v/>
      </c>
      <c r="K50" s="79" t="str">
        <f t="shared" si="7"/>
        <v/>
      </c>
      <c r="L50" s="79">
        <f t="shared" si="7"/>
        <v>1.36</v>
      </c>
      <c r="M50" s="79" t="str">
        <f t="shared" si="7"/>
        <v/>
      </c>
      <c r="N50" s="79" t="str">
        <f t="shared" si="8"/>
        <v/>
      </c>
      <c r="O50" s="79">
        <f t="shared" si="8"/>
        <v>5.19</v>
      </c>
      <c r="P50" s="79"/>
      <c r="R50" s="81">
        <v>41653</v>
      </c>
      <c r="S50" s="79">
        <f t="shared" si="9"/>
        <v>0.54999999999999982</v>
      </c>
      <c r="T50" s="79" t="str">
        <f t="shared" si="10"/>
        <v/>
      </c>
      <c r="U50" s="79">
        <f t="shared" si="10"/>
        <v>0.32999999999999963</v>
      </c>
      <c r="V50" s="79" t="str">
        <f t="shared" si="10"/>
        <v/>
      </c>
      <c r="W50" s="79">
        <f t="shared" si="10"/>
        <v>-6.0000000000000497E-2</v>
      </c>
      <c r="X50" s="79">
        <f t="shared" si="10"/>
        <v>0.85000000000000009</v>
      </c>
      <c r="Y50" s="79">
        <f t="shared" si="10"/>
        <v>1.3299999999999996</v>
      </c>
      <c r="Z50" s="79">
        <f t="shared" si="10"/>
        <v>0.1599999999999997</v>
      </c>
      <c r="AA50" s="79" t="str">
        <f t="shared" si="10"/>
        <v/>
      </c>
      <c r="AB50" s="79" t="str">
        <f t="shared" si="10"/>
        <v/>
      </c>
      <c r="AC50" s="79">
        <f t="shared" si="10"/>
        <v>0.31999999999999984</v>
      </c>
      <c r="AD50" s="79" t="str">
        <f t="shared" si="10"/>
        <v/>
      </c>
      <c r="AE50" s="79" t="str">
        <f t="shared" si="11"/>
        <v/>
      </c>
      <c r="AF50" s="79">
        <f t="shared" si="11"/>
        <v>0.7</v>
      </c>
    </row>
    <row r="51" spans="1:32" x14ac:dyDescent="0.25">
      <c r="A51" s="81">
        <v>41670</v>
      </c>
      <c r="B51" s="79">
        <f t="shared" si="6"/>
        <v>1.2999999999999998</v>
      </c>
      <c r="C51" s="79" t="str">
        <f t="shared" si="7"/>
        <v/>
      </c>
      <c r="D51" s="79">
        <f t="shared" si="7"/>
        <v>0.95</v>
      </c>
      <c r="E51" s="79">
        <f t="shared" si="7"/>
        <v>2.52</v>
      </c>
      <c r="F51" s="79" t="str">
        <f t="shared" si="7"/>
        <v/>
      </c>
      <c r="G51" s="79">
        <f t="shared" si="7"/>
        <v>1.9500000000000002</v>
      </c>
      <c r="H51" s="79" t="str">
        <f t="shared" si="7"/>
        <v/>
      </c>
      <c r="I51" s="79" t="str">
        <f t="shared" si="7"/>
        <v/>
      </c>
      <c r="J51" s="79">
        <f t="shared" si="7"/>
        <v>1.6099999999999999</v>
      </c>
      <c r="K51" s="79">
        <f t="shared" si="7"/>
        <v>1.9499999999999997</v>
      </c>
      <c r="L51" s="79">
        <f t="shared" si="7"/>
        <v>1.1900000000000002</v>
      </c>
      <c r="M51" s="79">
        <f t="shared" si="7"/>
        <v>1.7799999999999998</v>
      </c>
      <c r="N51" s="79">
        <f t="shared" si="8"/>
        <v>5.57</v>
      </c>
      <c r="O51" s="79">
        <f t="shared" si="8"/>
        <v>5</v>
      </c>
      <c r="P51" s="79"/>
      <c r="R51" s="81">
        <v>41670</v>
      </c>
      <c r="S51" s="79">
        <f t="shared" si="9"/>
        <v>0.94999999999999973</v>
      </c>
      <c r="T51" s="79" t="str">
        <f t="shared" si="10"/>
        <v/>
      </c>
      <c r="U51" s="79">
        <f t="shared" si="10"/>
        <v>0.62999999999999989</v>
      </c>
      <c r="V51" s="79">
        <f t="shared" si="10"/>
        <v>0</v>
      </c>
      <c r="W51" s="79" t="str">
        <f t="shared" si="10"/>
        <v/>
      </c>
      <c r="X51" s="79">
        <f t="shared" si="10"/>
        <v>0.54999999999999982</v>
      </c>
      <c r="Y51" s="79" t="str">
        <f t="shared" si="10"/>
        <v/>
      </c>
      <c r="Z51" s="79" t="str">
        <f t="shared" si="10"/>
        <v/>
      </c>
      <c r="AA51" s="79">
        <f t="shared" si="10"/>
        <v>0</v>
      </c>
      <c r="AB51" s="79">
        <f t="shared" si="10"/>
        <v>0</v>
      </c>
      <c r="AC51" s="79">
        <f t="shared" si="10"/>
        <v>0.48999999999999977</v>
      </c>
      <c r="AD51" s="79">
        <f t="shared" si="10"/>
        <v>0</v>
      </c>
      <c r="AE51" s="79">
        <f t="shared" si="11"/>
        <v>0.2</v>
      </c>
      <c r="AF51" s="79">
        <f t="shared" si="11"/>
        <v>0.89</v>
      </c>
    </row>
    <row r="52" spans="1:32" x14ac:dyDescent="0.25">
      <c r="A52" s="81">
        <v>41681</v>
      </c>
      <c r="B52" s="79">
        <f t="shared" si="6"/>
        <v>1.1999999999999997</v>
      </c>
      <c r="C52" s="79">
        <f t="shared" si="7"/>
        <v>2.2400000000000002</v>
      </c>
      <c r="D52" s="79">
        <f t="shared" si="7"/>
        <v>1.1100000000000001</v>
      </c>
      <c r="E52" s="79">
        <f t="shared" si="7"/>
        <v>2.2799999999999998</v>
      </c>
      <c r="F52" s="79">
        <f t="shared" si="7"/>
        <v>2.5999999999999996</v>
      </c>
      <c r="G52" s="79">
        <f t="shared" si="7"/>
        <v>1.79</v>
      </c>
      <c r="H52" s="79">
        <f t="shared" si="7"/>
        <v>1.79</v>
      </c>
      <c r="I52" s="79" t="str">
        <f t="shared" si="7"/>
        <v/>
      </c>
      <c r="J52" s="79">
        <f t="shared" si="7"/>
        <v>1.6099999999999999</v>
      </c>
      <c r="K52" s="79">
        <f t="shared" si="7"/>
        <v>1.9499999999999997</v>
      </c>
      <c r="L52" s="79">
        <f t="shared" si="7"/>
        <v>1.59</v>
      </c>
      <c r="M52" s="79">
        <f t="shared" si="7"/>
        <v>1.7799999999999998</v>
      </c>
      <c r="N52" s="79">
        <f t="shared" si="8"/>
        <v>5.77</v>
      </c>
      <c r="O52" s="79">
        <f t="shared" si="8"/>
        <v>5.69</v>
      </c>
      <c r="P52" s="79"/>
      <c r="R52" s="81">
        <v>41681</v>
      </c>
      <c r="S52" s="79">
        <f t="shared" si="9"/>
        <v>1.0499999999999998</v>
      </c>
      <c r="T52" s="79">
        <f t="shared" si="10"/>
        <v>0</v>
      </c>
      <c r="U52" s="79">
        <f t="shared" si="10"/>
        <v>0.46999999999999975</v>
      </c>
      <c r="V52" s="79">
        <f t="shared" si="10"/>
        <v>0.24000000000000021</v>
      </c>
      <c r="W52" s="79">
        <f t="shared" si="10"/>
        <v>0</v>
      </c>
      <c r="X52" s="79">
        <f t="shared" si="10"/>
        <v>0.71</v>
      </c>
      <c r="Y52" s="79">
        <f t="shared" si="10"/>
        <v>1.0499999999999998</v>
      </c>
      <c r="Z52" s="79" t="str">
        <f t="shared" si="10"/>
        <v/>
      </c>
      <c r="AA52" s="79">
        <f t="shared" si="10"/>
        <v>0</v>
      </c>
      <c r="AB52" s="79">
        <f t="shared" si="10"/>
        <v>0</v>
      </c>
      <c r="AC52" s="79">
        <f t="shared" si="10"/>
        <v>8.9999999999999858E-2</v>
      </c>
      <c r="AD52" s="79">
        <f t="shared" si="10"/>
        <v>0</v>
      </c>
      <c r="AE52" s="79" t="str">
        <f t="shared" si="11"/>
        <v>dry</v>
      </c>
      <c r="AF52" s="79">
        <f t="shared" si="11"/>
        <v>0.2</v>
      </c>
    </row>
    <row r="53" spans="1:32" x14ac:dyDescent="0.25">
      <c r="A53" s="81">
        <v>41684</v>
      </c>
      <c r="B53" s="79">
        <f t="shared" si="6"/>
        <v>1.0699999999999998</v>
      </c>
      <c r="C53" s="79">
        <f t="shared" si="7"/>
        <v>2.15</v>
      </c>
      <c r="D53" s="79">
        <f t="shared" si="7"/>
        <v>0.20999999999999996</v>
      </c>
      <c r="E53" s="79">
        <f t="shared" si="7"/>
        <v>2.2600000000000002</v>
      </c>
      <c r="F53" s="79">
        <f t="shared" si="7"/>
        <v>0.75</v>
      </c>
      <c r="G53" s="79">
        <f t="shared" si="7"/>
        <v>1.44</v>
      </c>
      <c r="H53" s="79">
        <f t="shared" si="7"/>
        <v>0.74000000000000021</v>
      </c>
      <c r="I53" s="79">
        <f t="shared" si="7"/>
        <v>0.51</v>
      </c>
      <c r="J53" s="79">
        <f t="shared" si="7"/>
        <v>1.6099999999999999</v>
      </c>
      <c r="K53" s="79">
        <f t="shared" si="7"/>
        <v>0.96999999999999975</v>
      </c>
      <c r="L53" s="79">
        <f t="shared" si="7"/>
        <v>0.24</v>
      </c>
      <c r="M53" s="79">
        <f t="shared" si="7"/>
        <v>1.7799999999999998</v>
      </c>
      <c r="N53" s="79">
        <f t="shared" si="8"/>
        <v>5.32</v>
      </c>
      <c r="O53" s="79">
        <f t="shared" si="8"/>
        <v>4.59</v>
      </c>
      <c r="P53" s="79"/>
      <c r="R53" s="81">
        <v>41684</v>
      </c>
      <c r="S53" s="79">
        <f t="shared" si="9"/>
        <v>1.1799999999999997</v>
      </c>
      <c r="T53" s="79">
        <f t="shared" si="10"/>
        <v>9.0000000000000302E-2</v>
      </c>
      <c r="U53" s="79">
        <f t="shared" si="10"/>
        <v>1.3699999999999999</v>
      </c>
      <c r="V53" s="79">
        <f t="shared" si="10"/>
        <v>0.25999999999999979</v>
      </c>
      <c r="W53" s="79">
        <f t="shared" si="10"/>
        <v>1.8499999999999996</v>
      </c>
      <c r="X53" s="79">
        <f t="shared" si="10"/>
        <v>1.06</v>
      </c>
      <c r="Y53" s="79">
        <f t="shared" si="10"/>
        <v>2.0999999999999996</v>
      </c>
      <c r="Z53" s="79">
        <f t="shared" si="10"/>
        <v>1.2999999999999998</v>
      </c>
      <c r="AA53" s="79">
        <f t="shared" si="10"/>
        <v>0</v>
      </c>
      <c r="AB53" s="79">
        <f t="shared" si="10"/>
        <v>0.98</v>
      </c>
      <c r="AC53" s="79">
        <f t="shared" si="10"/>
        <v>1.44</v>
      </c>
      <c r="AD53" s="79">
        <f t="shared" si="10"/>
        <v>0</v>
      </c>
      <c r="AE53" s="79">
        <f t="shared" si="11"/>
        <v>0.45</v>
      </c>
      <c r="AF53" s="79">
        <f t="shared" si="11"/>
        <v>1.3</v>
      </c>
    </row>
    <row r="54" spans="1:32" x14ac:dyDescent="0.25">
      <c r="A54" s="81">
        <v>41691</v>
      </c>
      <c r="B54" s="79">
        <f t="shared" si="6"/>
        <v>1.08</v>
      </c>
      <c r="C54" s="79">
        <f t="shared" si="7"/>
        <v>1.56</v>
      </c>
      <c r="D54" s="79">
        <f t="shared" si="7"/>
        <v>0.51</v>
      </c>
      <c r="E54" s="79">
        <f t="shared" si="7"/>
        <v>2.52</v>
      </c>
      <c r="F54" s="79">
        <f t="shared" si="7"/>
        <v>1.6</v>
      </c>
      <c r="G54" s="79">
        <f t="shared" si="7"/>
        <v>1.3199999999999998</v>
      </c>
      <c r="H54" s="79">
        <f t="shared" si="7"/>
        <v>0.98</v>
      </c>
      <c r="I54" s="79">
        <f t="shared" si="7"/>
        <v>0.51</v>
      </c>
      <c r="J54" s="79">
        <f t="shared" si="7"/>
        <v>1.6099999999999999</v>
      </c>
      <c r="K54" s="79">
        <f t="shared" si="7"/>
        <v>1.2999999999999998</v>
      </c>
      <c r="L54" s="79">
        <f t="shared" si="7"/>
        <v>0.53</v>
      </c>
      <c r="M54" s="79">
        <f t="shared" si="7"/>
        <v>1.7799999999999998</v>
      </c>
      <c r="N54" s="79">
        <f t="shared" si="8"/>
        <v>4.46</v>
      </c>
      <c r="O54" s="79">
        <f t="shared" si="8"/>
        <v>5.39</v>
      </c>
      <c r="P54" s="79"/>
      <c r="R54" s="81">
        <v>41691</v>
      </c>
      <c r="S54" s="79">
        <f t="shared" si="9"/>
        <v>1.1699999999999995</v>
      </c>
      <c r="T54" s="79">
        <f t="shared" si="10"/>
        <v>0.68000000000000016</v>
      </c>
      <c r="U54" s="79">
        <f t="shared" si="10"/>
        <v>1.0699999999999998</v>
      </c>
      <c r="V54" s="79">
        <f t="shared" si="10"/>
        <v>0</v>
      </c>
      <c r="W54" s="79">
        <f t="shared" si="10"/>
        <v>0.99999999999999956</v>
      </c>
      <c r="X54" s="79">
        <f t="shared" si="10"/>
        <v>1.1800000000000002</v>
      </c>
      <c r="Y54" s="79">
        <f t="shared" si="10"/>
        <v>1.8599999999999999</v>
      </c>
      <c r="Z54" s="79">
        <f t="shared" si="10"/>
        <v>1.2999999999999998</v>
      </c>
      <c r="AA54" s="79">
        <f t="shared" si="10"/>
        <v>0</v>
      </c>
      <c r="AB54" s="79">
        <f t="shared" si="10"/>
        <v>0.64999999999999991</v>
      </c>
      <c r="AC54" s="79">
        <f t="shared" si="10"/>
        <v>1.1499999999999999</v>
      </c>
      <c r="AD54" s="79">
        <f t="shared" si="10"/>
        <v>0</v>
      </c>
      <c r="AE54" s="79">
        <f t="shared" si="11"/>
        <v>1.31</v>
      </c>
      <c r="AF54" s="79">
        <f t="shared" si="11"/>
        <v>0.5</v>
      </c>
    </row>
    <row r="55" spans="1:32" x14ac:dyDescent="0.25">
      <c r="A55" s="81">
        <v>41705</v>
      </c>
      <c r="B55" s="79">
        <f t="shared" si="6"/>
        <v>0.52</v>
      </c>
      <c r="C55" s="79">
        <f t="shared" ref="C55:M56" si="12">IF(C28="","",IF(C28="dry",VLOOKUP($A55,$A$131:$M$157,C$30,FALSE),C28-VLOOKUP($A55,$A$103:$M$129,C$30,FALSE)))</f>
        <v>0.64999999999999991</v>
      </c>
      <c r="D55" s="79">
        <f t="shared" si="12"/>
        <v>0.17000000000000015</v>
      </c>
      <c r="E55" s="79">
        <f t="shared" si="12"/>
        <v>0.37000000000000011</v>
      </c>
      <c r="F55" s="79">
        <f t="shared" si="12"/>
        <v>0.39999999999999991</v>
      </c>
      <c r="G55" s="79">
        <f t="shared" si="12"/>
        <v>0.56999999999999984</v>
      </c>
      <c r="H55" s="79">
        <f t="shared" si="12"/>
        <v>0.64000000000000012</v>
      </c>
      <c r="I55" s="79">
        <f t="shared" si="12"/>
        <v>0.21999999999999997</v>
      </c>
      <c r="J55" s="79">
        <f t="shared" si="12"/>
        <v>0.81999999999999984</v>
      </c>
      <c r="K55" s="79">
        <f t="shared" si="12"/>
        <v>0.35000000000000009</v>
      </c>
      <c r="L55" s="79">
        <f t="shared" si="12"/>
        <v>0.20999999999999996</v>
      </c>
      <c r="M55" s="79">
        <f t="shared" si="12"/>
        <v>0.64999999999999991</v>
      </c>
      <c r="N55" s="79">
        <f t="shared" ref="N55:O56" si="13">IF(N28="","",IF(N28="dry",ROUND(N$64-N$68,2),ROUND(N28-N$68,2)))</f>
        <v>4.62</v>
      </c>
      <c r="O55" s="79">
        <f t="shared" si="13"/>
        <v>1.17</v>
      </c>
      <c r="P55" s="79"/>
      <c r="R55" s="81">
        <v>41705</v>
      </c>
      <c r="S55" s="79">
        <f t="shared" si="9"/>
        <v>1.7299999999999995</v>
      </c>
      <c r="T55" s="79">
        <f t="shared" si="10"/>
        <v>1.5900000000000003</v>
      </c>
      <c r="U55" s="79">
        <f t="shared" si="10"/>
        <v>1.4099999999999997</v>
      </c>
      <c r="V55" s="79">
        <f t="shared" si="10"/>
        <v>2.15</v>
      </c>
      <c r="W55" s="79">
        <f t="shared" si="10"/>
        <v>2.1999999999999997</v>
      </c>
      <c r="X55" s="79">
        <f t="shared" si="10"/>
        <v>1.9300000000000002</v>
      </c>
      <c r="Y55" s="79">
        <f t="shared" si="10"/>
        <v>2.1999999999999997</v>
      </c>
      <c r="Z55" s="79">
        <f t="shared" si="10"/>
        <v>1.5899999999999999</v>
      </c>
      <c r="AA55" s="79">
        <f t="shared" si="10"/>
        <v>0.79</v>
      </c>
      <c r="AB55" s="79">
        <f t="shared" si="10"/>
        <v>1.5999999999999996</v>
      </c>
      <c r="AC55" s="79">
        <f t="shared" si="10"/>
        <v>1.47</v>
      </c>
      <c r="AD55" s="79">
        <f t="shared" si="10"/>
        <v>1.1299999999999999</v>
      </c>
      <c r="AE55" s="79">
        <f t="shared" si="11"/>
        <v>1.1499999999999999</v>
      </c>
      <c r="AF55" s="79">
        <f t="shared" si="11"/>
        <v>4.72</v>
      </c>
    </row>
    <row r="56" spans="1:32" x14ac:dyDescent="0.25">
      <c r="A56" s="81">
        <v>41712</v>
      </c>
      <c r="B56" s="79">
        <f t="shared" si="6"/>
        <v>0.75</v>
      </c>
      <c r="C56" s="79">
        <f t="shared" si="12"/>
        <v>1.5100000000000002</v>
      </c>
      <c r="D56" s="79">
        <f t="shared" si="12"/>
        <v>0.7</v>
      </c>
      <c r="E56" s="79">
        <f t="shared" si="12"/>
        <v>0.66000000000000014</v>
      </c>
      <c r="F56" s="79">
        <f t="shared" si="12"/>
        <v>1.0699999999999998</v>
      </c>
      <c r="G56" s="79">
        <f t="shared" si="12"/>
        <v>1.25</v>
      </c>
      <c r="H56" s="79">
        <f t="shared" si="12"/>
        <v>1.0699999999999998</v>
      </c>
      <c r="I56" s="79">
        <f t="shared" si="12"/>
        <v>0.42999999999999994</v>
      </c>
      <c r="J56" s="79">
        <f t="shared" si="12"/>
        <v>1.2799999999999998</v>
      </c>
      <c r="K56" s="79">
        <f t="shared" si="12"/>
        <v>0.83999999999999986</v>
      </c>
      <c r="L56" s="79">
        <f t="shared" si="12"/>
        <v>0.57000000000000006</v>
      </c>
      <c r="M56" s="79">
        <f t="shared" si="12"/>
        <v>0.98</v>
      </c>
      <c r="N56" s="79">
        <f t="shared" si="13"/>
        <v>5.48</v>
      </c>
      <c r="O56" s="79">
        <f t="shared" si="13"/>
        <v>1.46</v>
      </c>
      <c r="P56" s="79"/>
      <c r="R56" s="81">
        <v>41712</v>
      </c>
      <c r="S56" s="79">
        <f t="shared" si="9"/>
        <v>1.4999999999999996</v>
      </c>
      <c r="T56" s="79">
        <f t="shared" si="10"/>
        <v>0.73</v>
      </c>
      <c r="U56" s="79">
        <f t="shared" si="10"/>
        <v>0.87999999999999989</v>
      </c>
      <c r="V56" s="79">
        <f t="shared" si="10"/>
        <v>1.8599999999999999</v>
      </c>
      <c r="W56" s="79">
        <f t="shared" si="10"/>
        <v>1.5299999999999998</v>
      </c>
      <c r="X56" s="79">
        <f t="shared" si="10"/>
        <v>1.25</v>
      </c>
      <c r="Y56" s="79">
        <f t="shared" si="10"/>
        <v>1.77</v>
      </c>
      <c r="Z56" s="79">
        <f t="shared" si="10"/>
        <v>1.38</v>
      </c>
      <c r="AA56" s="79">
        <f t="shared" si="10"/>
        <v>0.33000000000000007</v>
      </c>
      <c r="AB56" s="79">
        <f t="shared" si="10"/>
        <v>1.1099999999999999</v>
      </c>
      <c r="AC56" s="79">
        <f t="shared" si="10"/>
        <v>1.1099999999999999</v>
      </c>
      <c r="AD56" s="79">
        <f t="shared" si="10"/>
        <v>0.79999999999999982</v>
      </c>
      <c r="AE56" s="79">
        <f t="shared" si="11"/>
        <v>0.28999999999999998</v>
      </c>
      <c r="AF56" s="79">
        <f t="shared" si="11"/>
        <v>4.43</v>
      </c>
    </row>
    <row r="60" spans="1:32" x14ac:dyDescent="0.25">
      <c r="B60" s="73" t="s">
        <v>16</v>
      </c>
      <c r="C60" s="73" t="s">
        <v>17</v>
      </c>
      <c r="D60" s="73" t="s">
        <v>18</v>
      </c>
      <c r="E60" s="73" t="s">
        <v>19</v>
      </c>
      <c r="F60" s="73" t="s">
        <v>20</v>
      </c>
      <c r="G60" s="73" t="s">
        <v>21</v>
      </c>
      <c r="H60" s="73" t="s">
        <v>22</v>
      </c>
      <c r="I60" s="73" t="s">
        <v>23</v>
      </c>
      <c r="J60" s="73" t="s">
        <v>24</v>
      </c>
      <c r="K60" s="73" t="s">
        <v>25</v>
      </c>
      <c r="L60" s="73" t="s">
        <v>27</v>
      </c>
      <c r="M60" s="73" t="s">
        <v>26</v>
      </c>
    </row>
    <row r="61" spans="1:32" x14ac:dyDescent="0.25">
      <c r="A61" s="73" t="s">
        <v>201</v>
      </c>
      <c r="B61" s="73">
        <v>4.2699999999999996</v>
      </c>
      <c r="C61" s="73">
        <v>2.89</v>
      </c>
      <c r="D61" s="73">
        <v>2.54</v>
      </c>
      <c r="E61" s="73">
        <v>4.26</v>
      </c>
      <c r="F61" s="73">
        <v>4.01</v>
      </c>
      <c r="G61" s="73">
        <v>3.9</v>
      </c>
      <c r="H61" s="73">
        <v>3.35</v>
      </c>
      <c r="I61" s="73">
        <v>3.57</v>
      </c>
      <c r="J61" s="73">
        <v>3.64</v>
      </c>
      <c r="K61" s="73">
        <v>4.05</v>
      </c>
      <c r="L61" s="73">
        <v>3.38</v>
      </c>
      <c r="M61" s="73">
        <v>2.52</v>
      </c>
    </row>
    <row r="62" spans="1:32" x14ac:dyDescent="0.25">
      <c r="A62" s="73" t="s">
        <v>202</v>
      </c>
      <c r="B62" s="73">
        <v>4.25</v>
      </c>
      <c r="C62" s="73">
        <v>3.75</v>
      </c>
      <c r="D62" s="73">
        <v>2.4</v>
      </c>
      <c r="E62" s="73">
        <v>4.25</v>
      </c>
      <c r="F62" s="73">
        <v>3.95</v>
      </c>
      <c r="G62" s="73">
        <v>3.95</v>
      </c>
      <c r="I62" s="73">
        <v>3.45</v>
      </c>
      <c r="J62" s="73">
        <v>3.75</v>
      </c>
      <c r="L62" s="73">
        <v>3.2</v>
      </c>
      <c r="M62" s="73">
        <v>4.3499999999999996</v>
      </c>
    </row>
    <row r="63" spans="1:32" x14ac:dyDescent="0.25">
      <c r="A63" s="73" t="s">
        <v>203</v>
      </c>
      <c r="B63" s="73">
        <v>4.3499999999999996</v>
      </c>
      <c r="C63" s="73">
        <v>3.89</v>
      </c>
      <c r="D63" s="73">
        <v>2.5299999999999998</v>
      </c>
      <c r="E63" s="73">
        <v>4.3499999999999996</v>
      </c>
      <c r="F63" s="73">
        <v>4.0999999999999996</v>
      </c>
      <c r="G63" s="73">
        <v>3.97</v>
      </c>
      <c r="I63" s="73">
        <v>3.61</v>
      </c>
      <c r="J63" s="73">
        <v>3.74</v>
      </c>
      <c r="L63" s="73">
        <v>3.42</v>
      </c>
      <c r="M63" s="73">
        <v>4.38</v>
      </c>
      <c r="N63" s="73">
        <v>8</v>
      </c>
      <c r="O63" s="73">
        <v>8.3000000000000007</v>
      </c>
    </row>
    <row r="64" spans="1:32" x14ac:dyDescent="0.25">
      <c r="A64" s="73" t="s">
        <v>204</v>
      </c>
      <c r="B64" s="76">
        <v>4.3499999999999996</v>
      </c>
      <c r="C64" s="76">
        <v>3.89</v>
      </c>
      <c r="D64" s="76">
        <v>2.5299999999999998</v>
      </c>
      <c r="E64" s="73">
        <v>4.5</v>
      </c>
      <c r="F64" s="76">
        <v>4.0999999999999996</v>
      </c>
      <c r="G64" s="73">
        <v>4</v>
      </c>
      <c r="H64" s="73">
        <v>4.55</v>
      </c>
      <c r="I64" s="76">
        <v>3.61</v>
      </c>
      <c r="J64" s="73">
        <v>3.75</v>
      </c>
      <c r="K64" s="76">
        <v>4.05</v>
      </c>
      <c r="L64" s="76">
        <v>3.42</v>
      </c>
      <c r="M64" s="76">
        <v>4.38</v>
      </c>
      <c r="N64" s="73">
        <f>AVERAGE(N61:N63)</f>
        <v>8</v>
      </c>
      <c r="O64" s="73">
        <f>AVERAGE(O61:O63)</f>
        <v>8.3000000000000007</v>
      </c>
    </row>
    <row r="65" spans="1:21" x14ac:dyDescent="0.25">
      <c r="A65" s="73" t="s">
        <v>205</v>
      </c>
      <c r="B65" s="73">
        <v>1.73</v>
      </c>
      <c r="C65" s="73">
        <v>1.42</v>
      </c>
      <c r="D65" s="73">
        <v>0.63</v>
      </c>
      <c r="E65" s="73">
        <v>1.79</v>
      </c>
      <c r="F65" s="73">
        <v>1.03</v>
      </c>
      <c r="G65" s="73">
        <v>1.17</v>
      </c>
      <c r="H65" s="73">
        <v>1.71</v>
      </c>
      <c r="I65" s="73">
        <v>1.54</v>
      </c>
      <c r="J65" s="73">
        <v>1.88</v>
      </c>
      <c r="K65" s="73">
        <v>2.1</v>
      </c>
      <c r="L65" s="73">
        <v>1.34</v>
      </c>
      <c r="M65" s="76">
        <v>0.54</v>
      </c>
      <c r="Q65" s="73">
        <f>3.38-1.34</f>
        <v>2.04</v>
      </c>
    </row>
    <row r="66" spans="1:21" x14ac:dyDescent="0.25">
      <c r="A66" s="73" t="s">
        <v>206</v>
      </c>
      <c r="B66" s="73">
        <v>1.9</v>
      </c>
      <c r="C66" s="73">
        <v>1.45</v>
      </c>
      <c r="D66" s="73">
        <v>0.9</v>
      </c>
      <c r="E66" s="73">
        <v>1.95</v>
      </c>
      <c r="F66" s="73">
        <v>1.1499999999999999</v>
      </c>
      <c r="G66" s="73">
        <v>1.45</v>
      </c>
      <c r="I66" s="73">
        <v>1.65</v>
      </c>
      <c r="J66" s="73">
        <v>2</v>
      </c>
      <c r="L66" s="73">
        <v>1.65</v>
      </c>
      <c r="M66" s="73">
        <v>2.5499999999999998</v>
      </c>
      <c r="N66" s="73">
        <v>2.2000000000000002</v>
      </c>
      <c r="O66" s="73">
        <v>2.2999999999999998</v>
      </c>
    </row>
    <row r="67" spans="1:21" x14ac:dyDescent="0.25">
      <c r="A67" s="73" t="s">
        <v>207</v>
      </c>
      <c r="B67" s="73">
        <v>1.96</v>
      </c>
      <c r="C67" s="73">
        <v>1.51</v>
      </c>
      <c r="D67" s="73">
        <v>0.95</v>
      </c>
      <c r="E67" s="73">
        <v>1.98</v>
      </c>
      <c r="F67" s="73">
        <v>1.32</v>
      </c>
      <c r="G67" s="73">
        <v>1.58</v>
      </c>
      <c r="I67" s="73">
        <v>1.8</v>
      </c>
      <c r="J67" s="73">
        <v>2.14</v>
      </c>
      <c r="L67" s="73">
        <v>1.74</v>
      </c>
      <c r="M67" s="73">
        <v>2.6</v>
      </c>
      <c r="N67" s="73">
        <v>2.27</v>
      </c>
      <c r="O67" s="73">
        <v>2.52</v>
      </c>
    </row>
    <row r="68" spans="1:21" x14ac:dyDescent="0.25">
      <c r="A68" s="73" t="s">
        <v>208</v>
      </c>
      <c r="B68" s="73">
        <v>2.1</v>
      </c>
      <c r="C68" s="73">
        <v>1.65</v>
      </c>
      <c r="D68" s="76">
        <v>0.95</v>
      </c>
      <c r="E68" s="76">
        <v>1.98</v>
      </c>
      <c r="F68" s="73">
        <v>1.5</v>
      </c>
      <c r="G68" s="73">
        <v>1.5</v>
      </c>
      <c r="H68" s="76">
        <v>1.71</v>
      </c>
      <c r="I68" s="76">
        <v>1.8</v>
      </c>
      <c r="J68" s="76">
        <v>2.14</v>
      </c>
      <c r="K68" s="76">
        <v>2.1</v>
      </c>
      <c r="L68" s="76">
        <v>1.74</v>
      </c>
      <c r="M68" s="76">
        <v>2.6</v>
      </c>
      <c r="N68" s="73">
        <f>AVERAGE(N66:N67)</f>
        <v>2.2350000000000003</v>
      </c>
      <c r="O68" s="73">
        <f>AVERAGE(O66:O67)</f>
        <v>2.41</v>
      </c>
    </row>
    <row r="70" spans="1:21" x14ac:dyDescent="0.25">
      <c r="A70" s="73" t="s">
        <v>209</v>
      </c>
    </row>
    <row r="71" spans="1:21" x14ac:dyDescent="0.25">
      <c r="A71" s="73" t="s">
        <v>210</v>
      </c>
    </row>
    <row r="73" spans="1:21" x14ac:dyDescent="0.25">
      <c r="B73" s="73" t="s">
        <v>211</v>
      </c>
      <c r="R73" s="73" t="s">
        <v>21</v>
      </c>
      <c r="U73" s="73" t="s">
        <v>22</v>
      </c>
    </row>
    <row r="74" spans="1:21" x14ac:dyDescent="0.25">
      <c r="B74" s="73" t="s">
        <v>16</v>
      </c>
      <c r="C74" s="73" t="s">
        <v>17</v>
      </c>
      <c r="D74" s="73" t="s">
        <v>18</v>
      </c>
      <c r="E74" s="73" t="s">
        <v>19</v>
      </c>
      <c r="F74" s="73" t="s">
        <v>20</v>
      </c>
      <c r="G74" s="73" t="s">
        <v>21</v>
      </c>
      <c r="H74" s="73" t="s">
        <v>22</v>
      </c>
      <c r="I74" s="73" t="s">
        <v>23</v>
      </c>
      <c r="J74" s="73" t="s">
        <v>24</v>
      </c>
      <c r="K74" s="73" t="s">
        <v>25</v>
      </c>
      <c r="L74" s="73" t="s">
        <v>27</v>
      </c>
      <c r="M74" s="73" t="s">
        <v>26</v>
      </c>
      <c r="S74" s="73" t="s">
        <v>27</v>
      </c>
    </row>
    <row r="75" spans="1:21" x14ac:dyDescent="0.25">
      <c r="A75" s="81">
        <v>40918</v>
      </c>
      <c r="B75" s="73">
        <f>B61</f>
        <v>4.2699999999999996</v>
      </c>
      <c r="C75" s="73">
        <f t="shared" ref="C75:M75" si="14">C61</f>
        <v>2.89</v>
      </c>
      <c r="D75" s="73">
        <f t="shared" si="14"/>
        <v>2.54</v>
      </c>
      <c r="E75" s="73">
        <f t="shared" si="14"/>
        <v>4.26</v>
      </c>
      <c r="F75" s="73">
        <f t="shared" si="14"/>
        <v>4.01</v>
      </c>
      <c r="G75" s="73">
        <f t="shared" si="14"/>
        <v>3.9</v>
      </c>
      <c r="H75" s="73">
        <f t="shared" si="14"/>
        <v>3.35</v>
      </c>
      <c r="I75" s="73">
        <f t="shared" si="14"/>
        <v>3.57</v>
      </c>
      <c r="J75" s="73">
        <f t="shared" si="14"/>
        <v>3.64</v>
      </c>
      <c r="K75" s="73">
        <f t="shared" si="14"/>
        <v>4.05</v>
      </c>
      <c r="L75" s="73">
        <f t="shared" si="14"/>
        <v>3.38</v>
      </c>
      <c r="M75" s="73">
        <f t="shared" si="14"/>
        <v>2.52</v>
      </c>
      <c r="S75" s="73">
        <v>2.52</v>
      </c>
      <c r="T75" s="73">
        <v>0.54</v>
      </c>
      <c r="U75" s="73">
        <f>S75-T75</f>
        <v>1.98</v>
      </c>
    </row>
    <row r="76" spans="1:21" x14ac:dyDescent="0.25">
      <c r="A76" s="81">
        <v>40920</v>
      </c>
      <c r="B76" s="73">
        <f>B61</f>
        <v>4.2699999999999996</v>
      </c>
      <c r="C76" s="73">
        <f t="shared" ref="C76:M76" si="15">C61</f>
        <v>2.89</v>
      </c>
      <c r="D76" s="73">
        <f t="shared" si="15"/>
        <v>2.54</v>
      </c>
      <c r="E76" s="73">
        <f t="shared" si="15"/>
        <v>4.26</v>
      </c>
      <c r="F76" s="73">
        <f t="shared" si="15"/>
        <v>4.01</v>
      </c>
      <c r="G76" s="73">
        <f t="shared" si="15"/>
        <v>3.9</v>
      </c>
      <c r="H76" s="73">
        <f t="shared" si="15"/>
        <v>3.35</v>
      </c>
      <c r="I76" s="73">
        <f t="shared" si="15"/>
        <v>3.57</v>
      </c>
      <c r="J76" s="73">
        <f t="shared" si="15"/>
        <v>3.64</v>
      </c>
      <c r="K76" s="73">
        <f t="shared" si="15"/>
        <v>4.05</v>
      </c>
      <c r="L76" s="73">
        <f t="shared" si="15"/>
        <v>3.38</v>
      </c>
      <c r="M76" s="73">
        <f t="shared" si="15"/>
        <v>2.52</v>
      </c>
      <c r="S76" s="73">
        <v>2.52</v>
      </c>
      <c r="T76" s="73">
        <v>0.54</v>
      </c>
      <c r="U76" s="73">
        <f t="shared" ref="U76:U79" si="16">S76-T76</f>
        <v>1.98</v>
      </c>
    </row>
    <row r="77" spans="1:21" x14ac:dyDescent="0.25">
      <c r="A77" s="81">
        <v>40941</v>
      </c>
      <c r="B77" s="73">
        <f>B61</f>
        <v>4.2699999999999996</v>
      </c>
      <c r="C77" s="73">
        <f t="shared" ref="C77:M77" si="17">C61</f>
        <v>2.89</v>
      </c>
      <c r="D77" s="73">
        <f t="shared" si="17"/>
        <v>2.54</v>
      </c>
      <c r="E77" s="73">
        <f t="shared" si="17"/>
        <v>4.26</v>
      </c>
      <c r="F77" s="73">
        <f t="shared" si="17"/>
        <v>4.01</v>
      </c>
      <c r="G77" s="73">
        <f t="shared" si="17"/>
        <v>3.9</v>
      </c>
      <c r="H77" s="73">
        <f t="shared" si="17"/>
        <v>3.35</v>
      </c>
      <c r="I77" s="73">
        <f t="shared" si="17"/>
        <v>3.57</v>
      </c>
      <c r="J77" s="73">
        <f t="shared" si="17"/>
        <v>3.64</v>
      </c>
      <c r="K77" s="73">
        <f t="shared" si="17"/>
        <v>4.05</v>
      </c>
      <c r="L77" s="73">
        <f t="shared" si="17"/>
        <v>3.38</v>
      </c>
      <c r="M77" s="73">
        <f t="shared" si="17"/>
        <v>2.52</v>
      </c>
      <c r="S77" s="73">
        <v>4.3499999999999996</v>
      </c>
      <c r="T77" s="73">
        <v>2.5499999999999998</v>
      </c>
      <c r="U77" s="73">
        <f t="shared" si="16"/>
        <v>1.7999999999999998</v>
      </c>
    </row>
    <row r="78" spans="1:21" x14ac:dyDescent="0.25">
      <c r="A78" s="81">
        <v>40962</v>
      </c>
      <c r="B78" s="73">
        <f>B61</f>
        <v>4.2699999999999996</v>
      </c>
      <c r="C78" s="73">
        <f t="shared" ref="C78:M78" si="18">C61</f>
        <v>2.89</v>
      </c>
      <c r="D78" s="73">
        <f t="shared" si="18"/>
        <v>2.54</v>
      </c>
      <c r="E78" s="73">
        <f t="shared" si="18"/>
        <v>4.26</v>
      </c>
      <c r="F78" s="73">
        <f t="shared" si="18"/>
        <v>4.01</v>
      </c>
      <c r="G78" s="73">
        <f t="shared" si="18"/>
        <v>3.9</v>
      </c>
      <c r="H78" s="73">
        <f t="shared" si="18"/>
        <v>3.35</v>
      </c>
      <c r="I78" s="73">
        <f t="shared" si="18"/>
        <v>3.57</v>
      </c>
      <c r="J78" s="73">
        <f t="shared" si="18"/>
        <v>3.64</v>
      </c>
      <c r="K78" s="73">
        <f t="shared" si="18"/>
        <v>4.05</v>
      </c>
      <c r="L78" s="73">
        <f t="shared" si="18"/>
        <v>3.38</v>
      </c>
      <c r="M78" s="73">
        <f t="shared" si="18"/>
        <v>2.52</v>
      </c>
      <c r="S78" s="73">
        <v>4.3499999999999996</v>
      </c>
      <c r="T78" s="73">
        <v>2.5499999999999998</v>
      </c>
      <c r="U78" s="73">
        <f t="shared" si="16"/>
        <v>1.7999999999999998</v>
      </c>
    </row>
    <row r="79" spans="1:21" x14ac:dyDescent="0.25">
      <c r="A79" s="81">
        <v>40963</v>
      </c>
      <c r="B79" s="73">
        <f>B61</f>
        <v>4.2699999999999996</v>
      </c>
      <c r="C79" s="73">
        <f t="shared" ref="C79:M79" si="19">C61</f>
        <v>2.89</v>
      </c>
      <c r="D79" s="73">
        <f t="shared" si="19"/>
        <v>2.54</v>
      </c>
      <c r="E79" s="73">
        <f t="shared" si="19"/>
        <v>4.26</v>
      </c>
      <c r="F79" s="73">
        <f t="shared" si="19"/>
        <v>4.01</v>
      </c>
      <c r="G79" s="73">
        <f t="shared" si="19"/>
        <v>3.9</v>
      </c>
      <c r="H79" s="73">
        <f t="shared" si="19"/>
        <v>3.35</v>
      </c>
      <c r="I79" s="73">
        <f t="shared" si="19"/>
        <v>3.57</v>
      </c>
      <c r="J79" s="73">
        <f t="shared" si="19"/>
        <v>3.64</v>
      </c>
      <c r="K79" s="73">
        <f t="shared" si="19"/>
        <v>4.05</v>
      </c>
      <c r="L79" s="73">
        <f t="shared" si="19"/>
        <v>3.38</v>
      </c>
      <c r="M79" s="73">
        <f t="shared" si="19"/>
        <v>2.52</v>
      </c>
      <c r="S79" s="73">
        <v>4.38</v>
      </c>
      <c r="T79" s="73">
        <v>2.6</v>
      </c>
      <c r="U79" s="73">
        <f t="shared" si="16"/>
        <v>1.7799999999999998</v>
      </c>
    </row>
    <row r="80" spans="1:21" x14ac:dyDescent="0.25">
      <c r="A80" s="81">
        <v>40990</v>
      </c>
      <c r="B80" s="73">
        <f>B61</f>
        <v>4.2699999999999996</v>
      </c>
      <c r="C80" s="73">
        <f>C62</f>
        <v>3.75</v>
      </c>
      <c r="D80" s="73">
        <f t="shared" ref="D80:M80" si="20">D61</f>
        <v>2.54</v>
      </c>
      <c r="E80" s="73">
        <f t="shared" si="20"/>
        <v>4.26</v>
      </c>
      <c r="F80" s="73">
        <f t="shared" si="20"/>
        <v>4.01</v>
      </c>
      <c r="G80" s="73">
        <f t="shared" si="20"/>
        <v>3.9</v>
      </c>
      <c r="H80" s="73">
        <f t="shared" si="20"/>
        <v>3.35</v>
      </c>
      <c r="I80" s="73">
        <f t="shared" si="20"/>
        <v>3.57</v>
      </c>
      <c r="J80" s="73">
        <f t="shared" si="20"/>
        <v>3.64</v>
      </c>
      <c r="K80" s="73">
        <f t="shared" si="20"/>
        <v>4.05</v>
      </c>
      <c r="L80" s="73">
        <f t="shared" si="20"/>
        <v>3.38</v>
      </c>
      <c r="M80" s="73">
        <f t="shared" si="20"/>
        <v>2.52</v>
      </c>
    </row>
    <row r="81" spans="1:13" x14ac:dyDescent="0.25">
      <c r="A81" s="81">
        <v>41016</v>
      </c>
      <c r="B81" s="73">
        <f>B61</f>
        <v>4.2699999999999996</v>
      </c>
      <c r="C81" s="73">
        <f>C62</f>
        <v>3.75</v>
      </c>
      <c r="D81" s="73">
        <f t="shared" ref="D81:M81" si="21">D61</f>
        <v>2.54</v>
      </c>
      <c r="E81" s="73">
        <f t="shared" si="21"/>
        <v>4.26</v>
      </c>
      <c r="F81" s="73">
        <f t="shared" si="21"/>
        <v>4.01</v>
      </c>
      <c r="G81" s="73">
        <f t="shared" si="21"/>
        <v>3.9</v>
      </c>
      <c r="H81" s="73">
        <f t="shared" si="21"/>
        <v>3.35</v>
      </c>
      <c r="I81" s="73">
        <f t="shared" si="21"/>
        <v>3.57</v>
      </c>
      <c r="J81" s="73">
        <f t="shared" si="21"/>
        <v>3.64</v>
      </c>
      <c r="K81" s="73">
        <f t="shared" si="21"/>
        <v>4.05</v>
      </c>
      <c r="L81" s="73">
        <f t="shared" si="21"/>
        <v>3.38</v>
      </c>
      <c r="M81" s="73">
        <f t="shared" si="21"/>
        <v>2.52</v>
      </c>
    </row>
    <row r="82" spans="1:13" x14ac:dyDescent="0.25">
      <c r="A82" s="81">
        <v>41092</v>
      </c>
      <c r="B82" s="73">
        <f>B61</f>
        <v>4.2699999999999996</v>
      </c>
      <c r="C82" s="73">
        <f>C62</f>
        <v>3.75</v>
      </c>
      <c r="D82" s="73">
        <f t="shared" ref="D82:M82" si="22">D61</f>
        <v>2.54</v>
      </c>
      <c r="E82" s="73">
        <f t="shared" si="22"/>
        <v>4.26</v>
      </c>
      <c r="F82" s="73">
        <f t="shared" si="22"/>
        <v>4.01</v>
      </c>
      <c r="G82" s="73">
        <f t="shared" si="22"/>
        <v>3.9</v>
      </c>
      <c r="H82" s="73">
        <f t="shared" si="22"/>
        <v>3.35</v>
      </c>
      <c r="I82" s="73">
        <f t="shared" si="22"/>
        <v>3.57</v>
      </c>
      <c r="J82" s="73">
        <f t="shared" si="22"/>
        <v>3.64</v>
      </c>
      <c r="K82" s="73">
        <f t="shared" si="22"/>
        <v>4.05</v>
      </c>
      <c r="L82" s="73">
        <f t="shared" si="22"/>
        <v>3.38</v>
      </c>
      <c r="M82" s="73">
        <f t="shared" si="22"/>
        <v>2.52</v>
      </c>
    </row>
    <row r="83" spans="1:13" x14ac:dyDescent="0.25">
      <c r="A83" s="81">
        <v>41123</v>
      </c>
      <c r="B83" s="73">
        <f>B61</f>
        <v>4.2699999999999996</v>
      </c>
      <c r="C83" s="73">
        <f>C62</f>
        <v>3.75</v>
      </c>
      <c r="D83" s="73">
        <f t="shared" ref="D83:M83" si="23">D61</f>
        <v>2.54</v>
      </c>
      <c r="E83" s="73">
        <f t="shared" si="23"/>
        <v>4.26</v>
      </c>
      <c r="F83" s="73">
        <f t="shared" si="23"/>
        <v>4.01</v>
      </c>
      <c r="G83" s="73">
        <f t="shared" si="23"/>
        <v>3.9</v>
      </c>
      <c r="H83" s="73">
        <f t="shared" si="23"/>
        <v>3.35</v>
      </c>
      <c r="I83" s="73">
        <f t="shared" si="23"/>
        <v>3.57</v>
      </c>
      <c r="J83" s="73">
        <f t="shared" si="23"/>
        <v>3.64</v>
      </c>
      <c r="K83" s="73">
        <f t="shared" si="23"/>
        <v>4.05</v>
      </c>
      <c r="L83" s="73">
        <f t="shared" si="23"/>
        <v>3.38</v>
      </c>
      <c r="M83" s="73">
        <f t="shared" si="23"/>
        <v>2.52</v>
      </c>
    </row>
    <row r="84" spans="1:13" x14ac:dyDescent="0.25">
      <c r="A84" s="81">
        <v>41227</v>
      </c>
      <c r="B84" s="73">
        <f>B62</f>
        <v>4.25</v>
      </c>
      <c r="C84" s="73">
        <f t="shared" ref="C84:M84" si="24">C62</f>
        <v>3.75</v>
      </c>
      <c r="D84" s="73">
        <f t="shared" si="24"/>
        <v>2.4</v>
      </c>
      <c r="E84" s="73">
        <f t="shared" si="24"/>
        <v>4.25</v>
      </c>
      <c r="F84" s="73">
        <f t="shared" si="24"/>
        <v>3.95</v>
      </c>
      <c r="G84" s="73">
        <f t="shared" si="24"/>
        <v>3.95</v>
      </c>
      <c r="H84" s="73" t="s">
        <v>212</v>
      </c>
      <c r="I84" s="73">
        <f t="shared" si="24"/>
        <v>3.45</v>
      </c>
      <c r="J84" s="73">
        <f t="shared" si="24"/>
        <v>3.75</v>
      </c>
      <c r="K84" s="73" t="s">
        <v>212</v>
      </c>
      <c r="L84" s="73">
        <f t="shared" si="24"/>
        <v>3.2</v>
      </c>
      <c r="M84" s="73">
        <f t="shared" si="24"/>
        <v>4.3499999999999996</v>
      </c>
    </row>
    <row r="85" spans="1:13" x14ac:dyDescent="0.25">
      <c r="A85" s="81">
        <v>41248</v>
      </c>
      <c r="B85" s="73">
        <f>B62</f>
        <v>4.25</v>
      </c>
      <c r="C85" s="73">
        <f t="shared" ref="C85:M85" si="25">C62</f>
        <v>3.75</v>
      </c>
      <c r="D85" s="73">
        <f t="shared" si="25"/>
        <v>2.4</v>
      </c>
      <c r="E85" s="73">
        <f t="shared" si="25"/>
        <v>4.25</v>
      </c>
      <c r="F85" s="73">
        <f t="shared" si="25"/>
        <v>3.95</v>
      </c>
      <c r="G85" s="73">
        <f t="shared" si="25"/>
        <v>3.95</v>
      </c>
      <c r="H85" s="73" t="s">
        <v>212</v>
      </c>
      <c r="I85" s="73">
        <f t="shared" si="25"/>
        <v>3.45</v>
      </c>
      <c r="J85" s="73">
        <f t="shared" si="25"/>
        <v>3.75</v>
      </c>
      <c r="K85" s="73" t="s">
        <v>212</v>
      </c>
      <c r="L85" s="73">
        <f t="shared" si="25"/>
        <v>3.2</v>
      </c>
      <c r="M85" s="73">
        <f t="shared" si="25"/>
        <v>4.3499999999999996</v>
      </c>
    </row>
    <row r="86" spans="1:13" x14ac:dyDescent="0.25">
      <c r="A86" s="81">
        <v>41277</v>
      </c>
      <c r="B86" s="73">
        <f>B62</f>
        <v>4.25</v>
      </c>
      <c r="C86" s="73">
        <f t="shared" ref="C86:M86" si="26">C62</f>
        <v>3.75</v>
      </c>
      <c r="D86" s="73">
        <f t="shared" si="26"/>
        <v>2.4</v>
      </c>
      <c r="E86" s="73">
        <f t="shared" si="26"/>
        <v>4.25</v>
      </c>
      <c r="F86" s="73">
        <f t="shared" si="26"/>
        <v>3.95</v>
      </c>
      <c r="G86" s="73">
        <f t="shared" si="26"/>
        <v>3.95</v>
      </c>
      <c r="H86" s="73" t="s">
        <v>212</v>
      </c>
      <c r="I86" s="73">
        <f t="shared" si="26"/>
        <v>3.45</v>
      </c>
      <c r="J86" s="73">
        <f t="shared" si="26"/>
        <v>3.75</v>
      </c>
      <c r="K86" s="73" t="s">
        <v>212</v>
      </c>
      <c r="L86" s="73">
        <f t="shared" si="26"/>
        <v>3.2</v>
      </c>
      <c r="M86" s="73">
        <f t="shared" si="26"/>
        <v>4.3499999999999996</v>
      </c>
    </row>
    <row r="87" spans="1:13" x14ac:dyDescent="0.25">
      <c r="A87" s="81">
        <v>41284</v>
      </c>
      <c r="B87" s="73">
        <f>B62</f>
        <v>4.25</v>
      </c>
      <c r="C87" s="73">
        <f t="shared" ref="C87:M87" si="27">C62</f>
        <v>3.75</v>
      </c>
      <c r="D87" s="73">
        <f t="shared" si="27"/>
        <v>2.4</v>
      </c>
      <c r="E87" s="73">
        <f t="shared" si="27"/>
        <v>4.25</v>
      </c>
      <c r="F87" s="73">
        <f t="shared" si="27"/>
        <v>3.95</v>
      </c>
      <c r="G87" s="73">
        <f t="shared" si="27"/>
        <v>3.95</v>
      </c>
      <c r="H87" s="73" t="s">
        <v>212</v>
      </c>
      <c r="I87" s="73">
        <f t="shared" si="27"/>
        <v>3.45</v>
      </c>
      <c r="J87" s="73">
        <f t="shared" si="27"/>
        <v>3.75</v>
      </c>
      <c r="K87" s="73" t="s">
        <v>212</v>
      </c>
      <c r="L87" s="73">
        <f t="shared" si="27"/>
        <v>3.2</v>
      </c>
      <c r="M87" s="73">
        <f t="shared" si="27"/>
        <v>4.3499999999999996</v>
      </c>
    </row>
    <row r="88" spans="1:13" x14ac:dyDescent="0.25">
      <c r="A88" s="81">
        <v>41305</v>
      </c>
      <c r="B88" s="73">
        <f>B62</f>
        <v>4.25</v>
      </c>
      <c r="C88" s="73">
        <f t="shared" ref="C88:M88" si="28">C62</f>
        <v>3.75</v>
      </c>
      <c r="D88" s="73">
        <f t="shared" si="28"/>
        <v>2.4</v>
      </c>
      <c r="E88" s="73">
        <f t="shared" si="28"/>
        <v>4.25</v>
      </c>
      <c r="F88" s="73">
        <f t="shared" si="28"/>
        <v>3.95</v>
      </c>
      <c r="G88" s="73">
        <f t="shared" si="28"/>
        <v>3.95</v>
      </c>
      <c r="H88" s="73" t="s">
        <v>212</v>
      </c>
      <c r="I88" s="73">
        <f t="shared" si="28"/>
        <v>3.45</v>
      </c>
      <c r="J88" s="73">
        <f t="shared" si="28"/>
        <v>3.75</v>
      </c>
      <c r="K88" s="73" t="s">
        <v>212</v>
      </c>
      <c r="L88" s="73">
        <f t="shared" si="28"/>
        <v>3.2</v>
      </c>
      <c r="M88" s="73">
        <f t="shared" si="28"/>
        <v>4.3499999999999996</v>
      </c>
    </row>
    <row r="89" spans="1:13" x14ac:dyDescent="0.25">
      <c r="A89" s="81">
        <v>41310</v>
      </c>
      <c r="B89" s="73">
        <f>B62</f>
        <v>4.25</v>
      </c>
      <c r="C89" s="73">
        <f t="shared" ref="C89:M89" si="29">C62</f>
        <v>3.75</v>
      </c>
      <c r="D89" s="73">
        <f t="shared" si="29"/>
        <v>2.4</v>
      </c>
      <c r="E89" s="73">
        <f t="shared" si="29"/>
        <v>4.25</v>
      </c>
      <c r="F89" s="73">
        <f t="shared" si="29"/>
        <v>3.95</v>
      </c>
      <c r="G89" s="73">
        <f t="shared" si="29"/>
        <v>3.95</v>
      </c>
      <c r="H89" s="73" t="s">
        <v>212</v>
      </c>
      <c r="I89" s="73">
        <f t="shared" si="29"/>
        <v>3.45</v>
      </c>
      <c r="J89" s="73">
        <f t="shared" si="29"/>
        <v>3.75</v>
      </c>
      <c r="K89" s="73" t="s">
        <v>212</v>
      </c>
      <c r="L89" s="73">
        <f t="shared" si="29"/>
        <v>3.2</v>
      </c>
      <c r="M89" s="73">
        <f t="shared" si="29"/>
        <v>4.3499999999999996</v>
      </c>
    </row>
    <row r="90" spans="1:13" x14ac:dyDescent="0.25">
      <c r="A90" s="81">
        <v>41317</v>
      </c>
      <c r="B90" s="73">
        <f>B62</f>
        <v>4.25</v>
      </c>
      <c r="C90" s="73">
        <f t="shared" ref="C90:M90" si="30">C62</f>
        <v>3.75</v>
      </c>
      <c r="D90" s="73">
        <f t="shared" si="30"/>
        <v>2.4</v>
      </c>
      <c r="E90" s="73">
        <f t="shared" si="30"/>
        <v>4.25</v>
      </c>
      <c r="F90" s="73">
        <f t="shared" si="30"/>
        <v>3.95</v>
      </c>
      <c r="G90" s="73">
        <f t="shared" si="30"/>
        <v>3.95</v>
      </c>
      <c r="H90" s="73" t="s">
        <v>212</v>
      </c>
      <c r="I90" s="73">
        <f t="shared" si="30"/>
        <v>3.45</v>
      </c>
      <c r="J90" s="73">
        <f t="shared" si="30"/>
        <v>3.75</v>
      </c>
      <c r="K90" s="73" t="s">
        <v>212</v>
      </c>
      <c r="L90" s="73">
        <f t="shared" si="30"/>
        <v>3.2</v>
      </c>
      <c r="M90" s="73">
        <f t="shared" si="30"/>
        <v>4.3499999999999996</v>
      </c>
    </row>
    <row r="91" spans="1:13" x14ac:dyDescent="0.25">
      <c r="A91" s="81">
        <v>41337</v>
      </c>
      <c r="B91" s="73">
        <f>B62</f>
        <v>4.25</v>
      </c>
      <c r="C91" s="73">
        <f t="shared" ref="C91:M93" si="31">C62</f>
        <v>3.75</v>
      </c>
      <c r="D91" s="73">
        <f t="shared" si="31"/>
        <v>2.4</v>
      </c>
      <c r="E91" s="73">
        <f t="shared" si="31"/>
        <v>4.25</v>
      </c>
      <c r="F91" s="73">
        <f t="shared" si="31"/>
        <v>3.95</v>
      </c>
      <c r="G91" s="73">
        <f t="shared" si="31"/>
        <v>3.95</v>
      </c>
      <c r="H91" s="73" t="s">
        <v>212</v>
      </c>
      <c r="I91" s="73">
        <f t="shared" si="31"/>
        <v>3.45</v>
      </c>
      <c r="J91" s="73">
        <f t="shared" si="31"/>
        <v>3.75</v>
      </c>
      <c r="K91" s="73" t="s">
        <v>212</v>
      </c>
      <c r="L91" s="73">
        <f t="shared" si="31"/>
        <v>3.2</v>
      </c>
      <c r="M91" s="73">
        <f t="shared" si="31"/>
        <v>4.3499999999999996</v>
      </c>
    </row>
    <row r="92" spans="1:13" x14ac:dyDescent="0.25">
      <c r="A92" s="81">
        <v>41360</v>
      </c>
      <c r="B92" s="73">
        <f>B63</f>
        <v>4.3499999999999996</v>
      </c>
      <c r="C92" s="73">
        <f t="shared" si="31"/>
        <v>3.89</v>
      </c>
      <c r="D92" s="73">
        <f t="shared" si="31"/>
        <v>2.5299999999999998</v>
      </c>
      <c r="E92" s="73">
        <f t="shared" si="31"/>
        <v>4.3499999999999996</v>
      </c>
      <c r="F92" s="73">
        <f t="shared" si="31"/>
        <v>4.0999999999999996</v>
      </c>
      <c r="G92" s="73">
        <f t="shared" si="31"/>
        <v>3.97</v>
      </c>
      <c r="H92" s="73" t="s">
        <v>212</v>
      </c>
      <c r="I92" s="73">
        <f t="shared" si="31"/>
        <v>3.61</v>
      </c>
      <c r="J92" s="73">
        <f t="shared" si="31"/>
        <v>3.74</v>
      </c>
      <c r="K92" s="73" t="s">
        <v>212</v>
      </c>
      <c r="L92" s="73">
        <f t="shared" si="31"/>
        <v>3.42</v>
      </c>
      <c r="M92" s="73">
        <f t="shared" si="31"/>
        <v>4.38</v>
      </c>
    </row>
    <row r="93" spans="1:13" x14ac:dyDescent="0.25">
      <c r="A93" s="81">
        <v>41646</v>
      </c>
      <c r="B93" s="73">
        <f>B64</f>
        <v>4.3499999999999996</v>
      </c>
      <c r="C93" s="73">
        <f t="shared" si="31"/>
        <v>3.89</v>
      </c>
      <c r="D93" s="73">
        <f t="shared" si="31"/>
        <v>2.5299999999999998</v>
      </c>
      <c r="E93" s="73">
        <f t="shared" si="31"/>
        <v>4.5</v>
      </c>
      <c r="F93" s="73">
        <f t="shared" si="31"/>
        <v>4.0999999999999996</v>
      </c>
      <c r="G93" s="73">
        <f t="shared" si="31"/>
        <v>4</v>
      </c>
      <c r="H93" s="73">
        <f t="shared" si="31"/>
        <v>4.55</v>
      </c>
      <c r="I93" s="73">
        <f t="shared" si="31"/>
        <v>3.61</v>
      </c>
      <c r="J93" s="73">
        <f t="shared" si="31"/>
        <v>3.75</v>
      </c>
      <c r="K93" s="73">
        <f t="shared" si="31"/>
        <v>4.05</v>
      </c>
      <c r="L93" s="73">
        <f t="shared" si="31"/>
        <v>3.42</v>
      </c>
      <c r="M93" s="73">
        <f t="shared" si="31"/>
        <v>4.38</v>
      </c>
    </row>
    <row r="94" spans="1:13" x14ac:dyDescent="0.25">
      <c r="A94" s="81">
        <v>41650</v>
      </c>
      <c r="B94" s="73">
        <f>B64</f>
        <v>4.3499999999999996</v>
      </c>
      <c r="C94" s="73">
        <f t="shared" ref="C94:M94" si="32">C64</f>
        <v>3.89</v>
      </c>
      <c r="D94" s="73">
        <f t="shared" si="32"/>
        <v>2.5299999999999998</v>
      </c>
      <c r="E94" s="73">
        <f t="shared" si="32"/>
        <v>4.5</v>
      </c>
      <c r="F94" s="73">
        <f t="shared" si="32"/>
        <v>4.0999999999999996</v>
      </c>
      <c r="G94" s="73">
        <f t="shared" si="32"/>
        <v>4</v>
      </c>
      <c r="H94" s="73">
        <f t="shared" si="32"/>
        <v>4.55</v>
      </c>
      <c r="I94" s="73">
        <f t="shared" si="32"/>
        <v>3.61</v>
      </c>
      <c r="J94" s="73">
        <f t="shared" si="32"/>
        <v>3.75</v>
      </c>
      <c r="K94" s="73">
        <f t="shared" si="32"/>
        <v>4.05</v>
      </c>
      <c r="L94" s="73">
        <f t="shared" si="32"/>
        <v>3.42</v>
      </c>
      <c r="M94" s="73">
        <f t="shared" si="32"/>
        <v>4.38</v>
      </c>
    </row>
    <row r="95" spans="1:13" x14ac:dyDescent="0.25">
      <c r="A95" s="81">
        <v>41653</v>
      </c>
      <c r="B95" s="73">
        <f>B64</f>
        <v>4.3499999999999996</v>
      </c>
      <c r="C95" s="73">
        <f t="shared" ref="C95:M95" si="33">C64</f>
        <v>3.89</v>
      </c>
      <c r="D95" s="73">
        <f t="shared" si="33"/>
        <v>2.5299999999999998</v>
      </c>
      <c r="E95" s="73">
        <f t="shared" si="33"/>
        <v>4.5</v>
      </c>
      <c r="F95" s="73">
        <f t="shared" si="33"/>
        <v>4.0999999999999996</v>
      </c>
      <c r="G95" s="73">
        <f t="shared" si="33"/>
        <v>4</v>
      </c>
      <c r="H95" s="73">
        <f t="shared" si="33"/>
        <v>4.55</v>
      </c>
      <c r="I95" s="73">
        <f t="shared" si="33"/>
        <v>3.61</v>
      </c>
      <c r="J95" s="73">
        <f t="shared" si="33"/>
        <v>3.75</v>
      </c>
      <c r="K95" s="73">
        <f t="shared" si="33"/>
        <v>4.05</v>
      </c>
      <c r="L95" s="73">
        <f t="shared" si="33"/>
        <v>3.42</v>
      </c>
      <c r="M95" s="73">
        <f t="shared" si="33"/>
        <v>4.38</v>
      </c>
    </row>
    <row r="96" spans="1:13" x14ac:dyDescent="0.25">
      <c r="A96" s="81">
        <v>41670</v>
      </c>
      <c r="B96" s="73">
        <f>B64</f>
        <v>4.3499999999999996</v>
      </c>
      <c r="C96" s="73">
        <f t="shared" ref="C96:M96" si="34">C64</f>
        <v>3.89</v>
      </c>
      <c r="D96" s="73">
        <f t="shared" si="34"/>
        <v>2.5299999999999998</v>
      </c>
      <c r="E96" s="73">
        <f t="shared" si="34"/>
        <v>4.5</v>
      </c>
      <c r="F96" s="73">
        <f t="shared" si="34"/>
        <v>4.0999999999999996</v>
      </c>
      <c r="G96" s="73">
        <f t="shared" si="34"/>
        <v>4</v>
      </c>
      <c r="H96" s="73">
        <f t="shared" si="34"/>
        <v>4.55</v>
      </c>
      <c r="I96" s="73">
        <f t="shared" si="34"/>
        <v>3.61</v>
      </c>
      <c r="J96" s="73">
        <f t="shared" si="34"/>
        <v>3.75</v>
      </c>
      <c r="K96" s="73">
        <f t="shared" si="34"/>
        <v>4.05</v>
      </c>
      <c r="L96" s="73">
        <f t="shared" si="34"/>
        <v>3.42</v>
      </c>
      <c r="M96" s="73">
        <f t="shared" si="34"/>
        <v>4.38</v>
      </c>
    </row>
    <row r="97" spans="1:13" x14ac:dyDescent="0.25">
      <c r="A97" s="81">
        <v>41681</v>
      </c>
      <c r="B97" s="73">
        <f>B64</f>
        <v>4.3499999999999996</v>
      </c>
      <c r="C97" s="73">
        <f t="shared" ref="C97:M97" si="35">C64</f>
        <v>3.89</v>
      </c>
      <c r="D97" s="73">
        <f t="shared" si="35"/>
        <v>2.5299999999999998</v>
      </c>
      <c r="E97" s="73">
        <f t="shared" si="35"/>
        <v>4.5</v>
      </c>
      <c r="F97" s="73">
        <f t="shared" si="35"/>
        <v>4.0999999999999996</v>
      </c>
      <c r="G97" s="73">
        <f t="shared" si="35"/>
        <v>4</v>
      </c>
      <c r="H97" s="73">
        <f t="shared" si="35"/>
        <v>4.55</v>
      </c>
      <c r="I97" s="73">
        <f t="shared" si="35"/>
        <v>3.61</v>
      </c>
      <c r="J97" s="73">
        <f t="shared" si="35"/>
        <v>3.75</v>
      </c>
      <c r="K97" s="73">
        <f t="shared" si="35"/>
        <v>4.05</v>
      </c>
      <c r="L97" s="73">
        <f t="shared" si="35"/>
        <v>3.42</v>
      </c>
      <c r="M97" s="73">
        <f t="shared" si="35"/>
        <v>4.38</v>
      </c>
    </row>
    <row r="98" spans="1:13" x14ac:dyDescent="0.25">
      <c r="A98" s="81">
        <v>41684</v>
      </c>
      <c r="B98" s="73">
        <f>B64</f>
        <v>4.3499999999999996</v>
      </c>
      <c r="C98" s="73">
        <f t="shared" ref="C98:M98" si="36">C64</f>
        <v>3.89</v>
      </c>
      <c r="D98" s="73">
        <f t="shared" si="36"/>
        <v>2.5299999999999998</v>
      </c>
      <c r="E98" s="73">
        <f t="shared" si="36"/>
        <v>4.5</v>
      </c>
      <c r="F98" s="73">
        <f t="shared" si="36"/>
        <v>4.0999999999999996</v>
      </c>
      <c r="G98" s="73">
        <f t="shared" si="36"/>
        <v>4</v>
      </c>
      <c r="H98" s="73">
        <f t="shared" si="36"/>
        <v>4.55</v>
      </c>
      <c r="I98" s="73">
        <f t="shared" si="36"/>
        <v>3.61</v>
      </c>
      <c r="J98" s="73">
        <f t="shared" si="36"/>
        <v>3.75</v>
      </c>
      <c r="K98" s="73">
        <f t="shared" si="36"/>
        <v>4.05</v>
      </c>
      <c r="L98" s="73">
        <f t="shared" si="36"/>
        <v>3.42</v>
      </c>
      <c r="M98" s="73">
        <f t="shared" si="36"/>
        <v>4.38</v>
      </c>
    </row>
    <row r="99" spans="1:13" x14ac:dyDescent="0.25">
      <c r="A99" s="81">
        <v>41691</v>
      </c>
      <c r="B99" s="73">
        <f>B64</f>
        <v>4.3499999999999996</v>
      </c>
      <c r="C99" s="73">
        <f t="shared" ref="C99:M99" si="37">C64</f>
        <v>3.89</v>
      </c>
      <c r="D99" s="73">
        <f t="shared" si="37"/>
        <v>2.5299999999999998</v>
      </c>
      <c r="E99" s="73">
        <f t="shared" si="37"/>
        <v>4.5</v>
      </c>
      <c r="F99" s="73">
        <f t="shared" si="37"/>
        <v>4.0999999999999996</v>
      </c>
      <c r="G99" s="73">
        <f t="shared" si="37"/>
        <v>4</v>
      </c>
      <c r="H99" s="73">
        <f t="shared" si="37"/>
        <v>4.55</v>
      </c>
      <c r="I99" s="73">
        <f t="shared" si="37"/>
        <v>3.61</v>
      </c>
      <c r="J99" s="73">
        <f t="shared" si="37"/>
        <v>3.75</v>
      </c>
      <c r="K99" s="73">
        <f t="shared" si="37"/>
        <v>4.05</v>
      </c>
      <c r="L99" s="73">
        <f t="shared" si="37"/>
        <v>3.42</v>
      </c>
      <c r="M99" s="73">
        <f t="shared" si="37"/>
        <v>4.38</v>
      </c>
    </row>
    <row r="100" spans="1:13" x14ac:dyDescent="0.25">
      <c r="A100" s="81">
        <v>41705</v>
      </c>
      <c r="B100" s="73">
        <f>B64</f>
        <v>4.3499999999999996</v>
      </c>
      <c r="C100" s="73">
        <f t="shared" ref="C100:M100" si="38">C64</f>
        <v>3.89</v>
      </c>
      <c r="D100" s="73">
        <f t="shared" si="38"/>
        <v>2.5299999999999998</v>
      </c>
      <c r="E100" s="73">
        <f t="shared" si="38"/>
        <v>4.5</v>
      </c>
      <c r="F100" s="73">
        <f t="shared" si="38"/>
        <v>4.0999999999999996</v>
      </c>
      <c r="G100" s="73">
        <f t="shared" si="38"/>
        <v>4</v>
      </c>
      <c r="H100" s="73">
        <f t="shared" si="38"/>
        <v>4.55</v>
      </c>
      <c r="I100" s="73">
        <f t="shared" si="38"/>
        <v>3.61</v>
      </c>
      <c r="J100" s="73">
        <f t="shared" si="38"/>
        <v>3.75</v>
      </c>
      <c r="K100" s="73">
        <f t="shared" si="38"/>
        <v>4.05</v>
      </c>
      <c r="L100" s="73">
        <f t="shared" si="38"/>
        <v>3.42</v>
      </c>
      <c r="M100" s="73">
        <f t="shared" si="38"/>
        <v>4.38</v>
      </c>
    </row>
    <row r="101" spans="1:13" x14ac:dyDescent="0.25">
      <c r="A101" s="81">
        <v>41712</v>
      </c>
      <c r="B101" s="73">
        <f>B64</f>
        <v>4.3499999999999996</v>
      </c>
      <c r="C101" s="73">
        <f t="shared" ref="C101:M101" si="39">C64</f>
        <v>3.89</v>
      </c>
      <c r="D101" s="73">
        <f t="shared" si="39"/>
        <v>2.5299999999999998</v>
      </c>
      <c r="E101" s="73">
        <f t="shared" si="39"/>
        <v>4.5</v>
      </c>
      <c r="F101" s="73">
        <f t="shared" si="39"/>
        <v>4.0999999999999996</v>
      </c>
      <c r="G101" s="73">
        <f t="shared" si="39"/>
        <v>4</v>
      </c>
      <c r="H101" s="73">
        <f t="shared" si="39"/>
        <v>4.55</v>
      </c>
      <c r="I101" s="73">
        <f t="shared" si="39"/>
        <v>3.61</v>
      </c>
      <c r="J101" s="73">
        <f t="shared" si="39"/>
        <v>3.75</v>
      </c>
      <c r="K101" s="73">
        <f t="shared" si="39"/>
        <v>4.05</v>
      </c>
      <c r="L101" s="73">
        <f t="shared" si="39"/>
        <v>3.42</v>
      </c>
      <c r="M101" s="73">
        <f t="shared" si="39"/>
        <v>4.38</v>
      </c>
    </row>
    <row r="103" spans="1:13" x14ac:dyDescent="0.25">
      <c r="A103" s="81">
        <v>40918</v>
      </c>
      <c r="B103" s="73">
        <f>B65</f>
        <v>1.73</v>
      </c>
      <c r="C103" s="73">
        <f t="shared" ref="C103:M103" si="40">C65</f>
        <v>1.42</v>
      </c>
      <c r="D103" s="73">
        <f t="shared" si="40"/>
        <v>0.63</v>
      </c>
      <c r="E103" s="73">
        <f t="shared" si="40"/>
        <v>1.79</v>
      </c>
      <c r="F103" s="73">
        <f t="shared" si="40"/>
        <v>1.03</v>
      </c>
      <c r="G103" s="73">
        <f t="shared" si="40"/>
        <v>1.17</v>
      </c>
      <c r="H103" s="73">
        <f t="shared" si="40"/>
        <v>1.71</v>
      </c>
      <c r="I103" s="73">
        <f t="shared" si="40"/>
        <v>1.54</v>
      </c>
      <c r="J103" s="73">
        <f t="shared" si="40"/>
        <v>1.88</v>
      </c>
      <c r="K103" s="73">
        <f t="shared" si="40"/>
        <v>2.1</v>
      </c>
      <c r="L103" s="73">
        <f t="shared" si="40"/>
        <v>1.34</v>
      </c>
      <c r="M103" s="73">
        <f t="shared" si="40"/>
        <v>0.54</v>
      </c>
    </row>
    <row r="104" spans="1:13" x14ac:dyDescent="0.25">
      <c r="A104" s="81">
        <v>40920</v>
      </c>
      <c r="B104" s="73">
        <f>B65</f>
        <v>1.73</v>
      </c>
      <c r="C104" s="73">
        <f t="shared" ref="C104:M104" si="41">C65</f>
        <v>1.42</v>
      </c>
      <c r="D104" s="73">
        <f t="shared" si="41"/>
        <v>0.63</v>
      </c>
      <c r="E104" s="73">
        <f t="shared" si="41"/>
        <v>1.79</v>
      </c>
      <c r="F104" s="73">
        <f t="shared" si="41"/>
        <v>1.03</v>
      </c>
      <c r="G104" s="73">
        <f t="shared" si="41"/>
        <v>1.17</v>
      </c>
      <c r="H104" s="73">
        <f t="shared" si="41"/>
        <v>1.71</v>
      </c>
      <c r="I104" s="73">
        <f t="shared" si="41"/>
        <v>1.54</v>
      </c>
      <c r="J104" s="73">
        <f t="shared" si="41"/>
        <v>1.88</v>
      </c>
      <c r="K104" s="73">
        <f t="shared" si="41"/>
        <v>2.1</v>
      </c>
      <c r="L104" s="73">
        <f t="shared" si="41"/>
        <v>1.34</v>
      </c>
      <c r="M104" s="73">
        <f t="shared" si="41"/>
        <v>0.54</v>
      </c>
    </row>
    <row r="105" spans="1:13" x14ac:dyDescent="0.25">
      <c r="A105" s="81">
        <v>40941</v>
      </c>
      <c r="B105" s="73">
        <f>B65</f>
        <v>1.73</v>
      </c>
      <c r="C105" s="73">
        <f t="shared" ref="C105:M105" si="42">C65</f>
        <v>1.42</v>
      </c>
      <c r="D105" s="73">
        <f t="shared" si="42"/>
        <v>0.63</v>
      </c>
      <c r="E105" s="73">
        <f t="shared" si="42"/>
        <v>1.79</v>
      </c>
      <c r="F105" s="73">
        <f t="shared" si="42"/>
        <v>1.03</v>
      </c>
      <c r="G105" s="73">
        <f t="shared" si="42"/>
        <v>1.17</v>
      </c>
      <c r="H105" s="73">
        <f t="shared" si="42"/>
        <v>1.71</v>
      </c>
      <c r="I105" s="73">
        <f t="shared" si="42"/>
        <v>1.54</v>
      </c>
      <c r="J105" s="73">
        <f t="shared" si="42"/>
        <v>1.88</v>
      </c>
      <c r="K105" s="73">
        <f t="shared" si="42"/>
        <v>2.1</v>
      </c>
      <c r="L105" s="73">
        <f t="shared" si="42"/>
        <v>1.34</v>
      </c>
      <c r="M105" s="73">
        <f t="shared" si="42"/>
        <v>0.54</v>
      </c>
    </row>
    <row r="106" spans="1:13" x14ac:dyDescent="0.25">
      <c r="A106" s="81">
        <v>40962</v>
      </c>
      <c r="B106" s="73">
        <f>B65</f>
        <v>1.73</v>
      </c>
      <c r="C106" s="73">
        <f t="shared" ref="C106:M106" si="43">C65</f>
        <v>1.42</v>
      </c>
      <c r="D106" s="73">
        <f t="shared" si="43"/>
        <v>0.63</v>
      </c>
      <c r="E106" s="73">
        <f t="shared" si="43"/>
        <v>1.79</v>
      </c>
      <c r="F106" s="73">
        <f t="shared" si="43"/>
        <v>1.03</v>
      </c>
      <c r="G106" s="73">
        <f t="shared" si="43"/>
        <v>1.17</v>
      </c>
      <c r="H106" s="73">
        <f t="shared" si="43"/>
        <v>1.71</v>
      </c>
      <c r="I106" s="73">
        <f t="shared" si="43"/>
        <v>1.54</v>
      </c>
      <c r="J106" s="73">
        <f t="shared" si="43"/>
        <v>1.88</v>
      </c>
      <c r="K106" s="73">
        <f t="shared" si="43"/>
        <v>2.1</v>
      </c>
      <c r="L106" s="73">
        <f t="shared" si="43"/>
        <v>1.34</v>
      </c>
      <c r="M106" s="73">
        <f t="shared" si="43"/>
        <v>0.54</v>
      </c>
    </row>
    <row r="107" spans="1:13" x14ac:dyDescent="0.25">
      <c r="A107" s="81">
        <v>40963</v>
      </c>
      <c r="B107" s="73">
        <f>B65</f>
        <v>1.73</v>
      </c>
      <c r="C107" s="73">
        <f t="shared" ref="C107:M107" si="44">C65</f>
        <v>1.42</v>
      </c>
      <c r="D107" s="73">
        <f t="shared" si="44"/>
        <v>0.63</v>
      </c>
      <c r="E107" s="73">
        <f t="shared" si="44"/>
        <v>1.79</v>
      </c>
      <c r="F107" s="73">
        <f t="shared" si="44"/>
        <v>1.03</v>
      </c>
      <c r="G107" s="73">
        <f t="shared" si="44"/>
        <v>1.17</v>
      </c>
      <c r="H107" s="73">
        <f t="shared" si="44"/>
        <v>1.71</v>
      </c>
      <c r="I107" s="73">
        <f t="shared" si="44"/>
        <v>1.54</v>
      </c>
      <c r="J107" s="73">
        <f t="shared" si="44"/>
        <v>1.88</v>
      </c>
      <c r="K107" s="73">
        <f t="shared" si="44"/>
        <v>2.1</v>
      </c>
      <c r="L107" s="73">
        <f t="shared" si="44"/>
        <v>1.34</v>
      </c>
      <c r="M107" s="73">
        <f t="shared" si="44"/>
        <v>0.54</v>
      </c>
    </row>
    <row r="108" spans="1:13" x14ac:dyDescent="0.25">
      <c r="A108" s="81">
        <v>40990</v>
      </c>
      <c r="B108" s="73">
        <f>B65</f>
        <v>1.73</v>
      </c>
      <c r="C108" s="73">
        <f t="shared" ref="C108:M108" si="45">C65</f>
        <v>1.42</v>
      </c>
      <c r="D108" s="73">
        <f t="shared" si="45"/>
        <v>0.63</v>
      </c>
      <c r="E108" s="73">
        <f t="shared" si="45"/>
        <v>1.79</v>
      </c>
      <c r="F108" s="73">
        <f t="shared" si="45"/>
        <v>1.03</v>
      </c>
      <c r="G108" s="73">
        <f t="shared" si="45"/>
        <v>1.17</v>
      </c>
      <c r="H108" s="73">
        <f t="shared" si="45"/>
        <v>1.71</v>
      </c>
      <c r="I108" s="73">
        <f t="shared" si="45"/>
        <v>1.54</v>
      </c>
      <c r="J108" s="73">
        <f t="shared" si="45"/>
        <v>1.88</v>
      </c>
      <c r="K108" s="73">
        <f t="shared" si="45"/>
        <v>2.1</v>
      </c>
      <c r="L108" s="73">
        <f t="shared" si="45"/>
        <v>1.34</v>
      </c>
      <c r="M108" s="73">
        <f t="shared" si="45"/>
        <v>0.54</v>
      </c>
    </row>
    <row r="109" spans="1:13" x14ac:dyDescent="0.25">
      <c r="A109" s="81">
        <v>41016</v>
      </c>
      <c r="B109" s="73">
        <f>B65</f>
        <v>1.73</v>
      </c>
      <c r="C109" s="73">
        <f t="shared" ref="C109:M109" si="46">C65</f>
        <v>1.42</v>
      </c>
      <c r="D109" s="73">
        <f t="shared" si="46"/>
        <v>0.63</v>
      </c>
      <c r="E109" s="73">
        <f t="shared" si="46"/>
        <v>1.79</v>
      </c>
      <c r="F109" s="73">
        <f t="shared" si="46"/>
        <v>1.03</v>
      </c>
      <c r="G109" s="73">
        <f t="shared" si="46"/>
        <v>1.17</v>
      </c>
      <c r="H109" s="73">
        <f t="shared" si="46"/>
        <v>1.71</v>
      </c>
      <c r="I109" s="73">
        <f t="shared" si="46"/>
        <v>1.54</v>
      </c>
      <c r="J109" s="73">
        <f t="shared" si="46"/>
        <v>1.88</v>
      </c>
      <c r="K109" s="73">
        <f t="shared" si="46"/>
        <v>2.1</v>
      </c>
      <c r="L109" s="73">
        <f t="shared" si="46"/>
        <v>1.34</v>
      </c>
      <c r="M109" s="73">
        <f t="shared" si="46"/>
        <v>0.54</v>
      </c>
    </row>
    <row r="110" spans="1:13" x14ac:dyDescent="0.25">
      <c r="A110" s="81">
        <v>41092</v>
      </c>
      <c r="B110" s="73">
        <f>B65</f>
        <v>1.73</v>
      </c>
      <c r="C110" s="73">
        <f t="shared" ref="C110:M110" si="47">C65</f>
        <v>1.42</v>
      </c>
      <c r="D110" s="73">
        <f t="shared" si="47"/>
        <v>0.63</v>
      </c>
      <c r="E110" s="73">
        <f t="shared" si="47"/>
        <v>1.79</v>
      </c>
      <c r="F110" s="73">
        <f t="shared" si="47"/>
        <v>1.03</v>
      </c>
      <c r="G110" s="73">
        <f t="shared" si="47"/>
        <v>1.17</v>
      </c>
      <c r="H110" s="73">
        <f t="shared" si="47"/>
        <v>1.71</v>
      </c>
      <c r="I110" s="73">
        <f t="shared" si="47"/>
        <v>1.54</v>
      </c>
      <c r="J110" s="73">
        <f t="shared" si="47"/>
        <v>1.88</v>
      </c>
      <c r="K110" s="73">
        <f t="shared" si="47"/>
        <v>2.1</v>
      </c>
      <c r="L110" s="73">
        <f t="shared" si="47"/>
        <v>1.34</v>
      </c>
      <c r="M110" s="73">
        <f t="shared" si="47"/>
        <v>0.54</v>
      </c>
    </row>
    <row r="111" spans="1:13" x14ac:dyDescent="0.25">
      <c r="A111" s="81">
        <v>41123</v>
      </c>
      <c r="B111" s="73">
        <f>B65</f>
        <v>1.73</v>
      </c>
      <c r="C111" s="73">
        <f t="shared" ref="C111:M112" si="48">C65</f>
        <v>1.42</v>
      </c>
      <c r="D111" s="73">
        <f t="shared" si="48"/>
        <v>0.63</v>
      </c>
      <c r="E111" s="73">
        <f t="shared" si="48"/>
        <v>1.79</v>
      </c>
      <c r="F111" s="73">
        <f t="shared" si="48"/>
        <v>1.03</v>
      </c>
      <c r="G111" s="73">
        <f t="shared" si="48"/>
        <v>1.17</v>
      </c>
      <c r="H111" s="73">
        <f t="shared" si="48"/>
        <v>1.71</v>
      </c>
      <c r="I111" s="73">
        <f t="shared" si="48"/>
        <v>1.54</v>
      </c>
      <c r="J111" s="73">
        <f t="shared" si="48"/>
        <v>1.88</v>
      </c>
      <c r="K111" s="73">
        <f t="shared" si="48"/>
        <v>2.1</v>
      </c>
      <c r="L111" s="73">
        <f t="shared" si="48"/>
        <v>1.34</v>
      </c>
      <c r="M111" s="73">
        <f t="shared" si="48"/>
        <v>0.54</v>
      </c>
    </row>
    <row r="112" spans="1:13" x14ac:dyDescent="0.25">
      <c r="A112" s="81">
        <v>41227</v>
      </c>
      <c r="B112" s="73">
        <f>B66</f>
        <v>1.9</v>
      </c>
      <c r="C112" s="73">
        <f t="shared" si="48"/>
        <v>1.45</v>
      </c>
      <c r="D112" s="73">
        <f t="shared" si="48"/>
        <v>0.9</v>
      </c>
      <c r="E112" s="73">
        <f t="shared" si="48"/>
        <v>1.95</v>
      </c>
      <c r="F112" s="73">
        <f t="shared" si="48"/>
        <v>1.1499999999999999</v>
      </c>
      <c r="G112" s="73">
        <f t="shared" si="48"/>
        <v>1.45</v>
      </c>
      <c r="H112" s="73" t="s">
        <v>212</v>
      </c>
      <c r="I112" s="73">
        <f t="shared" si="48"/>
        <v>1.65</v>
      </c>
      <c r="J112" s="73">
        <f t="shared" si="48"/>
        <v>2</v>
      </c>
      <c r="K112" s="73" t="s">
        <v>212</v>
      </c>
      <c r="L112" s="73">
        <f t="shared" si="48"/>
        <v>1.65</v>
      </c>
      <c r="M112" s="73">
        <f t="shared" si="48"/>
        <v>2.5499999999999998</v>
      </c>
    </row>
    <row r="113" spans="1:13" x14ac:dyDescent="0.25">
      <c r="A113" s="81">
        <v>41248</v>
      </c>
      <c r="B113" s="73">
        <f>B66</f>
        <v>1.9</v>
      </c>
      <c r="C113" s="73">
        <f t="shared" ref="C113:M113" si="49">C66</f>
        <v>1.45</v>
      </c>
      <c r="D113" s="73">
        <f t="shared" si="49"/>
        <v>0.9</v>
      </c>
      <c r="E113" s="73">
        <f t="shared" si="49"/>
        <v>1.95</v>
      </c>
      <c r="F113" s="73">
        <f t="shared" si="49"/>
        <v>1.1499999999999999</v>
      </c>
      <c r="G113" s="73">
        <f t="shared" si="49"/>
        <v>1.45</v>
      </c>
      <c r="H113" s="73" t="s">
        <v>212</v>
      </c>
      <c r="I113" s="73">
        <f t="shared" si="49"/>
        <v>1.65</v>
      </c>
      <c r="J113" s="73">
        <f t="shared" si="49"/>
        <v>2</v>
      </c>
      <c r="K113" s="73" t="s">
        <v>212</v>
      </c>
      <c r="L113" s="73">
        <f t="shared" si="49"/>
        <v>1.65</v>
      </c>
      <c r="M113" s="73">
        <f t="shared" si="49"/>
        <v>2.5499999999999998</v>
      </c>
    </row>
    <row r="114" spans="1:13" x14ac:dyDescent="0.25">
      <c r="A114" s="81">
        <v>41277</v>
      </c>
      <c r="B114" s="73">
        <f>B66</f>
        <v>1.9</v>
      </c>
      <c r="C114" s="73">
        <f t="shared" ref="C114:M114" si="50">C66</f>
        <v>1.45</v>
      </c>
      <c r="D114" s="73">
        <f t="shared" si="50"/>
        <v>0.9</v>
      </c>
      <c r="E114" s="73">
        <f t="shared" si="50"/>
        <v>1.95</v>
      </c>
      <c r="F114" s="73">
        <f t="shared" si="50"/>
        <v>1.1499999999999999</v>
      </c>
      <c r="G114" s="73">
        <f t="shared" si="50"/>
        <v>1.45</v>
      </c>
      <c r="H114" s="73" t="s">
        <v>212</v>
      </c>
      <c r="I114" s="73">
        <f t="shared" si="50"/>
        <v>1.65</v>
      </c>
      <c r="J114" s="73">
        <f t="shared" si="50"/>
        <v>2</v>
      </c>
      <c r="K114" s="73" t="s">
        <v>212</v>
      </c>
      <c r="L114" s="73">
        <f t="shared" si="50"/>
        <v>1.65</v>
      </c>
      <c r="M114" s="73">
        <f t="shared" si="50"/>
        <v>2.5499999999999998</v>
      </c>
    </row>
    <row r="115" spans="1:13" x14ac:dyDescent="0.25">
      <c r="A115" s="81">
        <v>41284</v>
      </c>
      <c r="B115" s="73">
        <f>B66</f>
        <v>1.9</v>
      </c>
      <c r="C115" s="73">
        <f t="shared" ref="C115:M115" si="51">C66</f>
        <v>1.45</v>
      </c>
      <c r="D115" s="73">
        <f t="shared" si="51"/>
        <v>0.9</v>
      </c>
      <c r="E115" s="73">
        <f t="shared" si="51"/>
        <v>1.95</v>
      </c>
      <c r="F115" s="73">
        <f t="shared" si="51"/>
        <v>1.1499999999999999</v>
      </c>
      <c r="G115" s="73">
        <f t="shared" si="51"/>
        <v>1.45</v>
      </c>
      <c r="H115" s="73" t="s">
        <v>212</v>
      </c>
      <c r="I115" s="73">
        <f t="shared" si="51"/>
        <v>1.65</v>
      </c>
      <c r="J115" s="73">
        <f t="shared" si="51"/>
        <v>2</v>
      </c>
      <c r="K115" s="73" t="s">
        <v>212</v>
      </c>
      <c r="L115" s="73">
        <f t="shared" si="51"/>
        <v>1.65</v>
      </c>
      <c r="M115" s="73">
        <f t="shared" si="51"/>
        <v>2.5499999999999998</v>
      </c>
    </row>
    <row r="116" spans="1:13" x14ac:dyDescent="0.25">
      <c r="A116" s="81">
        <v>41305</v>
      </c>
      <c r="B116" s="73">
        <f>B66</f>
        <v>1.9</v>
      </c>
      <c r="C116" s="73">
        <f t="shared" ref="C116:M116" si="52">C66</f>
        <v>1.45</v>
      </c>
      <c r="D116" s="73">
        <f t="shared" si="52"/>
        <v>0.9</v>
      </c>
      <c r="E116" s="73">
        <f t="shared" si="52"/>
        <v>1.95</v>
      </c>
      <c r="F116" s="73">
        <f t="shared" si="52"/>
        <v>1.1499999999999999</v>
      </c>
      <c r="G116" s="73">
        <f t="shared" si="52"/>
        <v>1.45</v>
      </c>
      <c r="H116" s="73" t="s">
        <v>212</v>
      </c>
      <c r="I116" s="73">
        <f t="shared" si="52"/>
        <v>1.65</v>
      </c>
      <c r="J116" s="73">
        <f t="shared" si="52"/>
        <v>2</v>
      </c>
      <c r="K116" s="73" t="s">
        <v>212</v>
      </c>
      <c r="L116" s="73">
        <f t="shared" si="52"/>
        <v>1.65</v>
      </c>
      <c r="M116" s="73">
        <f t="shared" si="52"/>
        <v>2.5499999999999998</v>
      </c>
    </row>
    <row r="117" spans="1:13" x14ac:dyDescent="0.25">
      <c r="A117" s="81">
        <v>41310</v>
      </c>
      <c r="B117" s="73">
        <f>B66</f>
        <v>1.9</v>
      </c>
      <c r="C117" s="73">
        <f t="shared" ref="C117:M117" si="53">C66</f>
        <v>1.45</v>
      </c>
      <c r="D117" s="73">
        <f t="shared" si="53"/>
        <v>0.9</v>
      </c>
      <c r="E117" s="73">
        <f t="shared" si="53"/>
        <v>1.95</v>
      </c>
      <c r="F117" s="73">
        <f t="shared" si="53"/>
        <v>1.1499999999999999</v>
      </c>
      <c r="G117" s="73">
        <f t="shared" si="53"/>
        <v>1.45</v>
      </c>
      <c r="H117" s="73" t="s">
        <v>212</v>
      </c>
      <c r="I117" s="73">
        <f t="shared" si="53"/>
        <v>1.65</v>
      </c>
      <c r="J117" s="73">
        <f t="shared" si="53"/>
        <v>2</v>
      </c>
      <c r="K117" s="73" t="s">
        <v>212</v>
      </c>
      <c r="L117" s="73">
        <f t="shared" si="53"/>
        <v>1.65</v>
      </c>
      <c r="M117" s="73">
        <f t="shared" si="53"/>
        <v>2.5499999999999998</v>
      </c>
    </row>
    <row r="118" spans="1:13" x14ac:dyDescent="0.25">
      <c r="A118" s="81">
        <v>41317</v>
      </c>
      <c r="B118" s="82">
        <f>B66</f>
        <v>1.9</v>
      </c>
      <c r="C118" s="82">
        <f t="shared" ref="C118:M118" si="54">C66</f>
        <v>1.45</v>
      </c>
      <c r="D118" s="82">
        <f t="shared" si="54"/>
        <v>0.9</v>
      </c>
      <c r="E118" s="82">
        <f t="shared" si="54"/>
        <v>1.95</v>
      </c>
      <c r="F118" s="82">
        <f t="shared" si="54"/>
        <v>1.1499999999999999</v>
      </c>
      <c r="G118" s="82">
        <f t="shared" si="54"/>
        <v>1.45</v>
      </c>
      <c r="H118" s="73" t="s">
        <v>212</v>
      </c>
      <c r="I118" s="82">
        <f t="shared" si="54"/>
        <v>1.65</v>
      </c>
      <c r="J118" s="82">
        <f t="shared" si="54"/>
        <v>2</v>
      </c>
      <c r="K118" s="73" t="s">
        <v>212</v>
      </c>
      <c r="L118" s="82">
        <f t="shared" si="54"/>
        <v>1.65</v>
      </c>
      <c r="M118" s="82">
        <f t="shared" si="54"/>
        <v>2.5499999999999998</v>
      </c>
    </row>
    <row r="119" spans="1:13" x14ac:dyDescent="0.25">
      <c r="A119" s="81">
        <v>41337</v>
      </c>
      <c r="B119" s="82">
        <f>B66</f>
        <v>1.9</v>
      </c>
      <c r="C119" s="82">
        <f t="shared" ref="C119:M121" si="55">C66</f>
        <v>1.45</v>
      </c>
      <c r="D119" s="82">
        <f t="shared" si="55"/>
        <v>0.9</v>
      </c>
      <c r="E119" s="82">
        <f t="shared" si="55"/>
        <v>1.95</v>
      </c>
      <c r="F119" s="82">
        <f t="shared" si="55"/>
        <v>1.1499999999999999</v>
      </c>
      <c r="G119" s="82">
        <f t="shared" si="55"/>
        <v>1.45</v>
      </c>
      <c r="H119" s="73" t="s">
        <v>212</v>
      </c>
      <c r="I119" s="82">
        <f t="shared" si="55"/>
        <v>1.65</v>
      </c>
      <c r="J119" s="82">
        <f t="shared" si="55"/>
        <v>2</v>
      </c>
      <c r="K119" s="73" t="s">
        <v>212</v>
      </c>
      <c r="L119" s="82">
        <f t="shared" si="55"/>
        <v>1.65</v>
      </c>
      <c r="M119" s="82">
        <f t="shared" si="55"/>
        <v>2.5499999999999998</v>
      </c>
    </row>
    <row r="120" spans="1:13" x14ac:dyDescent="0.25">
      <c r="A120" s="81">
        <v>41360</v>
      </c>
      <c r="B120" s="82">
        <f>B67</f>
        <v>1.96</v>
      </c>
      <c r="C120" s="82">
        <f t="shared" si="55"/>
        <v>1.51</v>
      </c>
      <c r="D120" s="82">
        <f t="shared" si="55"/>
        <v>0.95</v>
      </c>
      <c r="E120" s="82">
        <f t="shared" si="55"/>
        <v>1.98</v>
      </c>
      <c r="F120" s="82">
        <f t="shared" si="55"/>
        <v>1.32</v>
      </c>
      <c r="G120" s="82">
        <f t="shared" si="55"/>
        <v>1.58</v>
      </c>
      <c r="H120" s="73" t="s">
        <v>212</v>
      </c>
      <c r="I120" s="82">
        <f t="shared" si="55"/>
        <v>1.8</v>
      </c>
      <c r="J120" s="82">
        <f t="shared" si="55"/>
        <v>2.14</v>
      </c>
      <c r="K120" s="73" t="s">
        <v>212</v>
      </c>
      <c r="L120" s="82">
        <f t="shared" si="55"/>
        <v>1.74</v>
      </c>
      <c r="M120" s="82">
        <f t="shared" si="55"/>
        <v>2.6</v>
      </c>
    </row>
    <row r="121" spans="1:13" x14ac:dyDescent="0.25">
      <c r="A121" s="81">
        <v>41646</v>
      </c>
      <c r="B121" s="82">
        <f>B68</f>
        <v>2.1</v>
      </c>
      <c r="C121" s="82">
        <f t="shared" si="55"/>
        <v>1.65</v>
      </c>
      <c r="D121" s="82">
        <f t="shared" si="55"/>
        <v>0.95</v>
      </c>
      <c r="E121" s="82">
        <f t="shared" si="55"/>
        <v>1.98</v>
      </c>
      <c r="F121" s="82">
        <f t="shared" si="55"/>
        <v>1.5</v>
      </c>
      <c r="G121" s="82">
        <f t="shared" si="55"/>
        <v>1.5</v>
      </c>
      <c r="H121" s="82">
        <f t="shared" si="55"/>
        <v>1.71</v>
      </c>
      <c r="I121" s="82">
        <f t="shared" si="55"/>
        <v>1.8</v>
      </c>
      <c r="J121" s="82">
        <f t="shared" si="55"/>
        <v>2.14</v>
      </c>
      <c r="K121" s="82">
        <f t="shared" si="55"/>
        <v>2.1</v>
      </c>
      <c r="L121" s="82">
        <f t="shared" si="55"/>
        <v>1.74</v>
      </c>
      <c r="M121" s="82">
        <f t="shared" si="55"/>
        <v>2.6</v>
      </c>
    </row>
    <row r="122" spans="1:13" x14ac:dyDescent="0.25">
      <c r="A122" s="81">
        <v>41650</v>
      </c>
      <c r="B122" s="82">
        <f>B68</f>
        <v>2.1</v>
      </c>
      <c r="C122" s="82">
        <f t="shared" ref="C122:M122" si="56">C68</f>
        <v>1.65</v>
      </c>
      <c r="D122" s="82">
        <f t="shared" si="56"/>
        <v>0.95</v>
      </c>
      <c r="E122" s="82">
        <f t="shared" si="56"/>
        <v>1.98</v>
      </c>
      <c r="F122" s="82">
        <f t="shared" si="56"/>
        <v>1.5</v>
      </c>
      <c r="G122" s="82">
        <f t="shared" si="56"/>
        <v>1.5</v>
      </c>
      <c r="H122" s="82">
        <f t="shared" si="56"/>
        <v>1.71</v>
      </c>
      <c r="I122" s="82">
        <f t="shared" si="56"/>
        <v>1.8</v>
      </c>
      <c r="J122" s="82">
        <f t="shared" si="56"/>
        <v>2.14</v>
      </c>
      <c r="K122" s="82">
        <f t="shared" si="56"/>
        <v>2.1</v>
      </c>
      <c r="L122" s="82">
        <f t="shared" si="56"/>
        <v>1.74</v>
      </c>
      <c r="M122" s="82">
        <f t="shared" si="56"/>
        <v>2.6</v>
      </c>
    </row>
    <row r="123" spans="1:13" x14ac:dyDescent="0.25">
      <c r="A123" s="81">
        <v>41653</v>
      </c>
      <c r="B123" s="82">
        <f>B68</f>
        <v>2.1</v>
      </c>
      <c r="C123" s="82">
        <f t="shared" ref="C123:M123" si="57">C68</f>
        <v>1.65</v>
      </c>
      <c r="D123" s="82">
        <f t="shared" si="57"/>
        <v>0.95</v>
      </c>
      <c r="E123" s="82">
        <f t="shared" si="57"/>
        <v>1.98</v>
      </c>
      <c r="F123" s="82">
        <f t="shared" si="57"/>
        <v>1.5</v>
      </c>
      <c r="G123" s="82">
        <f t="shared" si="57"/>
        <v>1.5</v>
      </c>
      <c r="H123" s="82">
        <f t="shared" si="57"/>
        <v>1.71</v>
      </c>
      <c r="I123" s="82">
        <f t="shared" si="57"/>
        <v>1.8</v>
      </c>
      <c r="J123" s="82">
        <f t="shared" si="57"/>
        <v>2.14</v>
      </c>
      <c r="K123" s="82">
        <f t="shared" si="57"/>
        <v>2.1</v>
      </c>
      <c r="L123" s="82">
        <f t="shared" si="57"/>
        <v>1.74</v>
      </c>
      <c r="M123" s="82">
        <f t="shared" si="57"/>
        <v>2.6</v>
      </c>
    </row>
    <row r="124" spans="1:13" x14ac:dyDescent="0.25">
      <c r="A124" s="81">
        <v>41670</v>
      </c>
      <c r="B124" s="82">
        <f>B68</f>
        <v>2.1</v>
      </c>
      <c r="C124" s="82">
        <f t="shared" ref="C124:M124" si="58">C68</f>
        <v>1.65</v>
      </c>
      <c r="D124" s="82">
        <f t="shared" si="58"/>
        <v>0.95</v>
      </c>
      <c r="E124" s="82">
        <f t="shared" si="58"/>
        <v>1.98</v>
      </c>
      <c r="F124" s="82">
        <f t="shared" si="58"/>
        <v>1.5</v>
      </c>
      <c r="G124" s="82">
        <f t="shared" si="58"/>
        <v>1.5</v>
      </c>
      <c r="H124" s="82">
        <f t="shared" si="58"/>
        <v>1.71</v>
      </c>
      <c r="I124" s="82">
        <f t="shared" si="58"/>
        <v>1.8</v>
      </c>
      <c r="J124" s="82">
        <f t="shared" si="58"/>
        <v>2.14</v>
      </c>
      <c r="K124" s="82">
        <f t="shared" si="58"/>
        <v>2.1</v>
      </c>
      <c r="L124" s="82">
        <f t="shared" si="58"/>
        <v>1.74</v>
      </c>
      <c r="M124" s="82">
        <f t="shared" si="58"/>
        <v>2.6</v>
      </c>
    </row>
    <row r="125" spans="1:13" x14ac:dyDescent="0.25">
      <c r="A125" s="81">
        <v>41681</v>
      </c>
      <c r="B125" s="82">
        <f>B68</f>
        <v>2.1</v>
      </c>
      <c r="C125" s="82">
        <f t="shared" ref="C125:M125" si="59">C68</f>
        <v>1.65</v>
      </c>
      <c r="D125" s="82">
        <f t="shared" si="59"/>
        <v>0.95</v>
      </c>
      <c r="E125" s="82">
        <f t="shared" si="59"/>
        <v>1.98</v>
      </c>
      <c r="F125" s="82">
        <f t="shared" si="59"/>
        <v>1.5</v>
      </c>
      <c r="G125" s="82">
        <f t="shared" si="59"/>
        <v>1.5</v>
      </c>
      <c r="H125" s="82">
        <f t="shared" si="59"/>
        <v>1.71</v>
      </c>
      <c r="I125" s="82">
        <f t="shared" si="59"/>
        <v>1.8</v>
      </c>
      <c r="J125" s="82">
        <f t="shared" si="59"/>
        <v>2.14</v>
      </c>
      <c r="K125" s="82">
        <f t="shared" si="59"/>
        <v>2.1</v>
      </c>
      <c r="L125" s="82">
        <f t="shared" si="59"/>
        <v>1.74</v>
      </c>
      <c r="M125" s="82">
        <f t="shared" si="59"/>
        <v>2.6</v>
      </c>
    </row>
    <row r="126" spans="1:13" x14ac:dyDescent="0.25">
      <c r="A126" s="81">
        <v>41684</v>
      </c>
      <c r="B126" s="82">
        <f>B68</f>
        <v>2.1</v>
      </c>
      <c r="C126" s="82">
        <f t="shared" ref="C126:M126" si="60">C68</f>
        <v>1.65</v>
      </c>
      <c r="D126" s="82">
        <f t="shared" si="60"/>
        <v>0.95</v>
      </c>
      <c r="E126" s="82">
        <f t="shared" si="60"/>
        <v>1.98</v>
      </c>
      <c r="F126" s="82">
        <f t="shared" si="60"/>
        <v>1.5</v>
      </c>
      <c r="G126" s="82">
        <f t="shared" si="60"/>
        <v>1.5</v>
      </c>
      <c r="H126" s="82">
        <f t="shared" si="60"/>
        <v>1.71</v>
      </c>
      <c r="I126" s="82">
        <f t="shared" si="60"/>
        <v>1.8</v>
      </c>
      <c r="J126" s="82">
        <f t="shared" si="60"/>
        <v>2.14</v>
      </c>
      <c r="K126" s="82">
        <f t="shared" si="60"/>
        <v>2.1</v>
      </c>
      <c r="L126" s="82">
        <f t="shared" si="60"/>
        <v>1.74</v>
      </c>
      <c r="M126" s="82">
        <f t="shared" si="60"/>
        <v>2.6</v>
      </c>
    </row>
    <row r="127" spans="1:13" x14ac:dyDescent="0.25">
      <c r="A127" s="81">
        <v>41691</v>
      </c>
      <c r="B127" s="82">
        <f>B68</f>
        <v>2.1</v>
      </c>
      <c r="C127" s="82">
        <f t="shared" ref="C127:M127" si="61">C68</f>
        <v>1.65</v>
      </c>
      <c r="D127" s="82">
        <f t="shared" si="61"/>
        <v>0.95</v>
      </c>
      <c r="E127" s="82">
        <f t="shared" si="61"/>
        <v>1.98</v>
      </c>
      <c r="F127" s="82">
        <f t="shared" si="61"/>
        <v>1.5</v>
      </c>
      <c r="G127" s="82">
        <f t="shared" si="61"/>
        <v>1.5</v>
      </c>
      <c r="H127" s="82">
        <f t="shared" si="61"/>
        <v>1.71</v>
      </c>
      <c r="I127" s="82">
        <f t="shared" si="61"/>
        <v>1.8</v>
      </c>
      <c r="J127" s="82">
        <f t="shared" si="61"/>
        <v>2.14</v>
      </c>
      <c r="K127" s="82">
        <f t="shared" si="61"/>
        <v>2.1</v>
      </c>
      <c r="L127" s="82">
        <f t="shared" si="61"/>
        <v>1.74</v>
      </c>
      <c r="M127" s="82">
        <f t="shared" si="61"/>
        <v>2.6</v>
      </c>
    </row>
    <row r="128" spans="1:13" x14ac:dyDescent="0.25">
      <c r="A128" s="81">
        <v>41705</v>
      </c>
      <c r="B128" s="82">
        <f>B68</f>
        <v>2.1</v>
      </c>
      <c r="C128" s="82">
        <f t="shared" ref="C128:M128" si="62">C68</f>
        <v>1.65</v>
      </c>
      <c r="D128" s="82">
        <f t="shared" si="62"/>
        <v>0.95</v>
      </c>
      <c r="E128" s="82">
        <f t="shared" si="62"/>
        <v>1.98</v>
      </c>
      <c r="F128" s="82">
        <f t="shared" si="62"/>
        <v>1.5</v>
      </c>
      <c r="G128" s="82">
        <f t="shared" si="62"/>
        <v>1.5</v>
      </c>
      <c r="H128" s="82">
        <f t="shared" si="62"/>
        <v>1.71</v>
      </c>
      <c r="I128" s="82">
        <f t="shared" si="62"/>
        <v>1.8</v>
      </c>
      <c r="J128" s="82">
        <f t="shared" si="62"/>
        <v>2.14</v>
      </c>
      <c r="K128" s="82">
        <f t="shared" si="62"/>
        <v>2.1</v>
      </c>
      <c r="L128" s="82">
        <f t="shared" si="62"/>
        <v>1.74</v>
      </c>
      <c r="M128" s="82">
        <f t="shared" si="62"/>
        <v>2.6</v>
      </c>
    </row>
    <row r="129" spans="1:13" x14ac:dyDescent="0.25">
      <c r="A129" s="81">
        <v>41712</v>
      </c>
      <c r="B129" s="82">
        <f>B68</f>
        <v>2.1</v>
      </c>
      <c r="C129" s="82">
        <f t="shared" ref="C129:M129" si="63">C68</f>
        <v>1.65</v>
      </c>
      <c r="D129" s="82">
        <f t="shared" si="63"/>
        <v>0.95</v>
      </c>
      <c r="E129" s="82">
        <f t="shared" si="63"/>
        <v>1.98</v>
      </c>
      <c r="F129" s="82">
        <f t="shared" si="63"/>
        <v>1.5</v>
      </c>
      <c r="G129" s="82">
        <f t="shared" si="63"/>
        <v>1.5</v>
      </c>
      <c r="H129" s="82">
        <f t="shared" si="63"/>
        <v>1.71</v>
      </c>
      <c r="I129" s="82">
        <f t="shared" si="63"/>
        <v>1.8</v>
      </c>
      <c r="J129" s="82">
        <f t="shared" si="63"/>
        <v>2.14</v>
      </c>
      <c r="K129" s="82">
        <f t="shared" si="63"/>
        <v>2.1</v>
      </c>
      <c r="L129" s="82">
        <f t="shared" si="63"/>
        <v>1.74</v>
      </c>
      <c r="M129" s="82">
        <f t="shared" si="63"/>
        <v>2.6</v>
      </c>
    </row>
    <row r="131" spans="1:13" x14ac:dyDescent="0.25">
      <c r="A131" s="81">
        <v>40918</v>
      </c>
      <c r="B131" s="73">
        <f>B75-B103</f>
        <v>2.5399999999999996</v>
      </c>
      <c r="C131" s="73">
        <f t="shared" ref="C131:M131" si="64">C75-C103</f>
        <v>1.4700000000000002</v>
      </c>
      <c r="D131" s="73">
        <f t="shared" si="64"/>
        <v>1.9100000000000001</v>
      </c>
      <c r="E131" s="73">
        <f t="shared" si="64"/>
        <v>2.4699999999999998</v>
      </c>
      <c r="F131" s="73">
        <f t="shared" si="64"/>
        <v>2.9799999999999995</v>
      </c>
      <c r="G131" s="73">
        <f t="shared" si="64"/>
        <v>2.73</v>
      </c>
      <c r="H131" s="73">
        <f t="shared" si="64"/>
        <v>1.6400000000000001</v>
      </c>
      <c r="I131" s="73">
        <f t="shared" si="64"/>
        <v>2.0299999999999998</v>
      </c>
      <c r="J131" s="73">
        <f t="shared" si="64"/>
        <v>1.7600000000000002</v>
      </c>
      <c r="K131" s="73">
        <f t="shared" si="64"/>
        <v>1.9499999999999997</v>
      </c>
      <c r="L131" s="73">
        <f t="shared" si="64"/>
        <v>2.04</v>
      </c>
      <c r="M131" s="73">
        <f t="shared" si="64"/>
        <v>1.98</v>
      </c>
    </row>
    <row r="132" spans="1:13" x14ac:dyDescent="0.25">
      <c r="A132" s="81">
        <v>40920</v>
      </c>
      <c r="B132" s="73">
        <f t="shared" ref="B132:M147" si="65">B76-B104</f>
        <v>2.5399999999999996</v>
      </c>
      <c r="C132" s="73">
        <f t="shared" si="65"/>
        <v>1.4700000000000002</v>
      </c>
      <c r="D132" s="73">
        <f t="shared" si="65"/>
        <v>1.9100000000000001</v>
      </c>
      <c r="E132" s="73">
        <f t="shared" si="65"/>
        <v>2.4699999999999998</v>
      </c>
      <c r="F132" s="73">
        <f t="shared" si="65"/>
        <v>2.9799999999999995</v>
      </c>
      <c r="G132" s="73">
        <f t="shared" si="65"/>
        <v>2.73</v>
      </c>
      <c r="H132" s="73">
        <f t="shared" si="65"/>
        <v>1.6400000000000001</v>
      </c>
      <c r="I132" s="73">
        <f t="shared" si="65"/>
        <v>2.0299999999999998</v>
      </c>
      <c r="J132" s="73">
        <f t="shared" si="65"/>
        <v>1.7600000000000002</v>
      </c>
      <c r="K132" s="73">
        <f t="shared" si="65"/>
        <v>1.9499999999999997</v>
      </c>
      <c r="L132" s="73">
        <f t="shared" si="65"/>
        <v>2.04</v>
      </c>
      <c r="M132" s="73">
        <f t="shared" si="65"/>
        <v>1.98</v>
      </c>
    </row>
    <row r="133" spans="1:13" x14ac:dyDescent="0.25">
      <c r="A133" s="81">
        <v>40941</v>
      </c>
      <c r="B133" s="73">
        <f t="shared" si="65"/>
        <v>2.5399999999999996</v>
      </c>
      <c r="C133" s="73">
        <f t="shared" si="65"/>
        <v>1.4700000000000002</v>
      </c>
      <c r="D133" s="73">
        <f t="shared" si="65"/>
        <v>1.9100000000000001</v>
      </c>
      <c r="E133" s="73">
        <f t="shared" si="65"/>
        <v>2.4699999999999998</v>
      </c>
      <c r="F133" s="73">
        <f t="shared" si="65"/>
        <v>2.9799999999999995</v>
      </c>
      <c r="G133" s="73">
        <f t="shared" si="65"/>
        <v>2.73</v>
      </c>
      <c r="H133" s="73">
        <f t="shared" si="65"/>
        <v>1.6400000000000001</v>
      </c>
      <c r="I133" s="73">
        <f t="shared" si="65"/>
        <v>2.0299999999999998</v>
      </c>
      <c r="J133" s="73">
        <f t="shared" si="65"/>
        <v>1.7600000000000002</v>
      </c>
      <c r="K133" s="73">
        <f t="shared" si="65"/>
        <v>1.9499999999999997</v>
      </c>
      <c r="L133" s="73">
        <f t="shared" si="65"/>
        <v>2.04</v>
      </c>
      <c r="M133" s="73">
        <f t="shared" si="65"/>
        <v>1.98</v>
      </c>
    </row>
    <row r="134" spans="1:13" x14ac:dyDescent="0.25">
      <c r="A134" s="81">
        <v>40962</v>
      </c>
      <c r="B134" s="73">
        <f t="shared" si="65"/>
        <v>2.5399999999999996</v>
      </c>
      <c r="C134" s="73">
        <f t="shared" si="65"/>
        <v>1.4700000000000002</v>
      </c>
      <c r="D134" s="73">
        <f t="shared" si="65"/>
        <v>1.9100000000000001</v>
      </c>
      <c r="E134" s="73">
        <f t="shared" si="65"/>
        <v>2.4699999999999998</v>
      </c>
      <c r="F134" s="73">
        <f t="shared" si="65"/>
        <v>2.9799999999999995</v>
      </c>
      <c r="G134" s="73">
        <f t="shared" si="65"/>
        <v>2.73</v>
      </c>
      <c r="H134" s="73">
        <f t="shared" si="65"/>
        <v>1.6400000000000001</v>
      </c>
      <c r="I134" s="73">
        <f t="shared" si="65"/>
        <v>2.0299999999999998</v>
      </c>
      <c r="J134" s="73">
        <f t="shared" si="65"/>
        <v>1.7600000000000002</v>
      </c>
      <c r="K134" s="73">
        <f t="shared" si="65"/>
        <v>1.9499999999999997</v>
      </c>
      <c r="L134" s="73">
        <f t="shared" si="65"/>
        <v>2.04</v>
      </c>
      <c r="M134" s="73">
        <f t="shared" si="65"/>
        <v>1.98</v>
      </c>
    </row>
    <row r="135" spans="1:13" x14ac:dyDescent="0.25">
      <c r="A135" s="81">
        <v>40963</v>
      </c>
      <c r="B135" s="73">
        <f t="shared" si="65"/>
        <v>2.5399999999999996</v>
      </c>
      <c r="C135" s="73">
        <f t="shared" si="65"/>
        <v>1.4700000000000002</v>
      </c>
      <c r="D135" s="73">
        <f t="shared" si="65"/>
        <v>1.9100000000000001</v>
      </c>
      <c r="E135" s="73">
        <f t="shared" si="65"/>
        <v>2.4699999999999998</v>
      </c>
      <c r="F135" s="73">
        <f t="shared" si="65"/>
        <v>2.9799999999999995</v>
      </c>
      <c r="G135" s="73">
        <f t="shared" si="65"/>
        <v>2.73</v>
      </c>
      <c r="H135" s="73">
        <f t="shared" si="65"/>
        <v>1.6400000000000001</v>
      </c>
      <c r="I135" s="73">
        <f t="shared" si="65"/>
        <v>2.0299999999999998</v>
      </c>
      <c r="J135" s="73">
        <f t="shared" si="65"/>
        <v>1.7600000000000002</v>
      </c>
      <c r="K135" s="73">
        <f t="shared" si="65"/>
        <v>1.9499999999999997</v>
      </c>
      <c r="L135" s="73">
        <f t="shared" si="65"/>
        <v>2.04</v>
      </c>
      <c r="M135" s="73">
        <f t="shared" si="65"/>
        <v>1.98</v>
      </c>
    </row>
    <row r="136" spans="1:13" x14ac:dyDescent="0.25">
      <c r="A136" s="81">
        <v>40990</v>
      </c>
      <c r="B136" s="73">
        <f t="shared" si="65"/>
        <v>2.5399999999999996</v>
      </c>
      <c r="C136" s="73">
        <f t="shared" si="65"/>
        <v>2.33</v>
      </c>
      <c r="D136" s="73">
        <f t="shared" si="65"/>
        <v>1.9100000000000001</v>
      </c>
      <c r="E136" s="73">
        <f t="shared" si="65"/>
        <v>2.4699999999999998</v>
      </c>
      <c r="F136" s="73">
        <f t="shared" si="65"/>
        <v>2.9799999999999995</v>
      </c>
      <c r="G136" s="73">
        <f t="shared" si="65"/>
        <v>2.73</v>
      </c>
      <c r="H136" s="73">
        <f t="shared" si="65"/>
        <v>1.6400000000000001</v>
      </c>
      <c r="I136" s="73">
        <f t="shared" si="65"/>
        <v>2.0299999999999998</v>
      </c>
      <c r="J136" s="73">
        <f t="shared" si="65"/>
        <v>1.7600000000000002</v>
      </c>
      <c r="K136" s="73">
        <f t="shared" si="65"/>
        <v>1.9499999999999997</v>
      </c>
      <c r="L136" s="73">
        <f t="shared" si="65"/>
        <v>2.04</v>
      </c>
      <c r="M136" s="73">
        <f t="shared" si="65"/>
        <v>1.98</v>
      </c>
    </row>
    <row r="137" spans="1:13" x14ac:dyDescent="0.25">
      <c r="A137" s="81">
        <v>41016</v>
      </c>
      <c r="B137" s="73">
        <f t="shared" si="65"/>
        <v>2.5399999999999996</v>
      </c>
      <c r="C137" s="73">
        <f t="shared" si="65"/>
        <v>2.33</v>
      </c>
      <c r="D137" s="73">
        <f t="shared" si="65"/>
        <v>1.9100000000000001</v>
      </c>
      <c r="E137" s="73">
        <f t="shared" si="65"/>
        <v>2.4699999999999998</v>
      </c>
      <c r="F137" s="73">
        <f t="shared" si="65"/>
        <v>2.9799999999999995</v>
      </c>
      <c r="G137" s="73">
        <f t="shared" si="65"/>
        <v>2.73</v>
      </c>
      <c r="H137" s="73">
        <f t="shared" si="65"/>
        <v>1.6400000000000001</v>
      </c>
      <c r="I137" s="73">
        <f t="shared" si="65"/>
        <v>2.0299999999999998</v>
      </c>
      <c r="J137" s="73">
        <f t="shared" si="65"/>
        <v>1.7600000000000002</v>
      </c>
      <c r="K137" s="73">
        <f t="shared" si="65"/>
        <v>1.9499999999999997</v>
      </c>
      <c r="L137" s="73">
        <f t="shared" si="65"/>
        <v>2.04</v>
      </c>
      <c r="M137" s="73">
        <f t="shared" si="65"/>
        <v>1.98</v>
      </c>
    </row>
    <row r="138" spans="1:13" x14ac:dyDescent="0.25">
      <c r="A138" s="81">
        <v>41092</v>
      </c>
      <c r="B138" s="73">
        <f t="shared" si="65"/>
        <v>2.5399999999999996</v>
      </c>
      <c r="C138" s="73">
        <f t="shared" si="65"/>
        <v>2.33</v>
      </c>
      <c r="D138" s="73">
        <f t="shared" si="65"/>
        <v>1.9100000000000001</v>
      </c>
      <c r="E138" s="73">
        <f t="shared" si="65"/>
        <v>2.4699999999999998</v>
      </c>
      <c r="F138" s="73">
        <f t="shared" si="65"/>
        <v>2.9799999999999995</v>
      </c>
      <c r="G138" s="73">
        <f t="shared" si="65"/>
        <v>2.73</v>
      </c>
      <c r="H138" s="73">
        <f t="shared" si="65"/>
        <v>1.6400000000000001</v>
      </c>
      <c r="I138" s="73">
        <f t="shared" si="65"/>
        <v>2.0299999999999998</v>
      </c>
      <c r="J138" s="73">
        <f t="shared" si="65"/>
        <v>1.7600000000000002</v>
      </c>
      <c r="K138" s="73">
        <f t="shared" si="65"/>
        <v>1.9499999999999997</v>
      </c>
      <c r="L138" s="73">
        <f t="shared" si="65"/>
        <v>2.04</v>
      </c>
      <c r="M138" s="73">
        <f t="shared" si="65"/>
        <v>1.98</v>
      </c>
    </row>
    <row r="139" spans="1:13" x14ac:dyDescent="0.25">
      <c r="A139" s="81">
        <v>41123</v>
      </c>
      <c r="B139" s="73">
        <f t="shared" si="65"/>
        <v>2.5399999999999996</v>
      </c>
      <c r="C139" s="73">
        <f t="shared" si="65"/>
        <v>2.33</v>
      </c>
      <c r="D139" s="73">
        <f t="shared" si="65"/>
        <v>1.9100000000000001</v>
      </c>
      <c r="E139" s="73">
        <f t="shared" si="65"/>
        <v>2.4699999999999998</v>
      </c>
      <c r="F139" s="73">
        <f t="shared" si="65"/>
        <v>2.9799999999999995</v>
      </c>
      <c r="G139" s="73">
        <f t="shared" si="65"/>
        <v>2.73</v>
      </c>
      <c r="H139" s="73">
        <f t="shared" si="65"/>
        <v>1.6400000000000001</v>
      </c>
      <c r="I139" s="73">
        <f t="shared" si="65"/>
        <v>2.0299999999999998</v>
      </c>
      <c r="J139" s="73">
        <f t="shared" si="65"/>
        <v>1.7600000000000002</v>
      </c>
      <c r="K139" s="73">
        <f t="shared" si="65"/>
        <v>1.9499999999999997</v>
      </c>
      <c r="L139" s="73">
        <f t="shared" si="65"/>
        <v>2.04</v>
      </c>
      <c r="M139" s="73">
        <f t="shared" si="65"/>
        <v>1.98</v>
      </c>
    </row>
    <row r="140" spans="1:13" x14ac:dyDescent="0.25">
      <c r="A140" s="81">
        <v>41227</v>
      </c>
      <c r="B140" s="73">
        <f t="shared" si="65"/>
        <v>2.35</v>
      </c>
      <c r="C140" s="73">
        <f t="shared" si="65"/>
        <v>2.2999999999999998</v>
      </c>
      <c r="D140" s="73">
        <f t="shared" si="65"/>
        <v>1.5</v>
      </c>
      <c r="E140" s="73">
        <f t="shared" si="65"/>
        <v>2.2999999999999998</v>
      </c>
      <c r="F140" s="73">
        <f t="shared" si="65"/>
        <v>2.8000000000000003</v>
      </c>
      <c r="G140" s="73">
        <f t="shared" si="65"/>
        <v>2.5</v>
      </c>
      <c r="H140" s="73" t="s">
        <v>212</v>
      </c>
      <c r="I140" s="73">
        <f t="shared" si="65"/>
        <v>1.8000000000000003</v>
      </c>
      <c r="J140" s="73">
        <f t="shared" si="65"/>
        <v>1.75</v>
      </c>
      <c r="K140" s="73" t="s">
        <v>212</v>
      </c>
      <c r="L140" s="73">
        <f t="shared" si="65"/>
        <v>1.5500000000000003</v>
      </c>
      <c r="M140" s="73">
        <f t="shared" si="65"/>
        <v>1.7999999999999998</v>
      </c>
    </row>
    <row r="141" spans="1:13" x14ac:dyDescent="0.25">
      <c r="A141" s="81">
        <v>41248</v>
      </c>
      <c r="B141" s="73">
        <f t="shared" si="65"/>
        <v>2.35</v>
      </c>
      <c r="C141" s="73">
        <f t="shared" si="65"/>
        <v>2.2999999999999998</v>
      </c>
      <c r="D141" s="73">
        <f t="shared" si="65"/>
        <v>1.5</v>
      </c>
      <c r="E141" s="73">
        <f t="shared" si="65"/>
        <v>2.2999999999999998</v>
      </c>
      <c r="F141" s="73">
        <f t="shared" si="65"/>
        <v>2.8000000000000003</v>
      </c>
      <c r="G141" s="73">
        <f t="shared" si="65"/>
        <v>2.5</v>
      </c>
      <c r="H141" s="73" t="s">
        <v>212</v>
      </c>
      <c r="I141" s="73">
        <f t="shared" si="65"/>
        <v>1.8000000000000003</v>
      </c>
      <c r="J141" s="73">
        <f t="shared" si="65"/>
        <v>1.75</v>
      </c>
      <c r="K141" s="73" t="s">
        <v>212</v>
      </c>
      <c r="L141" s="73">
        <f t="shared" si="65"/>
        <v>1.5500000000000003</v>
      </c>
      <c r="M141" s="73">
        <f t="shared" si="65"/>
        <v>1.7999999999999998</v>
      </c>
    </row>
    <row r="142" spans="1:13" x14ac:dyDescent="0.25">
      <c r="A142" s="81">
        <v>41277</v>
      </c>
      <c r="B142" s="73">
        <f t="shared" si="65"/>
        <v>2.35</v>
      </c>
      <c r="C142" s="73">
        <f t="shared" si="65"/>
        <v>2.2999999999999998</v>
      </c>
      <c r="D142" s="73">
        <f t="shared" si="65"/>
        <v>1.5</v>
      </c>
      <c r="E142" s="73">
        <f t="shared" si="65"/>
        <v>2.2999999999999998</v>
      </c>
      <c r="F142" s="73">
        <f t="shared" si="65"/>
        <v>2.8000000000000003</v>
      </c>
      <c r="G142" s="73">
        <f t="shared" si="65"/>
        <v>2.5</v>
      </c>
      <c r="H142" s="73" t="s">
        <v>212</v>
      </c>
      <c r="I142" s="73">
        <f t="shared" si="65"/>
        <v>1.8000000000000003</v>
      </c>
      <c r="J142" s="73">
        <f t="shared" si="65"/>
        <v>1.75</v>
      </c>
      <c r="K142" s="73" t="s">
        <v>212</v>
      </c>
      <c r="L142" s="73">
        <f t="shared" si="65"/>
        <v>1.5500000000000003</v>
      </c>
      <c r="M142" s="73">
        <f t="shared" si="65"/>
        <v>1.7999999999999998</v>
      </c>
    </row>
    <row r="143" spans="1:13" x14ac:dyDescent="0.25">
      <c r="A143" s="81">
        <v>41284</v>
      </c>
      <c r="B143" s="73">
        <f t="shared" si="65"/>
        <v>2.35</v>
      </c>
      <c r="C143" s="73">
        <f t="shared" si="65"/>
        <v>2.2999999999999998</v>
      </c>
      <c r="D143" s="73">
        <f t="shared" si="65"/>
        <v>1.5</v>
      </c>
      <c r="E143" s="73">
        <f t="shared" si="65"/>
        <v>2.2999999999999998</v>
      </c>
      <c r="F143" s="73">
        <f t="shared" si="65"/>
        <v>2.8000000000000003</v>
      </c>
      <c r="G143" s="73">
        <f t="shared" si="65"/>
        <v>2.5</v>
      </c>
      <c r="H143" s="73" t="s">
        <v>212</v>
      </c>
      <c r="I143" s="73">
        <f t="shared" si="65"/>
        <v>1.8000000000000003</v>
      </c>
      <c r="J143" s="73">
        <f t="shared" si="65"/>
        <v>1.75</v>
      </c>
      <c r="K143" s="73" t="s">
        <v>212</v>
      </c>
      <c r="L143" s="73">
        <f t="shared" si="65"/>
        <v>1.5500000000000003</v>
      </c>
      <c r="M143" s="73">
        <f t="shared" si="65"/>
        <v>1.7999999999999998</v>
      </c>
    </row>
    <row r="144" spans="1:13" x14ac:dyDescent="0.25">
      <c r="A144" s="81">
        <v>41305</v>
      </c>
      <c r="B144" s="73">
        <f t="shared" si="65"/>
        <v>2.35</v>
      </c>
      <c r="C144" s="73">
        <f t="shared" si="65"/>
        <v>2.2999999999999998</v>
      </c>
      <c r="D144" s="73">
        <f t="shared" si="65"/>
        <v>1.5</v>
      </c>
      <c r="E144" s="73">
        <f t="shared" si="65"/>
        <v>2.2999999999999998</v>
      </c>
      <c r="F144" s="73">
        <f t="shared" si="65"/>
        <v>2.8000000000000003</v>
      </c>
      <c r="G144" s="73">
        <f t="shared" si="65"/>
        <v>2.5</v>
      </c>
      <c r="H144" s="73" t="s">
        <v>212</v>
      </c>
      <c r="I144" s="73">
        <f t="shared" si="65"/>
        <v>1.8000000000000003</v>
      </c>
      <c r="J144" s="73">
        <f t="shared" si="65"/>
        <v>1.75</v>
      </c>
      <c r="K144" s="73" t="s">
        <v>212</v>
      </c>
      <c r="L144" s="73">
        <f t="shared" si="65"/>
        <v>1.5500000000000003</v>
      </c>
      <c r="M144" s="73">
        <f t="shared" si="65"/>
        <v>1.7999999999999998</v>
      </c>
    </row>
    <row r="145" spans="1:14" x14ac:dyDescent="0.25">
      <c r="A145" s="81">
        <v>41310</v>
      </c>
      <c r="B145" s="73">
        <f t="shared" si="65"/>
        <v>2.35</v>
      </c>
      <c r="C145" s="73">
        <f t="shared" si="65"/>
        <v>2.2999999999999998</v>
      </c>
      <c r="D145" s="73">
        <f t="shared" si="65"/>
        <v>1.5</v>
      </c>
      <c r="E145" s="73">
        <f t="shared" si="65"/>
        <v>2.2999999999999998</v>
      </c>
      <c r="F145" s="73">
        <f t="shared" si="65"/>
        <v>2.8000000000000003</v>
      </c>
      <c r="G145" s="73">
        <f t="shared" si="65"/>
        <v>2.5</v>
      </c>
      <c r="H145" s="73" t="s">
        <v>212</v>
      </c>
      <c r="I145" s="73">
        <f t="shared" si="65"/>
        <v>1.8000000000000003</v>
      </c>
      <c r="J145" s="73">
        <f t="shared" si="65"/>
        <v>1.75</v>
      </c>
      <c r="K145" s="73" t="s">
        <v>212</v>
      </c>
      <c r="L145" s="73">
        <f t="shared" si="65"/>
        <v>1.5500000000000003</v>
      </c>
      <c r="M145" s="73">
        <f t="shared" si="65"/>
        <v>1.7999999999999998</v>
      </c>
    </row>
    <row r="146" spans="1:14" x14ac:dyDescent="0.25">
      <c r="A146" s="81">
        <v>41317</v>
      </c>
      <c r="B146" s="73">
        <f t="shared" si="65"/>
        <v>2.35</v>
      </c>
      <c r="C146" s="73">
        <f t="shared" si="65"/>
        <v>2.2999999999999998</v>
      </c>
      <c r="D146" s="73">
        <f t="shared" si="65"/>
        <v>1.5</v>
      </c>
      <c r="E146" s="73">
        <f t="shared" si="65"/>
        <v>2.2999999999999998</v>
      </c>
      <c r="F146" s="73">
        <f t="shared" si="65"/>
        <v>2.8000000000000003</v>
      </c>
      <c r="G146" s="73">
        <f t="shared" si="65"/>
        <v>2.5</v>
      </c>
      <c r="H146" s="73" t="s">
        <v>212</v>
      </c>
      <c r="I146" s="73">
        <f t="shared" si="65"/>
        <v>1.8000000000000003</v>
      </c>
      <c r="J146" s="73">
        <f t="shared" si="65"/>
        <v>1.75</v>
      </c>
      <c r="K146" s="73" t="s">
        <v>212</v>
      </c>
      <c r="L146" s="73">
        <f t="shared" si="65"/>
        <v>1.5500000000000003</v>
      </c>
      <c r="M146" s="73">
        <f t="shared" si="65"/>
        <v>1.7999999999999998</v>
      </c>
    </row>
    <row r="147" spans="1:14" x14ac:dyDescent="0.25">
      <c r="A147" s="81">
        <v>41337</v>
      </c>
      <c r="B147" s="73">
        <f>B91-B119</f>
        <v>2.35</v>
      </c>
      <c r="C147" s="73">
        <f t="shared" si="65"/>
        <v>2.2999999999999998</v>
      </c>
      <c r="D147" s="73">
        <f t="shared" si="65"/>
        <v>1.5</v>
      </c>
      <c r="E147" s="73">
        <f t="shared" si="65"/>
        <v>2.2999999999999998</v>
      </c>
      <c r="F147" s="73">
        <f t="shared" si="65"/>
        <v>2.8000000000000003</v>
      </c>
      <c r="G147" s="73">
        <f t="shared" si="65"/>
        <v>2.5</v>
      </c>
      <c r="H147" s="73" t="s">
        <v>212</v>
      </c>
      <c r="I147" s="73">
        <f t="shared" si="65"/>
        <v>1.8000000000000003</v>
      </c>
      <c r="J147" s="73">
        <f t="shared" si="65"/>
        <v>1.75</v>
      </c>
      <c r="K147" s="73" t="s">
        <v>212</v>
      </c>
      <c r="L147" s="73">
        <f t="shared" si="65"/>
        <v>1.5500000000000003</v>
      </c>
      <c r="M147" s="73">
        <f t="shared" si="65"/>
        <v>1.7999999999999998</v>
      </c>
    </row>
    <row r="148" spans="1:14" x14ac:dyDescent="0.25">
      <c r="A148" s="81">
        <v>41360</v>
      </c>
      <c r="B148" s="73">
        <f t="shared" ref="B148:M151" si="66">B92-B120</f>
        <v>2.3899999999999997</v>
      </c>
      <c r="C148" s="73">
        <f t="shared" si="66"/>
        <v>2.38</v>
      </c>
      <c r="D148" s="73">
        <f t="shared" si="66"/>
        <v>1.5799999999999998</v>
      </c>
      <c r="E148" s="73">
        <f t="shared" si="66"/>
        <v>2.3699999999999997</v>
      </c>
      <c r="F148" s="73">
        <f t="shared" si="66"/>
        <v>2.7799999999999994</v>
      </c>
      <c r="G148" s="73">
        <f t="shared" si="66"/>
        <v>2.39</v>
      </c>
      <c r="H148" s="73" t="s">
        <v>212</v>
      </c>
      <c r="I148" s="73">
        <f t="shared" si="66"/>
        <v>1.8099999999999998</v>
      </c>
      <c r="J148" s="73">
        <f t="shared" si="66"/>
        <v>1.6</v>
      </c>
      <c r="K148" s="73" t="s">
        <v>212</v>
      </c>
      <c r="L148" s="73">
        <f t="shared" si="66"/>
        <v>1.68</v>
      </c>
      <c r="M148" s="73">
        <f t="shared" si="66"/>
        <v>1.7799999999999998</v>
      </c>
    </row>
    <row r="149" spans="1:14" x14ac:dyDescent="0.25">
      <c r="A149" s="81">
        <v>41646</v>
      </c>
      <c r="B149" s="73">
        <f t="shared" si="66"/>
        <v>2.2499999999999996</v>
      </c>
      <c r="C149" s="73">
        <f t="shared" si="66"/>
        <v>2.2400000000000002</v>
      </c>
      <c r="D149" s="73">
        <f t="shared" si="66"/>
        <v>1.5799999999999998</v>
      </c>
      <c r="E149" s="73">
        <f t="shared" si="66"/>
        <v>2.52</v>
      </c>
      <c r="F149" s="73">
        <f t="shared" si="66"/>
        <v>2.5999999999999996</v>
      </c>
      <c r="G149" s="73">
        <f t="shared" si="66"/>
        <v>2.5</v>
      </c>
      <c r="H149" s="73">
        <f t="shared" si="66"/>
        <v>2.84</v>
      </c>
      <c r="I149" s="73">
        <f t="shared" si="66"/>
        <v>1.8099999999999998</v>
      </c>
      <c r="J149" s="73">
        <f t="shared" si="66"/>
        <v>1.6099999999999999</v>
      </c>
      <c r="K149" s="73">
        <f t="shared" si="66"/>
        <v>1.9499999999999997</v>
      </c>
      <c r="L149" s="73">
        <f t="shared" si="66"/>
        <v>1.68</v>
      </c>
      <c r="M149" s="73">
        <f t="shared" si="66"/>
        <v>1.7799999999999998</v>
      </c>
    </row>
    <row r="150" spans="1:14" x14ac:dyDescent="0.25">
      <c r="A150" s="81">
        <v>41650</v>
      </c>
      <c r="B150" s="73">
        <f t="shared" si="66"/>
        <v>2.2499999999999996</v>
      </c>
      <c r="C150" s="73">
        <f t="shared" si="66"/>
        <v>2.2400000000000002</v>
      </c>
      <c r="D150" s="73">
        <f t="shared" si="66"/>
        <v>1.5799999999999998</v>
      </c>
      <c r="E150" s="73">
        <f t="shared" si="66"/>
        <v>2.52</v>
      </c>
      <c r="F150" s="73">
        <f t="shared" si="66"/>
        <v>2.5999999999999996</v>
      </c>
      <c r="G150" s="73">
        <f t="shared" si="66"/>
        <v>2.5</v>
      </c>
      <c r="H150" s="73">
        <f t="shared" si="66"/>
        <v>2.84</v>
      </c>
      <c r="I150" s="73">
        <f t="shared" si="66"/>
        <v>1.8099999999999998</v>
      </c>
      <c r="J150" s="73">
        <f t="shared" si="66"/>
        <v>1.6099999999999999</v>
      </c>
      <c r="K150" s="73">
        <f t="shared" si="66"/>
        <v>1.9499999999999997</v>
      </c>
      <c r="L150" s="73">
        <f t="shared" si="66"/>
        <v>1.68</v>
      </c>
      <c r="M150" s="73">
        <f t="shared" si="66"/>
        <v>1.7799999999999998</v>
      </c>
    </row>
    <row r="151" spans="1:14" x14ac:dyDescent="0.25">
      <c r="A151" s="81">
        <v>41653</v>
      </c>
      <c r="B151" s="73">
        <f>B95-B123</f>
        <v>2.2499999999999996</v>
      </c>
      <c r="C151" s="73">
        <f t="shared" si="66"/>
        <v>2.2400000000000002</v>
      </c>
      <c r="D151" s="73">
        <f t="shared" si="66"/>
        <v>1.5799999999999998</v>
      </c>
      <c r="E151" s="73">
        <f t="shared" si="66"/>
        <v>2.52</v>
      </c>
      <c r="F151" s="73">
        <f t="shared" si="66"/>
        <v>2.5999999999999996</v>
      </c>
      <c r="G151" s="73">
        <f t="shared" si="66"/>
        <v>2.5</v>
      </c>
      <c r="H151" s="73">
        <f t="shared" si="66"/>
        <v>2.84</v>
      </c>
      <c r="I151" s="73">
        <f t="shared" si="66"/>
        <v>1.8099999999999998</v>
      </c>
      <c r="J151" s="73">
        <f t="shared" si="66"/>
        <v>1.6099999999999999</v>
      </c>
      <c r="K151" s="73">
        <f t="shared" si="66"/>
        <v>1.9499999999999997</v>
      </c>
      <c r="L151" s="73">
        <f t="shared" si="66"/>
        <v>1.68</v>
      </c>
      <c r="M151" s="73">
        <f t="shared" si="66"/>
        <v>1.7799999999999998</v>
      </c>
    </row>
    <row r="152" spans="1:14" x14ac:dyDescent="0.25">
      <c r="A152" s="81">
        <v>41670</v>
      </c>
      <c r="B152" s="73">
        <f t="shared" ref="B152:M157" si="67">B96-B124</f>
        <v>2.2499999999999996</v>
      </c>
      <c r="C152" s="73">
        <f t="shared" si="67"/>
        <v>2.2400000000000002</v>
      </c>
      <c r="D152" s="73">
        <f t="shared" si="67"/>
        <v>1.5799999999999998</v>
      </c>
      <c r="E152" s="73">
        <f t="shared" si="67"/>
        <v>2.52</v>
      </c>
      <c r="F152" s="73">
        <f t="shared" si="67"/>
        <v>2.5999999999999996</v>
      </c>
      <c r="G152" s="73">
        <f t="shared" si="67"/>
        <v>2.5</v>
      </c>
      <c r="H152" s="73">
        <f t="shared" si="67"/>
        <v>2.84</v>
      </c>
      <c r="I152" s="73">
        <f t="shared" si="67"/>
        <v>1.8099999999999998</v>
      </c>
      <c r="J152" s="73">
        <f t="shared" si="67"/>
        <v>1.6099999999999999</v>
      </c>
      <c r="K152" s="73">
        <f t="shared" si="67"/>
        <v>1.9499999999999997</v>
      </c>
      <c r="L152" s="73">
        <f t="shared" si="67"/>
        <v>1.68</v>
      </c>
      <c r="M152" s="73">
        <f t="shared" si="67"/>
        <v>1.7799999999999998</v>
      </c>
    </row>
    <row r="153" spans="1:14" x14ac:dyDescent="0.25">
      <c r="A153" s="81">
        <v>41681</v>
      </c>
      <c r="B153" s="73">
        <f t="shared" si="67"/>
        <v>2.2499999999999996</v>
      </c>
      <c r="C153" s="73">
        <f t="shared" si="67"/>
        <v>2.2400000000000002</v>
      </c>
      <c r="D153" s="73">
        <f t="shared" si="67"/>
        <v>1.5799999999999998</v>
      </c>
      <c r="E153" s="73">
        <f t="shared" si="67"/>
        <v>2.52</v>
      </c>
      <c r="F153" s="73">
        <f t="shared" si="67"/>
        <v>2.5999999999999996</v>
      </c>
      <c r="G153" s="73">
        <f t="shared" si="67"/>
        <v>2.5</v>
      </c>
      <c r="H153" s="73">
        <f t="shared" si="67"/>
        <v>2.84</v>
      </c>
      <c r="I153" s="73">
        <f t="shared" si="67"/>
        <v>1.8099999999999998</v>
      </c>
      <c r="J153" s="73">
        <f t="shared" si="67"/>
        <v>1.6099999999999999</v>
      </c>
      <c r="K153" s="73">
        <f t="shared" si="67"/>
        <v>1.9499999999999997</v>
      </c>
      <c r="L153" s="73">
        <f t="shared" si="67"/>
        <v>1.68</v>
      </c>
      <c r="M153" s="73">
        <f t="shared" si="67"/>
        <v>1.7799999999999998</v>
      </c>
    </row>
    <row r="154" spans="1:14" x14ac:dyDescent="0.25">
      <c r="A154" s="81">
        <v>41684</v>
      </c>
      <c r="B154" s="73">
        <f t="shared" si="67"/>
        <v>2.2499999999999996</v>
      </c>
      <c r="C154" s="73">
        <f t="shared" si="67"/>
        <v>2.2400000000000002</v>
      </c>
      <c r="D154" s="73">
        <f t="shared" si="67"/>
        <v>1.5799999999999998</v>
      </c>
      <c r="E154" s="73">
        <f t="shared" si="67"/>
        <v>2.52</v>
      </c>
      <c r="F154" s="73">
        <f t="shared" si="67"/>
        <v>2.5999999999999996</v>
      </c>
      <c r="G154" s="73">
        <f t="shared" si="67"/>
        <v>2.5</v>
      </c>
      <c r="H154" s="73">
        <f t="shared" si="67"/>
        <v>2.84</v>
      </c>
      <c r="I154" s="73">
        <f t="shared" si="67"/>
        <v>1.8099999999999998</v>
      </c>
      <c r="J154" s="73">
        <f t="shared" si="67"/>
        <v>1.6099999999999999</v>
      </c>
      <c r="K154" s="73">
        <f t="shared" si="67"/>
        <v>1.9499999999999997</v>
      </c>
      <c r="L154" s="73">
        <f t="shared" si="67"/>
        <v>1.68</v>
      </c>
      <c r="M154" s="73">
        <f t="shared" si="67"/>
        <v>1.7799999999999998</v>
      </c>
    </row>
    <row r="155" spans="1:14" x14ac:dyDescent="0.25">
      <c r="A155" s="81">
        <v>41691</v>
      </c>
      <c r="B155" s="73">
        <f t="shared" si="67"/>
        <v>2.2499999999999996</v>
      </c>
      <c r="C155" s="73">
        <f t="shared" si="67"/>
        <v>2.2400000000000002</v>
      </c>
      <c r="D155" s="73">
        <f t="shared" si="67"/>
        <v>1.5799999999999998</v>
      </c>
      <c r="E155" s="73">
        <f t="shared" si="67"/>
        <v>2.52</v>
      </c>
      <c r="F155" s="73">
        <f t="shared" si="67"/>
        <v>2.5999999999999996</v>
      </c>
      <c r="G155" s="73">
        <f t="shared" si="67"/>
        <v>2.5</v>
      </c>
      <c r="H155" s="73">
        <f t="shared" si="67"/>
        <v>2.84</v>
      </c>
      <c r="I155" s="73">
        <f t="shared" si="67"/>
        <v>1.8099999999999998</v>
      </c>
      <c r="J155" s="73">
        <f t="shared" si="67"/>
        <v>1.6099999999999999</v>
      </c>
      <c r="K155" s="73">
        <f t="shared" si="67"/>
        <v>1.9499999999999997</v>
      </c>
      <c r="L155" s="73">
        <f t="shared" si="67"/>
        <v>1.68</v>
      </c>
      <c r="M155" s="73">
        <f t="shared" si="67"/>
        <v>1.7799999999999998</v>
      </c>
    </row>
    <row r="156" spans="1:14" x14ac:dyDescent="0.25">
      <c r="A156" s="81">
        <v>41705</v>
      </c>
      <c r="B156" s="73">
        <f t="shared" si="67"/>
        <v>2.2499999999999996</v>
      </c>
      <c r="C156" s="73">
        <f t="shared" si="67"/>
        <v>2.2400000000000002</v>
      </c>
      <c r="D156" s="73">
        <f t="shared" si="67"/>
        <v>1.5799999999999998</v>
      </c>
      <c r="E156" s="73">
        <f t="shared" si="67"/>
        <v>2.52</v>
      </c>
      <c r="F156" s="73">
        <f t="shared" si="67"/>
        <v>2.5999999999999996</v>
      </c>
      <c r="G156" s="73">
        <f t="shared" si="67"/>
        <v>2.5</v>
      </c>
      <c r="H156" s="73">
        <f t="shared" si="67"/>
        <v>2.84</v>
      </c>
      <c r="I156" s="73">
        <f t="shared" si="67"/>
        <v>1.8099999999999998</v>
      </c>
      <c r="J156" s="73">
        <f t="shared" si="67"/>
        <v>1.6099999999999999</v>
      </c>
      <c r="K156" s="73">
        <f t="shared" si="67"/>
        <v>1.9499999999999997</v>
      </c>
      <c r="L156" s="73">
        <f t="shared" si="67"/>
        <v>1.68</v>
      </c>
      <c r="M156" s="73">
        <f t="shared" si="67"/>
        <v>1.7799999999999998</v>
      </c>
    </row>
    <row r="157" spans="1:14" x14ac:dyDescent="0.25">
      <c r="A157" s="81">
        <v>41712</v>
      </c>
      <c r="B157" s="73">
        <f t="shared" si="67"/>
        <v>2.2499999999999996</v>
      </c>
      <c r="C157" s="73">
        <f t="shared" si="67"/>
        <v>2.2400000000000002</v>
      </c>
      <c r="D157" s="73">
        <f t="shared" si="67"/>
        <v>1.5799999999999998</v>
      </c>
      <c r="E157" s="73">
        <f t="shared" si="67"/>
        <v>2.52</v>
      </c>
      <c r="F157" s="73">
        <f t="shared" si="67"/>
        <v>2.5999999999999996</v>
      </c>
      <c r="G157" s="73">
        <f t="shared" si="67"/>
        <v>2.5</v>
      </c>
      <c r="H157" s="73">
        <f t="shared" si="67"/>
        <v>2.84</v>
      </c>
      <c r="I157" s="73">
        <f t="shared" si="67"/>
        <v>1.8099999999999998</v>
      </c>
      <c r="J157" s="73">
        <f t="shared" si="67"/>
        <v>1.6099999999999999</v>
      </c>
      <c r="K157" s="73">
        <f t="shared" si="67"/>
        <v>1.9499999999999997</v>
      </c>
      <c r="L157" s="73">
        <f t="shared" si="67"/>
        <v>1.68</v>
      </c>
      <c r="M157" s="73">
        <f t="shared" si="67"/>
        <v>1.7799999999999998</v>
      </c>
    </row>
    <row r="159" spans="1:14" x14ac:dyDescent="0.25">
      <c r="B159" s="73">
        <v>70</v>
      </c>
      <c r="C159" s="73">
        <v>82</v>
      </c>
      <c r="D159" s="73">
        <v>65</v>
      </c>
      <c r="E159" s="73">
        <v>77</v>
      </c>
      <c r="F159" s="73">
        <v>72</v>
      </c>
      <c r="G159" s="73">
        <v>53</v>
      </c>
      <c r="H159" s="73">
        <v>80</v>
      </c>
      <c r="I159" s="73">
        <v>55</v>
      </c>
      <c r="J159" s="73">
        <v>85</v>
      </c>
      <c r="K159" s="73">
        <v>100</v>
      </c>
      <c r="L159" s="73">
        <v>43</v>
      </c>
      <c r="M159" s="73">
        <v>85</v>
      </c>
      <c r="N159" s="73">
        <v>66</v>
      </c>
    </row>
    <row r="160" spans="1:14" x14ac:dyDescent="0.25">
      <c r="B160" s="73">
        <f>CONVERT(B159,"cm","ft")</f>
        <v>2.2965879265091864</v>
      </c>
      <c r="C160" s="73">
        <f>CONVERT(C159,"cm","ft")</f>
        <v>2.690288713910761</v>
      </c>
      <c r="D160" s="73">
        <f t="shared" ref="D160:K160" si="68">CONVERT(D159,"cm","ft")</f>
        <v>2.1325459317585302</v>
      </c>
      <c r="E160" s="73">
        <f t="shared" si="68"/>
        <v>2.5262467191601052</v>
      </c>
      <c r="F160" s="73">
        <f t="shared" si="68"/>
        <v>2.3622047244094491</v>
      </c>
      <c r="G160" s="73">
        <f t="shared" si="68"/>
        <v>1.7388451443569555</v>
      </c>
      <c r="H160" s="73">
        <f t="shared" si="68"/>
        <v>2.6246719160104988</v>
      </c>
      <c r="I160" s="73">
        <f t="shared" si="68"/>
        <v>1.8044619422572179</v>
      </c>
      <c r="J160" s="73">
        <f t="shared" si="68"/>
        <v>2.7887139107611545</v>
      </c>
      <c r="K160" s="73">
        <f t="shared" si="68"/>
        <v>3.2808398950131235</v>
      </c>
      <c r="L160" s="73">
        <f>CONVERT(L159,"cm","ft")</f>
        <v>1.4107611548556431</v>
      </c>
      <c r="M160" s="73">
        <f>CONVERT(M159,"cm","ft")</f>
        <v>2.7887139107611545</v>
      </c>
      <c r="N160" s="73">
        <f>CONVERT(N159,"cm","ft")</f>
        <v>2.1653543307086616</v>
      </c>
    </row>
    <row r="161" spans="11:13" x14ac:dyDescent="0.25">
      <c r="K161" s="73">
        <v>2013</v>
      </c>
      <c r="L161" s="73">
        <f>CONVERT(L143,"ft","cm")</f>
        <v>47.244000000000007</v>
      </c>
      <c r="M161" s="73">
        <f>CONVERT(M148,"ft","cm")</f>
        <v>54.25439999999999</v>
      </c>
    </row>
    <row r="162" spans="11:13" x14ac:dyDescent="0.25">
      <c r="K162" s="73">
        <v>2014</v>
      </c>
      <c r="L162" s="73">
        <f>CONVERT(L153,"ft","cm")</f>
        <v>51.206399999999995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9"/>
  <sheetViews>
    <sheetView topLeftCell="A16" workbookViewId="0">
      <selection activeCell="E53" sqref="E53"/>
    </sheetView>
  </sheetViews>
  <sheetFormatPr defaultRowHeight="12.75" x14ac:dyDescent="0.2"/>
  <cols>
    <col min="1" max="1" width="13.140625" bestFit="1" customWidth="1"/>
    <col min="7" max="7" width="7.28515625" customWidth="1"/>
    <col min="10" max="11" width="9.140625" style="52"/>
    <col min="12" max="12" width="10.85546875" customWidth="1"/>
  </cols>
  <sheetData>
    <row r="1" spans="1:51" x14ac:dyDescent="0.2">
      <c r="B1" s="46" t="s">
        <v>97</v>
      </c>
      <c r="C1" s="46"/>
      <c r="AH1">
        <v>0.22850000000000001</v>
      </c>
      <c r="AI1">
        <v>0.13719999999999999</v>
      </c>
      <c r="AM1" s="13"/>
      <c r="AN1" s="13"/>
      <c r="AO1" s="13">
        <v>0.23760000000000001</v>
      </c>
      <c r="AP1" s="13">
        <v>0.17369999999999999</v>
      </c>
      <c r="AQ1" s="13"/>
    </row>
    <row r="2" spans="1:51" x14ac:dyDescent="0.2">
      <c r="AH2">
        <v>-0.157</v>
      </c>
      <c r="AI2">
        <v>0.1454</v>
      </c>
      <c r="AM2" s="13"/>
      <c r="AN2" s="13"/>
      <c r="AO2" s="13">
        <v>-0.17199999999999999</v>
      </c>
      <c r="AP2" s="13">
        <v>8.4000000000000005E-2</v>
      </c>
      <c r="AQ2" s="13"/>
    </row>
    <row r="3" spans="1:51" ht="63.75" x14ac:dyDescent="0.2">
      <c r="A3" t="s">
        <v>96</v>
      </c>
      <c r="B3" s="42" t="s">
        <v>90</v>
      </c>
      <c r="C3" s="42" t="s">
        <v>91</v>
      </c>
      <c r="D3" s="42" t="s">
        <v>114</v>
      </c>
      <c r="E3" s="42" t="s">
        <v>92</v>
      </c>
      <c r="F3" s="42" t="s">
        <v>93</v>
      </c>
      <c r="G3" s="42" t="s">
        <v>98</v>
      </c>
      <c r="H3" s="42" t="s">
        <v>94</v>
      </c>
      <c r="I3" s="42" t="s">
        <v>95</v>
      </c>
      <c r="J3" s="53" t="s">
        <v>39</v>
      </c>
      <c r="K3" s="53" t="s">
        <v>39</v>
      </c>
      <c r="L3" s="42" t="s">
        <v>103</v>
      </c>
      <c r="M3" s="42" t="s">
        <v>104</v>
      </c>
      <c r="Z3" t="s">
        <v>110</v>
      </c>
      <c r="AF3" t="s">
        <v>111</v>
      </c>
      <c r="AM3" s="13" t="s">
        <v>129</v>
      </c>
      <c r="AN3" s="13"/>
      <c r="AO3" s="13"/>
      <c r="AP3" s="13"/>
      <c r="AQ3" s="13"/>
    </row>
    <row r="4" spans="1:51" x14ac:dyDescent="0.2">
      <c r="A4">
        <v>0</v>
      </c>
      <c r="B4" s="52">
        <v>0.2989</v>
      </c>
      <c r="C4" s="56"/>
      <c r="D4" s="56">
        <f>F4*0.2651-0.2092+F4</f>
        <v>1.2077120000000001</v>
      </c>
      <c r="E4" s="44">
        <f>1-D4/2.65</f>
        <v>0.5442596226415094</v>
      </c>
      <c r="F4">
        <v>1.1200000000000001</v>
      </c>
      <c r="G4" s="45">
        <f>IFERROR(IF(OR(E4="",B4=""),"",E4-B4),"")</f>
        <v>0.2453596226415094</v>
      </c>
      <c r="H4" s="44">
        <f t="shared" ref="H4:H10" si="0">1-F4/2.65</f>
        <v>0.57735849056603761</v>
      </c>
      <c r="I4" s="45">
        <f>IFERROR(IF(OR(B4="",H4=""),"",H4-B4),"")</f>
        <v>0.27845849056603761</v>
      </c>
      <c r="J4" s="52">
        <v>0.1363</v>
      </c>
      <c r="K4" s="52">
        <v>0.1363</v>
      </c>
      <c r="L4" s="43">
        <f>IF(J4="","",H4-J4)</f>
        <v>0.44105849056603763</v>
      </c>
      <c r="M4" s="46"/>
      <c r="N4" s="43">
        <f>L4-I4</f>
        <v>0.16260000000000002</v>
      </c>
      <c r="AA4" t="s">
        <v>52</v>
      </c>
      <c r="AB4" t="s">
        <v>39</v>
      </c>
      <c r="AC4" t="s">
        <v>38</v>
      </c>
      <c r="AD4" t="s">
        <v>40</v>
      </c>
      <c r="AF4" t="s">
        <v>112</v>
      </c>
      <c r="AG4" t="s">
        <v>52</v>
      </c>
      <c r="AH4" t="s">
        <v>39</v>
      </c>
      <c r="AI4" t="s">
        <v>38</v>
      </c>
      <c r="AJ4" t="s">
        <v>40</v>
      </c>
      <c r="AM4" s="13" t="s">
        <v>112</v>
      </c>
      <c r="AN4" s="13" t="s">
        <v>52</v>
      </c>
      <c r="AO4" s="13" t="s">
        <v>39</v>
      </c>
      <c r="AP4" s="13" t="s">
        <v>38</v>
      </c>
      <c r="AQ4" s="13" t="s">
        <v>40</v>
      </c>
    </row>
    <row r="5" spans="1:51" x14ac:dyDescent="0.2">
      <c r="A5">
        <v>8</v>
      </c>
      <c r="B5" s="52">
        <v>0.36979999999999996</v>
      </c>
      <c r="C5">
        <v>1.4</v>
      </c>
      <c r="D5">
        <v>1.4</v>
      </c>
      <c r="E5" s="44">
        <f t="shared" ref="E5:E10" si="1">1-D5/2.65</f>
        <v>0.47169811320754718</v>
      </c>
      <c r="F5">
        <v>1.26</v>
      </c>
      <c r="G5" s="45">
        <f t="shared" ref="G5:G59" si="2">IFERROR(IF(OR(E5="",B5=""),"",E5-B5),"")</f>
        <v>0.10189811320754721</v>
      </c>
      <c r="H5" s="44">
        <f t="shared" si="0"/>
        <v>0.52452830188679245</v>
      </c>
      <c r="I5" s="45">
        <f t="shared" ref="I5:I59" si="3">IFERROR(IF(OR(B5="",H5=""),"",H5-B5),"")</f>
        <v>0.15472830188679249</v>
      </c>
      <c r="J5" s="52">
        <v>0.19789999999999999</v>
      </c>
      <c r="K5" s="52">
        <v>0.19789999999999999</v>
      </c>
      <c r="L5" s="43">
        <f t="shared" ref="L5:L53" si="4">IF(J5="","",H5-J5)</f>
        <v>0.32662830188679248</v>
      </c>
      <c r="M5" s="46">
        <f>AVERAGE(0.58,1.68)</f>
        <v>1.1299999999999999</v>
      </c>
      <c r="N5" s="43">
        <f t="shared" ref="N5:N59" si="5">L5-I5</f>
        <v>0.1719</v>
      </c>
      <c r="O5">
        <f>M5*2.54*10000/3600</f>
        <v>7.9727777777777771</v>
      </c>
      <c r="Z5">
        <v>1</v>
      </c>
      <c r="AA5">
        <f>1-Z5/2.65</f>
        <v>0.62264150943396224</v>
      </c>
      <c r="AB5">
        <f>Z5*0.2933-0.2118</f>
        <v>8.1500000000000017E-2</v>
      </c>
      <c r="AC5">
        <f>MIN(0.2417*Z5+0.0174,AA5-0.03)</f>
        <v>0.2591</v>
      </c>
      <c r="AD5">
        <f>AC5-AB5</f>
        <v>0.17759999999999998</v>
      </c>
      <c r="AF5">
        <v>1</v>
      </c>
      <c r="AG5">
        <f>1-AF5/2.65</f>
        <v>0.62264150943396224</v>
      </c>
      <c r="AH5">
        <f>AF5*0.2285-0.157</f>
        <v>7.1500000000000008E-2</v>
      </c>
      <c r="AI5">
        <f>MIN(AG5-0.03,0.1372*AF5+0.1454)</f>
        <v>0.28259999999999996</v>
      </c>
      <c r="AJ5">
        <f>AI5-AH5</f>
        <v>0.21109999999999995</v>
      </c>
      <c r="AM5" s="13">
        <v>1</v>
      </c>
      <c r="AN5" s="13">
        <f>1-AM5/2.65</f>
        <v>0.62264150943396224</v>
      </c>
      <c r="AO5" s="13">
        <f>AM5*AO$1+AO$2</f>
        <v>6.5600000000000019E-2</v>
      </c>
      <c r="AP5" s="13">
        <f>MIN(AN5-0.03,AP$1*AM5+AP$2)</f>
        <v>0.25769999999999998</v>
      </c>
      <c r="AQ5" s="13">
        <f>AP5-AO5</f>
        <v>0.19209999999999997</v>
      </c>
      <c r="AW5">
        <v>1.24</v>
      </c>
      <c r="AX5">
        <v>1.37</v>
      </c>
      <c r="AY5">
        <f>AX5-AW5</f>
        <v>0.13000000000000012</v>
      </c>
    </row>
    <row r="6" spans="1:51" x14ac:dyDescent="0.2">
      <c r="A6">
        <v>24</v>
      </c>
      <c r="B6" s="52">
        <v>0.40509999999999996</v>
      </c>
      <c r="C6">
        <v>1.47</v>
      </c>
      <c r="D6">
        <v>1.47</v>
      </c>
      <c r="E6" s="44">
        <f t="shared" si="1"/>
        <v>0.44528301886792454</v>
      </c>
      <c r="F6">
        <v>1.37</v>
      </c>
      <c r="G6" s="45">
        <f t="shared" si="2"/>
        <v>4.018301886792458E-2</v>
      </c>
      <c r="H6" s="44">
        <f t="shared" si="0"/>
        <v>0.48301886792452819</v>
      </c>
      <c r="I6" s="45">
        <f t="shared" si="3"/>
        <v>7.7918867924528235E-2</v>
      </c>
      <c r="J6" s="52">
        <v>0.17760000000000001</v>
      </c>
      <c r="K6" s="52">
        <v>0.17760000000000001</v>
      </c>
      <c r="L6" s="43">
        <f t="shared" si="4"/>
        <v>0.30541886792452821</v>
      </c>
      <c r="M6" s="46">
        <v>0.38</v>
      </c>
      <c r="N6" s="43">
        <f t="shared" si="5"/>
        <v>0.22749999999999998</v>
      </c>
      <c r="O6">
        <f t="shared" ref="O6:O59" si="6">M6*2.54*10000/3600</f>
        <v>2.681111111111111</v>
      </c>
      <c r="Z6">
        <v>1.1000000000000001</v>
      </c>
      <c r="AA6">
        <f t="shared" ref="AA6:AA12" si="7">1-Z6/2.65</f>
        <v>0.58490566037735836</v>
      </c>
      <c r="AB6">
        <f t="shared" ref="AB6:AB12" si="8">Z6*0.2933-0.2118</f>
        <v>0.11083000000000004</v>
      </c>
      <c r="AC6">
        <f t="shared" ref="AC6:AC12" si="9">MIN(0.2417*Z6+0.0174,AA6-0.03)</f>
        <v>0.28327000000000002</v>
      </c>
      <c r="AD6">
        <f t="shared" ref="AD6:AD12" si="10">AC6-AB6</f>
        <v>0.17243999999999998</v>
      </c>
      <c r="AF6">
        <v>1.1000000000000001</v>
      </c>
      <c r="AG6">
        <f t="shared" ref="AG6:AG12" si="11">1-AF6/2.65</f>
        <v>0.58490566037735836</v>
      </c>
      <c r="AH6">
        <f t="shared" ref="AH6:AH12" si="12">AF6*0.2285-0.157</f>
        <v>9.4350000000000017E-2</v>
      </c>
      <c r="AI6">
        <f t="shared" ref="AI6:AI12" si="13">MIN(AG6-0.03,0.1372*AF6+0.1454)</f>
        <v>0.29632000000000003</v>
      </c>
      <c r="AJ6">
        <f t="shared" ref="AJ6:AJ12" si="14">AI6-AH6</f>
        <v>0.20197000000000001</v>
      </c>
      <c r="AM6" s="13">
        <v>1.1000000000000001</v>
      </c>
      <c r="AN6" s="13">
        <f t="shared" ref="AN6:AN12" si="15">1-AM6/2.65</f>
        <v>0.58490566037735836</v>
      </c>
      <c r="AO6" s="13">
        <f t="shared" ref="AO6:AO12" si="16">AM6*AO$1+AO$2</f>
        <v>8.9360000000000051E-2</v>
      </c>
      <c r="AP6" s="13">
        <f t="shared" ref="AP6:AP12" si="17">MIN(AN6-0.03,AP$1*AM6+AP$2)</f>
        <v>0.27507000000000004</v>
      </c>
      <c r="AQ6" s="13">
        <f t="shared" ref="AQ6:AQ12" si="18">AP6-AO6</f>
        <v>0.18570999999999999</v>
      </c>
      <c r="AW6">
        <v>1.26</v>
      </c>
      <c r="AX6">
        <v>1.4</v>
      </c>
      <c r="AY6">
        <f>AX6-AW6</f>
        <v>0.1399999999999999</v>
      </c>
    </row>
    <row r="7" spans="1:51" s="46" customFormat="1" x14ac:dyDescent="0.2">
      <c r="A7" s="46">
        <v>29</v>
      </c>
      <c r="B7" s="54">
        <v>0.35590000000000005</v>
      </c>
      <c r="C7" s="46">
        <v>1.5</v>
      </c>
      <c r="D7" s="46">
        <v>1.5</v>
      </c>
      <c r="E7" s="47">
        <f t="shared" si="1"/>
        <v>0.43396226415094341</v>
      </c>
      <c r="F7" s="46">
        <v>1.43</v>
      </c>
      <c r="G7" s="45">
        <f t="shared" si="2"/>
        <v>7.8062264150943361E-2</v>
      </c>
      <c r="H7" s="47">
        <f t="shared" si="0"/>
        <v>0.46037735849056605</v>
      </c>
      <c r="I7" s="45">
        <f t="shared" si="3"/>
        <v>0.104477358490566</v>
      </c>
      <c r="J7" s="52">
        <v>7.85E-2</v>
      </c>
      <c r="K7" s="52"/>
      <c r="L7" s="43">
        <f t="shared" si="4"/>
        <v>0.38187735849056603</v>
      </c>
      <c r="M7" s="46">
        <v>0.18</v>
      </c>
      <c r="N7" s="43">
        <f t="shared" si="5"/>
        <v>0.27740000000000004</v>
      </c>
      <c r="O7">
        <f t="shared" si="6"/>
        <v>1.27</v>
      </c>
      <c r="Z7">
        <v>1.2</v>
      </c>
      <c r="AA7">
        <f t="shared" si="7"/>
        <v>0.54716981132075471</v>
      </c>
      <c r="AB7">
        <f t="shared" si="8"/>
        <v>0.14016000000000001</v>
      </c>
      <c r="AC7">
        <f t="shared" si="9"/>
        <v>0.30743999999999994</v>
      </c>
      <c r="AD7">
        <f t="shared" si="10"/>
        <v>0.16727999999999993</v>
      </c>
      <c r="AF7">
        <v>1.2</v>
      </c>
      <c r="AG7">
        <f t="shared" si="11"/>
        <v>0.54716981132075471</v>
      </c>
      <c r="AH7">
        <f t="shared" si="12"/>
        <v>0.1172</v>
      </c>
      <c r="AI7">
        <f t="shared" si="13"/>
        <v>0.31003999999999998</v>
      </c>
      <c r="AJ7">
        <f t="shared" si="14"/>
        <v>0.19283999999999998</v>
      </c>
      <c r="AM7" s="13">
        <v>1.2</v>
      </c>
      <c r="AN7" s="13">
        <f t="shared" si="15"/>
        <v>0.54716981132075471</v>
      </c>
      <c r="AO7" s="13">
        <f t="shared" si="16"/>
        <v>0.11312</v>
      </c>
      <c r="AP7" s="13">
        <f t="shared" si="17"/>
        <v>0.29243999999999998</v>
      </c>
      <c r="AQ7" s="13">
        <f t="shared" si="18"/>
        <v>0.17931999999999998</v>
      </c>
      <c r="AW7">
        <v>1.26</v>
      </c>
      <c r="AX7">
        <v>1.37</v>
      </c>
      <c r="AY7">
        <f t="shared" ref="AY7:AY38" si="19">AX7-AW7</f>
        <v>0.1100000000000001</v>
      </c>
    </row>
    <row r="8" spans="1:51" x14ac:dyDescent="0.2">
      <c r="A8">
        <v>34</v>
      </c>
      <c r="B8" s="52">
        <v>0.39789999999999998</v>
      </c>
      <c r="C8">
        <v>1.66</v>
      </c>
      <c r="D8">
        <v>1.66</v>
      </c>
      <c r="E8" s="44">
        <f t="shared" si="1"/>
        <v>0.37358490566037739</v>
      </c>
      <c r="F8">
        <v>1.47</v>
      </c>
      <c r="G8" s="45">
        <f t="shared" si="2"/>
        <v>-2.4315094339622589E-2</v>
      </c>
      <c r="H8" s="44">
        <f t="shared" si="0"/>
        <v>0.44528301886792454</v>
      </c>
      <c r="I8" s="45">
        <f t="shared" si="3"/>
        <v>4.7383018867924565E-2</v>
      </c>
      <c r="J8" s="52">
        <v>0.27149999999999996</v>
      </c>
      <c r="K8" s="52">
        <v>0.27149999999999996</v>
      </c>
      <c r="L8" s="43">
        <f t="shared" si="4"/>
        <v>0.17378301886792458</v>
      </c>
      <c r="M8" s="46">
        <v>0</v>
      </c>
      <c r="N8" s="43">
        <f t="shared" si="5"/>
        <v>0.12640000000000001</v>
      </c>
      <c r="O8">
        <f t="shared" si="6"/>
        <v>0</v>
      </c>
      <c r="Z8">
        <v>1.3</v>
      </c>
      <c r="AA8">
        <f t="shared" si="7"/>
        <v>0.50943396226415083</v>
      </c>
      <c r="AB8">
        <f t="shared" si="8"/>
        <v>0.16949000000000003</v>
      </c>
      <c r="AC8">
        <f t="shared" si="9"/>
        <v>0.33160999999999996</v>
      </c>
      <c r="AD8">
        <f t="shared" si="10"/>
        <v>0.16211999999999993</v>
      </c>
      <c r="AF8">
        <v>1.3</v>
      </c>
      <c r="AG8">
        <f t="shared" si="11"/>
        <v>0.50943396226415083</v>
      </c>
      <c r="AH8">
        <f t="shared" si="12"/>
        <v>0.14005000000000004</v>
      </c>
      <c r="AI8">
        <f t="shared" si="13"/>
        <v>0.32375999999999999</v>
      </c>
      <c r="AJ8">
        <f t="shared" si="14"/>
        <v>0.18370999999999996</v>
      </c>
      <c r="AM8" s="13">
        <v>1.3</v>
      </c>
      <c r="AN8" s="13">
        <f t="shared" si="15"/>
        <v>0.50943396226415083</v>
      </c>
      <c r="AO8" s="13">
        <f t="shared" si="16"/>
        <v>0.13688000000000006</v>
      </c>
      <c r="AP8" s="13">
        <f t="shared" si="17"/>
        <v>0.30981000000000003</v>
      </c>
      <c r="AQ8" s="13">
        <f t="shared" si="18"/>
        <v>0.17292999999999997</v>
      </c>
      <c r="AW8">
        <v>1.27</v>
      </c>
      <c r="AX8">
        <v>1.4</v>
      </c>
      <c r="AY8">
        <f t="shared" si="19"/>
        <v>0.12999999999999989</v>
      </c>
    </row>
    <row r="9" spans="1:51" x14ac:dyDescent="0.2">
      <c r="A9">
        <v>38</v>
      </c>
      <c r="B9" s="52">
        <v>0.39909999999999995</v>
      </c>
      <c r="C9">
        <v>1.71</v>
      </c>
      <c r="D9">
        <v>1.71</v>
      </c>
      <c r="E9" s="44">
        <f t="shared" si="1"/>
        <v>0.3547169811320755</v>
      </c>
      <c r="F9">
        <v>1.54</v>
      </c>
      <c r="G9" s="45">
        <f t="shared" si="2"/>
        <v>-4.4383018867924451E-2</v>
      </c>
      <c r="H9" s="44">
        <f t="shared" si="0"/>
        <v>0.4188679245283019</v>
      </c>
      <c r="I9" s="45">
        <f t="shared" si="3"/>
        <v>1.976792452830195E-2</v>
      </c>
      <c r="J9" s="52">
        <v>0.309</v>
      </c>
      <c r="L9" s="43">
        <f t="shared" si="4"/>
        <v>0.10986792452830191</v>
      </c>
      <c r="M9" s="46">
        <v>7.0000000000000007E-2</v>
      </c>
      <c r="N9" s="43">
        <f t="shared" si="5"/>
        <v>9.0099999999999958E-2</v>
      </c>
      <c r="O9">
        <f t="shared" si="6"/>
        <v>0.49388888888888893</v>
      </c>
      <c r="Z9">
        <v>1.4</v>
      </c>
      <c r="AA9">
        <f t="shared" si="7"/>
        <v>0.47169811320754718</v>
      </c>
      <c r="AB9">
        <f t="shared" si="8"/>
        <v>0.19882</v>
      </c>
      <c r="AC9">
        <f t="shared" si="9"/>
        <v>0.35577999999999999</v>
      </c>
      <c r="AD9">
        <f t="shared" si="10"/>
        <v>0.15695999999999999</v>
      </c>
      <c r="AF9">
        <v>1.4</v>
      </c>
      <c r="AG9">
        <f t="shared" si="11"/>
        <v>0.47169811320754718</v>
      </c>
      <c r="AH9">
        <f t="shared" si="12"/>
        <v>0.16290000000000002</v>
      </c>
      <c r="AI9">
        <f t="shared" si="13"/>
        <v>0.33748</v>
      </c>
      <c r="AJ9">
        <f t="shared" si="14"/>
        <v>0.17457999999999999</v>
      </c>
      <c r="AK9" s="55"/>
      <c r="AM9" s="13">
        <v>1.4</v>
      </c>
      <c r="AN9" s="13">
        <f t="shared" si="15"/>
        <v>0.47169811320754718</v>
      </c>
      <c r="AO9" s="13">
        <f t="shared" si="16"/>
        <v>0.16064000000000001</v>
      </c>
      <c r="AP9" s="13">
        <f t="shared" si="17"/>
        <v>0.32717999999999997</v>
      </c>
      <c r="AQ9" s="13">
        <f t="shared" si="18"/>
        <v>0.16653999999999997</v>
      </c>
      <c r="AR9" s="55"/>
      <c r="AW9">
        <v>1.27</v>
      </c>
      <c r="AX9">
        <v>1.43</v>
      </c>
      <c r="AY9">
        <f t="shared" si="19"/>
        <v>0.15999999999999992</v>
      </c>
    </row>
    <row r="10" spans="1:51" x14ac:dyDescent="0.2">
      <c r="A10">
        <v>51</v>
      </c>
      <c r="B10" s="52">
        <v>0.32350000000000001</v>
      </c>
      <c r="C10">
        <v>1.66</v>
      </c>
      <c r="D10">
        <v>1.66</v>
      </c>
      <c r="E10" s="44">
        <f t="shared" si="1"/>
        <v>0.37358490566037739</v>
      </c>
      <c r="F10">
        <v>1.46</v>
      </c>
      <c r="G10" s="45">
        <f t="shared" si="2"/>
        <v>5.0084905660377377E-2</v>
      </c>
      <c r="H10" s="44">
        <f t="shared" si="0"/>
        <v>0.44905660377358492</v>
      </c>
      <c r="I10" s="45">
        <f t="shared" si="3"/>
        <v>0.12555660377358491</v>
      </c>
      <c r="J10" s="52">
        <v>0.27399999999999997</v>
      </c>
      <c r="K10" s="52">
        <v>0.27399999999999997</v>
      </c>
      <c r="L10" s="43">
        <f t="shared" si="4"/>
        <v>0.17505660377358495</v>
      </c>
      <c r="M10" s="46">
        <v>0.12</v>
      </c>
      <c r="N10" s="43">
        <f t="shared" si="5"/>
        <v>4.9500000000000044E-2</v>
      </c>
      <c r="O10">
        <f t="shared" si="6"/>
        <v>0.84666666666666668</v>
      </c>
      <c r="Z10">
        <v>1.5</v>
      </c>
      <c r="AA10">
        <f t="shared" si="7"/>
        <v>0.43396226415094341</v>
      </c>
      <c r="AB10">
        <f t="shared" si="8"/>
        <v>0.22815000000000002</v>
      </c>
      <c r="AC10">
        <f t="shared" si="9"/>
        <v>0.37995000000000001</v>
      </c>
      <c r="AD10">
        <f t="shared" si="10"/>
        <v>0.15179999999999999</v>
      </c>
      <c r="AF10">
        <v>1.5</v>
      </c>
      <c r="AG10">
        <f t="shared" si="11"/>
        <v>0.43396226415094341</v>
      </c>
      <c r="AH10">
        <f t="shared" si="12"/>
        <v>0.18575</v>
      </c>
      <c r="AI10">
        <f t="shared" si="13"/>
        <v>0.35119999999999996</v>
      </c>
      <c r="AJ10" s="55">
        <f t="shared" si="14"/>
        <v>0.16544999999999996</v>
      </c>
      <c r="AM10" s="13">
        <v>1.5</v>
      </c>
      <c r="AN10" s="13">
        <f t="shared" si="15"/>
        <v>0.43396226415094341</v>
      </c>
      <c r="AO10" s="13">
        <f t="shared" si="16"/>
        <v>0.18440000000000001</v>
      </c>
      <c r="AP10" s="13">
        <f t="shared" si="17"/>
        <v>0.34455000000000002</v>
      </c>
      <c r="AQ10" s="13">
        <f t="shared" si="18"/>
        <v>0.16015000000000001</v>
      </c>
      <c r="AW10">
        <v>1.28</v>
      </c>
      <c r="AX10">
        <v>1.38</v>
      </c>
      <c r="AY10">
        <f t="shared" si="19"/>
        <v>9.9999999999999867E-2</v>
      </c>
    </row>
    <row r="11" spans="1:51" x14ac:dyDescent="0.2">
      <c r="B11" s="52" t="s">
        <v>107</v>
      </c>
      <c r="G11" s="45" t="str">
        <f t="shared" si="2"/>
        <v/>
      </c>
      <c r="I11" s="45" t="str">
        <f t="shared" si="3"/>
        <v/>
      </c>
      <c r="L11" s="43" t="str">
        <f t="shared" si="4"/>
        <v/>
      </c>
      <c r="N11" s="43"/>
      <c r="Z11">
        <v>1.6</v>
      </c>
      <c r="AA11">
        <f t="shared" si="7"/>
        <v>0.39622641509433953</v>
      </c>
      <c r="AB11">
        <f t="shared" si="8"/>
        <v>0.25748000000000004</v>
      </c>
      <c r="AC11">
        <f t="shared" si="9"/>
        <v>0.36622641509433951</v>
      </c>
      <c r="AD11">
        <f t="shared" si="10"/>
        <v>0.10874641509433947</v>
      </c>
      <c r="AF11">
        <v>1.6</v>
      </c>
      <c r="AG11">
        <f t="shared" si="11"/>
        <v>0.39622641509433953</v>
      </c>
      <c r="AH11">
        <f t="shared" si="12"/>
        <v>0.20860000000000004</v>
      </c>
      <c r="AI11">
        <f t="shared" si="13"/>
        <v>0.36492000000000002</v>
      </c>
      <c r="AJ11">
        <f t="shared" si="14"/>
        <v>0.15631999999999999</v>
      </c>
      <c r="AM11" s="13">
        <v>1.6</v>
      </c>
      <c r="AN11" s="13">
        <f t="shared" si="15"/>
        <v>0.39622641509433953</v>
      </c>
      <c r="AO11" s="13">
        <f t="shared" si="16"/>
        <v>0.20816000000000007</v>
      </c>
      <c r="AP11" s="13">
        <f t="shared" si="17"/>
        <v>0.36192000000000002</v>
      </c>
      <c r="AQ11" s="13">
        <f t="shared" si="18"/>
        <v>0.15375999999999995</v>
      </c>
      <c r="AW11">
        <v>1.29</v>
      </c>
      <c r="AX11">
        <v>1.43</v>
      </c>
      <c r="AY11">
        <f t="shared" si="19"/>
        <v>0.1399999999999999</v>
      </c>
    </row>
    <row r="12" spans="1:51" x14ac:dyDescent="0.2">
      <c r="A12" s="52" t="s">
        <v>99</v>
      </c>
      <c r="G12" s="45" t="str">
        <f>IFERROR(IF(OR(E12="",A12=""),"",E12-A12),"")</f>
        <v/>
      </c>
      <c r="I12" s="45" t="str">
        <f>IFERROR(IF(OR(A12="",H12=""),"",H12-A12),"")</f>
        <v/>
      </c>
      <c r="L12" s="43" t="str">
        <f t="shared" si="4"/>
        <v/>
      </c>
      <c r="N12" s="43"/>
      <c r="Z12">
        <v>1.7</v>
      </c>
      <c r="AA12">
        <f t="shared" si="7"/>
        <v>0.35849056603773588</v>
      </c>
      <c r="AB12">
        <f t="shared" si="8"/>
        <v>0.28681000000000001</v>
      </c>
      <c r="AC12">
        <f t="shared" si="9"/>
        <v>0.32849056603773585</v>
      </c>
      <c r="AD12">
        <f t="shared" si="10"/>
        <v>4.1680566037735844E-2</v>
      </c>
      <c r="AF12">
        <v>1.7</v>
      </c>
      <c r="AG12">
        <f t="shared" si="11"/>
        <v>0.35849056603773588</v>
      </c>
      <c r="AH12">
        <f t="shared" si="12"/>
        <v>0.23145000000000002</v>
      </c>
      <c r="AI12">
        <f t="shared" si="13"/>
        <v>0.32849056603773585</v>
      </c>
      <c r="AJ12">
        <f t="shared" si="14"/>
        <v>9.7040566037735837E-2</v>
      </c>
      <c r="AM12" s="13">
        <v>1.7</v>
      </c>
      <c r="AN12" s="13">
        <f t="shared" si="15"/>
        <v>0.35849056603773588</v>
      </c>
      <c r="AO12" s="13">
        <f t="shared" si="16"/>
        <v>0.23192000000000002</v>
      </c>
      <c r="AP12" s="13">
        <f t="shared" si="17"/>
        <v>0.32849056603773585</v>
      </c>
      <c r="AQ12" s="13">
        <f t="shared" si="18"/>
        <v>9.6570566037735839E-2</v>
      </c>
      <c r="AW12">
        <v>1.34</v>
      </c>
      <c r="AX12">
        <v>1.48</v>
      </c>
      <c r="AY12">
        <f t="shared" si="19"/>
        <v>0.1399999999999999</v>
      </c>
    </row>
    <row r="13" spans="1:51" x14ac:dyDescent="0.2">
      <c r="A13">
        <v>0</v>
      </c>
      <c r="B13" s="52">
        <v>0.3407</v>
      </c>
      <c r="C13">
        <v>1.37</v>
      </c>
      <c r="D13">
        <v>1.37</v>
      </c>
      <c r="E13" s="52">
        <v>0.48299999999999998</v>
      </c>
      <c r="F13">
        <v>1.24</v>
      </c>
      <c r="G13" s="45">
        <f t="shared" si="2"/>
        <v>0.14229999999999998</v>
      </c>
      <c r="H13" s="44">
        <f t="shared" ref="H13:H20" si="20">1-F13/2.65</f>
        <v>0.5320754716981132</v>
      </c>
      <c r="I13" s="45">
        <f t="shared" si="3"/>
        <v>0.1913754716981132</v>
      </c>
      <c r="J13" s="52">
        <v>0.1593</v>
      </c>
      <c r="K13" s="52">
        <v>0.1593</v>
      </c>
      <c r="L13" s="43">
        <f t="shared" si="4"/>
        <v>0.3727754716981132</v>
      </c>
      <c r="M13">
        <f>AVERAGE(0.42,1.1)</f>
        <v>0.76</v>
      </c>
      <c r="N13" s="43">
        <f t="shared" si="5"/>
        <v>0.18140000000000001</v>
      </c>
      <c r="O13">
        <f t="shared" si="6"/>
        <v>5.362222222222222</v>
      </c>
      <c r="AW13">
        <v>1.34</v>
      </c>
      <c r="AX13">
        <v>1.51</v>
      </c>
      <c r="AY13">
        <f t="shared" si="19"/>
        <v>0.16999999999999993</v>
      </c>
    </row>
    <row r="14" spans="1:51" x14ac:dyDescent="0.2">
      <c r="A14">
        <v>6</v>
      </c>
      <c r="B14" s="52">
        <v>0.36030000000000001</v>
      </c>
      <c r="C14">
        <v>1.38</v>
      </c>
      <c r="D14">
        <v>1.38</v>
      </c>
      <c r="E14" s="52">
        <v>0.47920000000000001</v>
      </c>
      <c r="F14">
        <v>1.28</v>
      </c>
      <c r="G14" s="45">
        <f t="shared" si="2"/>
        <v>0.11890000000000001</v>
      </c>
      <c r="H14" s="44">
        <f t="shared" si="20"/>
        <v>0.51698113207547169</v>
      </c>
      <c r="I14" s="45">
        <f t="shared" si="3"/>
        <v>0.15668113207547169</v>
      </c>
      <c r="J14" s="52">
        <v>0.15839999999999999</v>
      </c>
      <c r="K14" s="52">
        <v>0.15839999999999999</v>
      </c>
      <c r="L14" s="43">
        <f t="shared" si="4"/>
        <v>0.35858113207547171</v>
      </c>
      <c r="M14">
        <f>AVERAGE(0.41,0.74)</f>
        <v>0.57499999999999996</v>
      </c>
      <c r="N14" s="43">
        <f t="shared" si="5"/>
        <v>0.20190000000000002</v>
      </c>
      <c r="O14">
        <f t="shared" si="6"/>
        <v>4.0569444444444445</v>
      </c>
      <c r="AW14">
        <v>1.35</v>
      </c>
      <c r="AX14">
        <v>1.49</v>
      </c>
      <c r="AY14">
        <f t="shared" si="19"/>
        <v>0.1399999999999999</v>
      </c>
    </row>
    <row r="15" spans="1:51" x14ac:dyDescent="0.2">
      <c r="A15">
        <v>12</v>
      </c>
      <c r="B15" s="52">
        <v>0.35070000000000001</v>
      </c>
      <c r="C15">
        <v>1.37</v>
      </c>
      <c r="D15">
        <v>1.37</v>
      </c>
      <c r="E15" s="52">
        <v>0.48299999999999998</v>
      </c>
      <c r="F15">
        <v>1.26</v>
      </c>
      <c r="G15" s="45">
        <f t="shared" si="2"/>
        <v>0.13229999999999997</v>
      </c>
      <c r="H15" s="44">
        <f t="shared" si="20"/>
        <v>0.52452830188679245</v>
      </c>
      <c r="I15" s="45">
        <f t="shared" si="3"/>
        <v>0.17382830188679244</v>
      </c>
      <c r="J15" s="52">
        <v>0.1575</v>
      </c>
      <c r="K15" s="52">
        <v>0.1575</v>
      </c>
      <c r="L15" s="43">
        <f t="shared" si="4"/>
        <v>0.36702830188679247</v>
      </c>
      <c r="M15">
        <f>AVERAGE(0.58,1.76)</f>
        <v>1.17</v>
      </c>
      <c r="N15" s="43">
        <f t="shared" si="5"/>
        <v>0.19320000000000004</v>
      </c>
      <c r="O15">
        <f t="shared" si="6"/>
        <v>8.2550000000000008</v>
      </c>
      <c r="AW15">
        <v>1.37</v>
      </c>
      <c r="AX15">
        <v>1.47</v>
      </c>
      <c r="AY15">
        <f t="shared" si="19"/>
        <v>9.9999999999999867E-2</v>
      </c>
    </row>
    <row r="16" spans="1:51" x14ac:dyDescent="0.2">
      <c r="A16">
        <v>19</v>
      </c>
      <c r="B16" s="52">
        <v>0.3836</v>
      </c>
      <c r="C16">
        <v>1.51</v>
      </c>
      <c r="D16">
        <v>1.51</v>
      </c>
      <c r="E16" s="52">
        <v>0.43020000000000003</v>
      </c>
      <c r="F16">
        <v>1.42</v>
      </c>
      <c r="G16" s="45">
        <f t="shared" si="2"/>
        <v>4.660000000000003E-2</v>
      </c>
      <c r="H16" s="44">
        <f t="shared" si="20"/>
        <v>0.46415094339622642</v>
      </c>
      <c r="I16" s="45">
        <f t="shared" si="3"/>
        <v>8.0550943396226427E-2</v>
      </c>
      <c r="J16" s="52">
        <v>0.17670000000000002</v>
      </c>
      <c r="K16" s="52">
        <v>0.17670000000000002</v>
      </c>
      <c r="L16" s="43">
        <f t="shared" si="4"/>
        <v>0.2874509433962264</v>
      </c>
      <c r="M16">
        <v>7.0000000000000007E-2</v>
      </c>
      <c r="N16" s="43">
        <f t="shared" si="5"/>
        <v>0.20689999999999997</v>
      </c>
      <c r="O16">
        <f t="shared" si="6"/>
        <v>0.49388888888888893</v>
      </c>
      <c r="AW16">
        <v>1.39</v>
      </c>
      <c r="AX16">
        <v>1.53</v>
      </c>
      <c r="AY16">
        <f t="shared" si="19"/>
        <v>0.14000000000000012</v>
      </c>
    </row>
    <row r="17" spans="1:51" x14ac:dyDescent="0.2">
      <c r="A17">
        <v>27</v>
      </c>
      <c r="B17" s="52">
        <v>0.37270000000000003</v>
      </c>
      <c r="C17">
        <v>1.53</v>
      </c>
      <c r="D17">
        <v>1.53</v>
      </c>
      <c r="E17" s="52">
        <v>0.42259999999999998</v>
      </c>
      <c r="F17">
        <v>1.39</v>
      </c>
      <c r="G17" s="45">
        <f t="shared" si="2"/>
        <v>4.9899999999999944E-2</v>
      </c>
      <c r="H17" s="44">
        <f t="shared" si="20"/>
        <v>0.47547169811320755</v>
      </c>
      <c r="I17" s="45">
        <f t="shared" si="3"/>
        <v>0.10277169811320752</v>
      </c>
      <c r="J17" s="52">
        <v>0.17510000000000001</v>
      </c>
      <c r="K17" s="52">
        <v>0.17510000000000001</v>
      </c>
      <c r="L17" s="43">
        <f t="shared" si="4"/>
        <v>0.30037169811320752</v>
      </c>
      <c r="M17">
        <v>0.15</v>
      </c>
      <c r="N17" s="43">
        <f t="shared" si="5"/>
        <v>0.1976</v>
      </c>
      <c r="O17">
        <f t="shared" si="6"/>
        <v>1.0583333333333333</v>
      </c>
      <c r="AF17" s="46"/>
      <c r="AG17" s="46"/>
      <c r="AW17">
        <v>1.39</v>
      </c>
      <c r="AX17">
        <v>1.55</v>
      </c>
      <c r="AY17">
        <f t="shared" si="19"/>
        <v>0.16000000000000014</v>
      </c>
    </row>
    <row r="18" spans="1:51" x14ac:dyDescent="0.2">
      <c r="A18">
        <v>35</v>
      </c>
      <c r="B18" s="52">
        <v>0.4108</v>
      </c>
      <c r="C18">
        <v>1.68</v>
      </c>
      <c r="D18">
        <v>1.68</v>
      </c>
      <c r="E18" s="52">
        <v>0.36599999999999999</v>
      </c>
      <c r="F18">
        <v>1.5</v>
      </c>
      <c r="G18" s="45">
        <f t="shared" si="2"/>
        <v>-4.4800000000000006E-2</v>
      </c>
      <c r="H18" s="44">
        <f t="shared" si="20"/>
        <v>0.43396226415094341</v>
      </c>
      <c r="I18" s="45">
        <f t="shared" si="3"/>
        <v>2.3162264150943412E-2</v>
      </c>
      <c r="J18" s="52">
        <v>0.19570000000000001</v>
      </c>
      <c r="K18" s="52">
        <v>0.19570000000000001</v>
      </c>
      <c r="L18" s="43">
        <f t="shared" si="4"/>
        <v>0.2382622641509434</v>
      </c>
      <c r="M18">
        <v>0.02</v>
      </c>
      <c r="N18" s="43">
        <f t="shared" si="5"/>
        <v>0.21509999999999999</v>
      </c>
      <c r="O18">
        <f t="shared" si="6"/>
        <v>0.14111111111111113</v>
      </c>
      <c r="AW18">
        <v>1.41</v>
      </c>
      <c r="AX18">
        <v>1.56</v>
      </c>
      <c r="AY18">
        <f t="shared" si="19"/>
        <v>0.15000000000000013</v>
      </c>
    </row>
    <row r="19" spans="1:51" x14ac:dyDescent="0.2">
      <c r="A19">
        <v>40</v>
      </c>
      <c r="B19" s="52">
        <v>0.42119999999999996</v>
      </c>
      <c r="C19">
        <v>1.65</v>
      </c>
      <c r="D19">
        <v>1.65</v>
      </c>
      <c r="E19" s="52">
        <v>0.37740000000000001</v>
      </c>
      <c r="F19">
        <v>1.49</v>
      </c>
      <c r="G19" s="45">
        <f t="shared" si="2"/>
        <v>-4.379999999999995E-2</v>
      </c>
      <c r="H19" s="44">
        <f t="shared" si="20"/>
        <v>0.43773584905660379</v>
      </c>
      <c r="I19" s="45">
        <f t="shared" si="3"/>
        <v>1.6535849056603824E-2</v>
      </c>
      <c r="J19" s="52">
        <v>0.25650000000000001</v>
      </c>
      <c r="K19" s="52">
        <v>0.25650000000000001</v>
      </c>
      <c r="L19" s="43">
        <f t="shared" si="4"/>
        <v>0.18123584905660378</v>
      </c>
      <c r="M19">
        <v>0</v>
      </c>
      <c r="N19" s="43">
        <f t="shared" si="5"/>
        <v>0.16469999999999996</v>
      </c>
      <c r="O19">
        <f t="shared" si="6"/>
        <v>0</v>
      </c>
      <c r="AW19">
        <v>1.42</v>
      </c>
      <c r="AX19">
        <v>1.51</v>
      </c>
      <c r="AY19">
        <f t="shared" si="19"/>
        <v>9.000000000000008E-2</v>
      </c>
    </row>
    <row r="20" spans="1:51" x14ac:dyDescent="0.2">
      <c r="A20">
        <v>49</v>
      </c>
      <c r="B20" s="52">
        <v>0.40639999999999998</v>
      </c>
      <c r="C20">
        <v>1.67</v>
      </c>
      <c r="D20">
        <v>1.67</v>
      </c>
      <c r="E20" s="52">
        <v>0.36979999999999996</v>
      </c>
      <c r="F20">
        <v>1.51</v>
      </c>
      <c r="G20" s="45">
        <f t="shared" si="2"/>
        <v>-3.6600000000000021E-2</v>
      </c>
      <c r="H20" s="44">
        <f t="shared" si="20"/>
        <v>0.43018867924528303</v>
      </c>
      <c r="I20" s="45">
        <f t="shared" si="3"/>
        <v>2.3788679245283051E-2</v>
      </c>
      <c r="J20" s="52">
        <v>0.26250000000000001</v>
      </c>
      <c r="K20" s="52">
        <v>0.26250000000000001</v>
      </c>
      <c r="L20" s="43">
        <f t="shared" si="4"/>
        <v>0.16768867924528302</v>
      </c>
      <c r="M20">
        <v>0</v>
      </c>
      <c r="N20" s="43">
        <f t="shared" si="5"/>
        <v>0.14389999999999997</v>
      </c>
      <c r="O20">
        <f t="shared" si="6"/>
        <v>0</v>
      </c>
      <c r="Z20" t="s">
        <v>113</v>
      </c>
      <c r="AW20" s="46">
        <v>1.43</v>
      </c>
      <c r="AX20" s="46">
        <v>1.5</v>
      </c>
      <c r="AY20">
        <f t="shared" si="19"/>
        <v>7.0000000000000062E-2</v>
      </c>
    </row>
    <row r="21" spans="1:51" x14ac:dyDescent="0.2">
      <c r="B21" s="52" t="s">
        <v>107</v>
      </c>
      <c r="E21" s="52"/>
      <c r="G21" s="45" t="str">
        <f t="shared" si="2"/>
        <v/>
      </c>
      <c r="I21" s="45" t="str">
        <f t="shared" si="3"/>
        <v/>
      </c>
      <c r="L21" s="43" t="str">
        <f t="shared" si="4"/>
        <v/>
      </c>
      <c r="N21" s="43"/>
      <c r="AW21">
        <v>1.43</v>
      </c>
      <c r="AX21">
        <v>1.61</v>
      </c>
      <c r="AY21">
        <f t="shared" si="19"/>
        <v>0.18000000000000016</v>
      </c>
    </row>
    <row r="22" spans="1:51" x14ac:dyDescent="0.2">
      <c r="B22" s="52" t="s">
        <v>107</v>
      </c>
      <c r="E22" s="52"/>
      <c r="G22" s="45" t="str">
        <f t="shared" si="2"/>
        <v/>
      </c>
      <c r="I22" s="45" t="str">
        <f t="shared" si="3"/>
        <v/>
      </c>
      <c r="L22" s="43" t="str">
        <f t="shared" si="4"/>
        <v/>
      </c>
      <c r="N22" s="43"/>
      <c r="AW22">
        <v>1.46</v>
      </c>
      <c r="AX22">
        <v>1.66</v>
      </c>
      <c r="AY22">
        <f t="shared" si="19"/>
        <v>0.19999999999999996</v>
      </c>
    </row>
    <row r="23" spans="1:51" x14ac:dyDescent="0.2">
      <c r="A23" s="52" t="s">
        <v>100</v>
      </c>
      <c r="E23" s="52"/>
      <c r="G23" s="45" t="str">
        <f>IFERROR(IF(OR(E23="",A23=""),"",E23-A23),"")</f>
        <v/>
      </c>
      <c r="I23" s="45" t="str">
        <f>IFERROR(IF(OR(A23="",H23=""),"",H23-A23),"")</f>
        <v/>
      </c>
      <c r="L23" s="43" t="str">
        <f t="shared" si="4"/>
        <v/>
      </c>
      <c r="N23" s="43"/>
      <c r="AW23">
        <v>1.46</v>
      </c>
      <c r="AX23">
        <v>1.81</v>
      </c>
      <c r="AY23">
        <f t="shared" si="19"/>
        <v>0.35000000000000009</v>
      </c>
    </row>
    <row r="24" spans="1:51" x14ac:dyDescent="0.2">
      <c r="A24">
        <v>0</v>
      </c>
      <c r="B24" s="52">
        <v>0.31329999999999997</v>
      </c>
      <c r="C24">
        <v>1.56</v>
      </c>
      <c r="D24">
        <v>1.56</v>
      </c>
      <c r="E24" s="52">
        <v>0.4113</v>
      </c>
      <c r="F24">
        <v>1.41</v>
      </c>
      <c r="G24" s="45">
        <f t="shared" si="2"/>
        <v>9.8000000000000032E-2</v>
      </c>
      <c r="H24" s="44">
        <f>1-F24/2.65</f>
        <v>0.4679245283018868</v>
      </c>
      <c r="I24" s="45">
        <f t="shared" si="3"/>
        <v>0.15462452830188683</v>
      </c>
      <c r="J24" s="52">
        <v>0.1449</v>
      </c>
      <c r="K24" s="52">
        <v>0.1449</v>
      </c>
      <c r="L24" s="43">
        <f t="shared" si="4"/>
        <v>0.32302452830188677</v>
      </c>
      <c r="M24">
        <f>AVERAGE(0.34,0.7)</f>
        <v>0.52</v>
      </c>
      <c r="N24" s="43">
        <f t="shared" si="5"/>
        <v>0.16839999999999994</v>
      </c>
      <c r="O24">
        <f t="shared" si="6"/>
        <v>3.6688888888888891</v>
      </c>
      <c r="AW24">
        <v>1.46</v>
      </c>
      <c r="AX24">
        <v>1.6</v>
      </c>
      <c r="AY24">
        <f t="shared" si="19"/>
        <v>0.14000000000000012</v>
      </c>
    </row>
    <row r="25" spans="1:51" x14ac:dyDescent="0.2">
      <c r="A25">
        <v>6</v>
      </c>
      <c r="B25" s="52">
        <v>0.40029999999999999</v>
      </c>
      <c r="C25">
        <v>1.81</v>
      </c>
      <c r="D25">
        <v>1.81</v>
      </c>
      <c r="E25" s="52">
        <v>0.317</v>
      </c>
      <c r="F25">
        <v>1.46</v>
      </c>
      <c r="G25" s="45">
        <f t="shared" si="2"/>
        <v>-8.3299999999999985E-2</v>
      </c>
      <c r="H25" s="44">
        <f>1-F25/2.65</f>
        <v>0.44905660377358492</v>
      </c>
      <c r="I25" s="45">
        <f t="shared" si="3"/>
        <v>4.8756603773584928E-2</v>
      </c>
      <c r="J25" s="52">
        <v>0.24109999999999998</v>
      </c>
      <c r="K25" s="52">
        <v>0.24109999999999998</v>
      </c>
      <c r="L25" s="43">
        <f t="shared" si="4"/>
        <v>0.20795660377358494</v>
      </c>
      <c r="M25">
        <v>0</v>
      </c>
      <c r="N25" s="43">
        <f t="shared" si="5"/>
        <v>0.15920000000000001</v>
      </c>
      <c r="O25">
        <f t="shared" si="6"/>
        <v>0</v>
      </c>
      <c r="AW25">
        <v>1.46</v>
      </c>
      <c r="AX25">
        <v>1.63</v>
      </c>
      <c r="AY25">
        <f t="shared" si="19"/>
        <v>0.16999999999999993</v>
      </c>
    </row>
    <row r="26" spans="1:51" x14ac:dyDescent="0.2">
      <c r="A26">
        <v>27</v>
      </c>
      <c r="B26" s="52">
        <v>0.3926</v>
      </c>
      <c r="C26">
        <v>1.71</v>
      </c>
      <c r="D26">
        <v>1.71</v>
      </c>
      <c r="E26" s="52">
        <v>0.35470000000000002</v>
      </c>
      <c r="F26">
        <v>1.58</v>
      </c>
      <c r="G26" s="45">
        <f t="shared" si="2"/>
        <v>-3.7899999999999989E-2</v>
      </c>
      <c r="H26" s="44">
        <f>1-F26/2.65</f>
        <v>0.40377358490566029</v>
      </c>
      <c r="I26" s="45">
        <f t="shared" si="3"/>
        <v>1.1173584905660283E-2</v>
      </c>
      <c r="J26" s="52">
        <v>0.24299999999999999</v>
      </c>
      <c r="K26" s="52">
        <v>0.24299999999999999</v>
      </c>
      <c r="L26" s="43">
        <f t="shared" si="4"/>
        <v>0.16077358490566029</v>
      </c>
      <c r="M26">
        <v>0</v>
      </c>
      <c r="N26" s="43">
        <f t="shared" si="5"/>
        <v>0.14960000000000001</v>
      </c>
      <c r="O26">
        <f t="shared" si="6"/>
        <v>0</v>
      </c>
      <c r="AW26">
        <v>1.47</v>
      </c>
      <c r="AX26">
        <v>1.66</v>
      </c>
      <c r="AY26">
        <f t="shared" si="19"/>
        <v>0.18999999999999995</v>
      </c>
    </row>
    <row r="27" spans="1:51" x14ac:dyDescent="0.2">
      <c r="A27">
        <v>47</v>
      </c>
      <c r="B27" s="52">
        <v>0.35220000000000001</v>
      </c>
      <c r="C27">
        <v>1.55</v>
      </c>
      <c r="D27">
        <v>1.55</v>
      </c>
      <c r="E27" s="52">
        <v>0.41509999999999997</v>
      </c>
      <c r="F27">
        <v>1.39</v>
      </c>
      <c r="G27" s="45">
        <f t="shared" si="2"/>
        <v>6.2899999999999956E-2</v>
      </c>
      <c r="H27" s="44">
        <f>1-F27/2.65</f>
        <v>0.47547169811320755</v>
      </c>
      <c r="I27" s="45">
        <f t="shared" si="3"/>
        <v>0.12327169811320754</v>
      </c>
      <c r="J27" s="52">
        <v>0.21030000000000001</v>
      </c>
      <c r="K27" s="52">
        <v>0.21030000000000001</v>
      </c>
      <c r="L27" s="43">
        <f t="shared" si="4"/>
        <v>0.26517169811320751</v>
      </c>
      <c r="M27">
        <v>0</v>
      </c>
      <c r="N27" s="43">
        <f t="shared" si="5"/>
        <v>0.14189999999999997</v>
      </c>
      <c r="O27">
        <f t="shared" si="6"/>
        <v>0</v>
      </c>
      <c r="AW27">
        <v>1.48</v>
      </c>
      <c r="AX27">
        <v>1.69</v>
      </c>
      <c r="AY27">
        <f t="shared" si="19"/>
        <v>0.20999999999999996</v>
      </c>
    </row>
    <row r="28" spans="1:51" x14ac:dyDescent="0.2">
      <c r="B28" s="52" t="s">
        <v>107</v>
      </c>
      <c r="E28" s="52"/>
      <c r="G28" s="45" t="str">
        <f t="shared" si="2"/>
        <v/>
      </c>
      <c r="I28" s="45" t="str">
        <f t="shared" si="3"/>
        <v/>
      </c>
      <c r="L28" s="43" t="str">
        <f t="shared" si="4"/>
        <v/>
      </c>
      <c r="N28" s="43"/>
      <c r="AW28">
        <v>1.49</v>
      </c>
      <c r="AX28">
        <v>1.65</v>
      </c>
      <c r="AY28">
        <f t="shared" si="19"/>
        <v>0.15999999999999992</v>
      </c>
    </row>
    <row r="29" spans="1:51" x14ac:dyDescent="0.2">
      <c r="A29" s="52" t="s">
        <v>100</v>
      </c>
      <c r="E29" s="52"/>
      <c r="G29" s="45" t="str">
        <f>IFERROR(IF(OR(E29="",A29=""),"",E29-A29),"")</f>
        <v/>
      </c>
      <c r="I29" s="45" t="str">
        <f>IFERROR(IF(OR(A29="",H29=""),"",H29-A29),"")</f>
        <v/>
      </c>
      <c r="L29" s="43" t="str">
        <f t="shared" si="4"/>
        <v/>
      </c>
      <c r="N29" s="43"/>
      <c r="AW29">
        <v>1.49</v>
      </c>
      <c r="AX29">
        <v>1.77</v>
      </c>
      <c r="AY29">
        <f t="shared" si="19"/>
        <v>0.28000000000000003</v>
      </c>
    </row>
    <row r="30" spans="1:51" x14ac:dyDescent="0.2">
      <c r="A30">
        <v>0</v>
      </c>
      <c r="B30" s="52">
        <v>0.33189999999999997</v>
      </c>
      <c r="C30" s="56"/>
      <c r="D30" s="56">
        <f>F30*0.2651-0.2092+F30</f>
        <v>1.5239870000000002</v>
      </c>
      <c r="E30" s="52"/>
      <c r="F30">
        <v>1.37</v>
      </c>
      <c r="G30" s="45" t="str">
        <f t="shared" si="2"/>
        <v/>
      </c>
      <c r="H30" s="44">
        <f>1-F30/2.65</f>
        <v>0.48301886792452819</v>
      </c>
      <c r="I30" s="45">
        <f t="shared" si="3"/>
        <v>0.15111886792452822</v>
      </c>
      <c r="J30" s="52">
        <v>0.17300000000000001</v>
      </c>
      <c r="K30" s="52">
        <v>0.17300000000000001</v>
      </c>
      <c r="L30" s="43">
        <f t="shared" si="4"/>
        <v>0.31001886792452815</v>
      </c>
      <c r="N30" s="43">
        <f t="shared" si="5"/>
        <v>0.15889999999999993</v>
      </c>
      <c r="O30">
        <f t="shared" si="6"/>
        <v>0</v>
      </c>
      <c r="AW30">
        <v>1.5</v>
      </c>
      <c r="AX30">
        <v>1.68</v>
      </c>
      <c r="AY30">
        <f t="shared" si="19"/>
        <v>0.17999999999999994</v>
      </c>
    </row>
    <row r="31" spans="1:51" x14ac:dyDescent="0.2">
      <c r="A31">
        <v>9</v>
      </c>
      <c r="B31" s="52">
        <v>0.36280000000000001</v>
      </c>
      <c r="C31">
        <v>1.77</v>
      </c>
      <c r="D31">
        <v>1.77</v>
      </c>
      <c r="E31" s="52">
        <v>0.33210000000000001</v>
      </c>
      <c r="F31">
        <v>1.49</v>
      </c>
      <c r="G31" s="45">
        <f t="shared" si="2"/>
        <v>-3.0700000000000005E-2</v>
      </c>
      <c r="H31" s="44">
        <f>1-F31/2.65</f>
        <v>0.43773584905660379</v>
      </c>
      <c r="I31" s="45">
        <f t="shared" si="3"/>
        <v>7.4935849056603776E-2</v>
      </c>
      <c r="J31" s="52">
        <v>0.22640000000000002</v>
      </c>
      <c r="K31" s="52">
        <v>0.22640000000000002</v>
      </c>
      <c r="L31" s="43">
        <f t="shared" si="4"/>
        <v>0.21133584905660377</v>
      </c>
      <c r="M31">
        <v>0</v>
      </c>
      <c r="N31" s="43">
        <f t="shared" si="5"/>
        <v>0.13639999999999999</v>
      </c>
      <c r="O31">
        <f t="shared" si="6"/>
        <v>0</v>
      </c>
      <c r="AW31">
        <v>1.51</v>
      </c>
      <c r="AX31">
        <v>1.67</v>
      </c>
      <c r="AY31">
        <f t="shared" si="19"/>
        <v>0.15999999999999992</v>
      </c>
    </row>
    <row r="32" spans="1:51" x14ac:dyDescent="0.2">
      <c r="A32">
        <v>30</v>
      </c>
      <c r="B32" s="52">
        <v>0.3705</v>
      </c>
      <c r="C32">
        <v>1.73</v>
      </c>
      <c r="D32">
        <v>1.73</v>
      </c>
      <c r="E32" s="52">
        <v>0.34720000000000001</v>
      </c>
      <c r="F32">
        <v>1.54</v>
      </c>
      <c r="G32" s="45">
        <f t="shared" si="2"/>
        <v>-2.3299999999999987E-2</v>
      </c>
      <c r="H32" s="44">
        <f>1-F32/2.65</f>
        <v>0.4188679245283019</v>
      </c>
      <c r="I32" s="45">
        <f t="shared" si="3"/>
        <v>4.8367924528301909E-2</v>
      </c>
      <c r="J32" s="52">
        <v>0.23329999999999998</v>
      </c>
      <c r="K32" s="52">
        <v>0.23329999999999998</v>
      </c>
      <c r="L32" s="43">
        <f t="shared" si="4"/>
        <v>0.18556792452830193</v>
      </c>
      <c r="M32">
        <v>0.08</v>
      </c>
      <c r="N32" s="43">
        <f t="shared" si="5"/>
        <v>0.13720000000000002</v>
      </c>
      <c r="O32">
        <f t="shared" si="6"/>
        <v>0.56444444444444453</v>
      </c>
      <c r="AW32">
        <v>1.51</v>
      </c>
      <c r="AX32">
        <v>1.67</v>
      </c>
      <c r="AY32">
        <f t="shared" si="19"/>
        <v>0.15999999999999992</v>
      </c>
    </row>
    <row r="33" spans="1:51" x14ac:dyDescent="0.2">
      <c r="B33" s="52" t="s">
        <v>107</v>
      </c>
      <c r="E33" s="52"/>
      <c r="G33" s="45" t="str">
        <f t="shared" si="2"/>
        <v/>
      </c>
      <c r="I33" s="45" t="str">
        <f t="shared" si="3"/>
        <v/>
      </c>
      <c r="L33" s="43" t="str">
        <f t="shared" si="4"/>
        <v/>
      </c>
      <c r="N33" s="43"/>
      <c r="AW33">
        <v>1.51</v>
      </c>
      <c r="AX33">
        <v>1.77</v>
      </c>
      <c r="AY33">
        <f t="shared" si="19"/>
        <v>0.26</v>
      </c>
    </row>
    <row r="34" spans="1:51" x14ac:dyDescent="0.2">
      <c r="A34" s="52" t="s">
        <v>101</v>
      </c>
      <c r="E34" s="52"/>
      <c r="G34" s="45" t="str">
        <f>IFERROR(IF(OR(E34="",A34=""),"",E34-A34),"")</f>
        <v/>
      </c>
      <c r="I34" s="45" t="str">
        <f>IFERROR(IF(OR(A34="",H34=""),"",H34-A34),"")</f>
        <v/>
      </c>
      <c r="L34" s="43" t="str">
        <f t="shared" si="4"/>
        <v/>
      </c>
      <c r="N34" s="43"/>
      <c r="AW34">
        <v>1.51</v>
      </c>
      <c r="AX34">
        <v>1.8</v>
      </c>
      <c r="AY34">
        <f t="shared" si="19"/>
        <v>0.29000000000000004</v>
      </c>
    </row>
    <row r="35" spans="1:51" x14ac:dyDescent="0.2">
      <c r="A35">
        <v>0</v>
      </c>
      <c r="B35" s="52">
        <v>0.28300000000000003</v>
      </c>
      <c r="C35" s="56"/>
      <c r="D35" s="56">
        <f>F35*0.2651-0.2092+F35</f>
        <v>1.1824100000000002</v>
      </c>
      <c r="E35" s="52"/>
      <c r="F35">
        <v>1.1000000000000001</v>
      </c>
      <c r="G35" s="45" t="str">
        <f t="shared" si="2"/>
        <v/>
      </c>
      <c r="H35" s="44">
        <f>1-F35/2.65</f>
        <v>0.58490566037735836</v>
      </c>
      <c r="I35" s="45">
        <f t="shared" si="3"/>
        <v>0.30190566037735833</v>
      </c>
      <c r="J35" s="52">
        <v>9.8000000000000004E-2</v>
      </c>
      <c r="K35" s="52">
        <v>9.8000000000000004E-2</v>
      </c>
      <c r="L35" s="43">
        <f t="shared" si="4"/>
        <v>0.48690566037735838</v>
      </c>
      <c r="N35" s="43">
        <f t="shared" si="5"/>
        <v>0.18500000000000005</v>
      </c>
      <c r="O35">
        <f t="shared" si="6"/>
        <v>0</v>
      </c>
      <c r="AW35">
        <v>1.54</v>
      </c>
      <c r="AX35">
        <v>1.71</v>
      </c>
      <c r="AY35">
        <f t="shared" si="19"/>
        <v>0.16999999999999993</v>
      </c>
    </row>
    <row r="36" spans="1:51" x14ac:dyDescent="0.2">
      <c r="A36">
        <v>9</v>
      </c>
      <c r="B36" s="52">
        <v>0.2999</v>
      </c>
      <c r="C36">
        <v>1.49</v>
      </c>
      <c r="D36">
        <v>1.49</v>
      </c>
      <c r="E36" s="52">
        <v>0.43770000000000003</v>
      </c>
      <c r="F36">
        <v>1.35</v>
      </c>
      <c r="G36" s="45">
        <f t="shared" si="2"/>
        <v>0.13780000000000003</v>
      </c>
      <c r="H36" s="44">
        <f>1-F36/2.65</f>
        <v>0.49056603773584906</v>
      </c>
      <c r="I36" s="45">
        <f t="shared" si="3"/>
        <v>0.19066603773584906</v>
      </c>
      <c r="J36" s="52">
        <v>0.17010000000000003</v>
      </c>
      <c r="K36" s="52">
        <v>0.17010000000000003</v>
      </c>
      <c r="L36" s="43">
        <f t="shared" si="4"/>
        <v>0.32046603773584903</v>
      </c>
      <c r="M36">
        <v>0.17</v>
      </c>
      <c r="N36" s="43">
        <f t="shared" si="5"/>
        <v>0.12979999999999997</v>
      </c>
      <c r="O36">
        <f t="shared" si="6"/>
        <v>1.1994444444444445</v>
      </c>
      <c r="AW36">
        <v>1.54</v>
      </c>
      <c r="AX36">
        <v>1.73</v>
      </c>
      <c r="AY36">
        <f t="shared" si="19"/>
        <v>0.18999999999999995</v>
      </c>
    </row>
    <row r="37" spans="1:51" x14ac:dyDescent="0.2">
      <c r="A37">
        <v>18</v>
      </c>
      <c r="B37" s="52">
        <v>0.3332</v>
      </c>
      <c r="C37">
        <v>1.48</v>
      </c>
      <c r="D37">
        <v>1.48</v>
      </c>
      <c r="E37" s="52">
        <v>0.4415</v>
      </c>
      <c r="F37">
        <v>1.34</v>
      </c>
      <c r="G37" s="45">
        <f t="shared" si="2"/>
        <v>0.10830000000000001</v>
      </c>
      <c r="H37" s="44">
        <f>1-F37/2.65</f>
        <v>0.49433962264150944</v>
      </c>
      <c r="I37" s="45">
        <f t="shared" si="3"/>
        <v>0.16113962264150944</v>
      </c>
      <c r="J37" s="52">
        <v>0.1736</v>
      </c>
      <c r="K37" s="52">
        <v>0.1736</v>
      </c>
      <c r="L37" s="43">
        <f t="shared" si="4"/>
        <v>0.32073962264150946</v>
      </c>
      <c r="M37">
        <v>0.43</v>
      </c>
      <c r="N37" s="43">
        <f t="shared" si="5"/>
        <v>0.15960000000000002</v>
      </c>
      <c r="O37">
        <f t="shared" si="6"/>
        <v>3.0338888888888889</v>
      </c>
      <c r="AW37">
        <v>1.58</v>
      </c>
      <c r="AX37">
        <v>1.71</v>
      </c>
      <c r="AY37">
        <f t="shared" si="19"/>
        <v>0.12999999999999989</v>
      </c>
    </row>
    <row r="38" spans="1:51" x14ac:dyDescent="0.2">
      <c r="A38">
        <v>29</v>
      </c>
      <c r="B38" s="52">
        <v>0.36820000000000003</v>
      </c>
      <c r="C38">
        <v>1.67</v>
      </c>
      <c r="D38">
        <v>1.67</v>
      </c>
      <c r="E38" s="52">
        <v>0.36979999999999996</v>
      </c>
      <c r="F38">
        <v>1.51</v>
      </c>
      <c r="G38" s="45">
        <f t="shared" si="2"/>
        <v>1.5999999999999348E-3</v>
      </c>
      <c r="H38" s="44">
        <f>1-F38/2.65</f>
        <v>0.43018867924528303</v>
      </c>
      <c r="I38" s="45">
        <f t="shared" si="3"/>
        <v>6.1988679245283007E-2</v>
      </c>
      <c r="J38" s="52">
        <v>0.19079999999999997</v>
      </c>
      <c r="K38" s="52">
        <v>0.19079999999999997</v>
      </c>
      <c r="L38" s="43">
        <f t="shared" si="4"/>
        <v>0.23938867924528306</v>
      </c>
      <c r="M38">
        <v>0.13</v>
      </c>
      <c r="N38" s="43">
        <f t="shared" si="5"/>
        <v>0.17740000000000006</v>
      </c>
      <c r="O38">
        <f t="shared" si="6"/>
        <v>0.91722222222222227</v>
      </c>
      <c r="AW38">
        <v>1.59</v>
      </c>
      <c r="AX38">
        <v>1.79</v>
      </c>
      <c r="AY38">
        <f t="shared" si="19"/>
        <v>0.19999999999999996</v>
      </c>
    </row>
    <row r="39" spans="1:51" x14ac:dyDescent="0.2">
      <c r="A39">
        <v>42</v>
      </c>
      <c r="B39" s="52">
        <v>0.37340000000000001</v>
      </c>
      <c r="C39">
        <v>1.6</v>
      </c>
      <c r="D39">
        <v>1.6</v>
      </c>
      <c r="E39" s="52">
        <v>0.3962</v>
      </c>
      <c r="F39">
        <v>1.46</v>
      </c>
      <c r="G39" s="45">
        <f t="shared" si="2"/>
        <v>2.2799999999999987E-2</v>
      </c>
      <c r="H39" s="44">
        <f>1-F39/2.65</f>
        <v>0.44905660377358492</v>
      </c>
      <c r="I39" s="45">
        <f t="shared" si="3"/>
        <v>7.5656603773584907E-2</v>
      </c>
      <c r="J39" s="52">
        <v>0.1956</v>
      </c>
      <c r="K39" s="52">
        <v>0.1956</v>
      </c>
      <c r="L39" s="43">
        <f t="shared" si="4"/>
        <v>0.25345660377358492</v>
      </c>
      <c r="M39">
        <v>0.09</v>
      </c>
      <c r="N39" s="43">
        <f t="shared" si="5"/>
        <v>0.17780000000000001</v>
      </c>
      <c r="O39">
        <f t="shared" si="6"/>
        <v>0.63500000000000001</v>
      </c>
    </row>
    <row r="40" spans="1:51" x14ac:dyDescent="0.2">
      <c r="B40" s="52" t="s">
        <v>107</v>
      </c>
      <c r="E40" s="52"/>
      <c r="G40" s="45" t="str">
        <f t="shared" si="2"/>
        <v/>
      </c>
      <c r="I40" s="45" t="str">
        <f t="shared" si="3"/>
        <v/>
      </c>
      <c r="L40" s="43" t="str">
        <f t="shared" si="4"/>
        <v/>
      </c>
      <c r="N40" s="43"/>
    </row>
    <row r="41" spans="1:51" x14ac:dyDescent="0.2">
      <c r="A41" s="52" t="s">
        <v>101</v>
      </c>
      <c r="E41" s="52"/>
      <c r="G41" s="45" t="str">
        <f>IFERROR(IF(OR(E41="",A41=""),"",E41-A41),"")</f>
        <v/>
      </c>
      <c r="I41" s="45" t="str">
        <f>IFERROR(IF(OR(A41="",H41=""),"",H41-A41),"")</f>
        <v/>
      </c>
      <c r="L41" s="43" t="str">
        <f t="shared" si="4"/>
        <v/>
      </c>
      <c r="N41" s="43"/>
    </row>
    <row r="42" spans="1:51" x14ac:dyDescent="0.2">
      <c r="A42">
        <v>0</v>
      </c>
      <c r="B42" s="52">
        <v>0.3054</v>
      </c>
      <c r="C42" s="56"/>
      <c r="D42" s="56">
        <f>F42*0.2651-0.2092+F42</f>
        <v>1.2077120000000001</v>
      </c>
      <c r="E42" s="52"/>
      <c r="F42">
        <v>1.1200000000000001</v>
      </c>
      <c r="G42" s="45" t="str">
        <f t="shared" si="2"/>
        <v/>
      </c>
      <c r="H42" s="44">
        <f>1-F42/2.65</f>
        <v>0.57735849056603761</v>
      </c>
      <c r="I42" s="45">
        <f t="shared" si="3"/>
        <v>0.2719584905660376</v>
      </c>
      <c r="J42" s="52">
        <v>0.13189999999999999</v>
      </c>
      <c r="K42" s="52">
        <v>0.13189999999999999</v>
      </c>
      <c r="L42" s="43">
        <f t="shared" si="4"/>
        <v>0.44545849056603759</v>
      </c>
      <c r="N42" s="43">
        <f t="shared" si="5"/>
        <v>0.17349999999999999</v>
      </c>
      <c r="O42">
        <f t="shared" si="6"/>
        <v>0</v>
      </c>
    </row>
    <row r="43" spans="1:51" x14ac:dyDescent="0.2">
      <c r="A43">
        <v>7</v>
      </c>
      <c r="B43" s="52">
        <v>0.31370000000000003</v>
      </c>
      <c r="C43" s="56"/>
      <c r="D43" s="56">
        <f>F43*0.2651-0.2092+F43</f>
        <v>1.270967</v>
      </c>
      <c r="E43" s="52"/>
      <c r="F43">
        <v>1.17</v>
      </c>
      <c r="G43" s="45" t="str">
        <f t="shared" si="2"/>
        <v/>
      </c>
      <c r="H43" s="44">
        <f>1-F43/2.65</f>
        <v>0.55849056603773584</v>
      </c>
      <c r="I43" s="45">
        <f t="shared" si="3"/>
        <v>0.2447905660377358</v>
      </c>
      <c r="J43" s="52">
        <v>0.1386</v>
      </c>
      <c r="K43" s="52">
        <v>0.1386</v>
      </c>
      <c r="L43" s="43">
        <f t="shared" si="4"/>
        <v>0.41989056603773584</v>
      </c>
      <c r="N43" s="43">
        <f t="shared" si="5"/>
        <v>0.17510000000000003</v>
      </c>
      <c r="O43">
        <f t="shared" si="6"/>
        <v>0</v>
      </c>
    </row>
    <row r="44" spans="1:51" x14ac:dyDescent="0.2">
      <c r="A44">
        <v>14</v>
      </c>
      <c r="B44" s="52">
        <v>0.3725</v>
      </c>
      <c r="C44">
        <v>1.63</v>
      </c>
      <c r="D44">
        <v>1.63</v>
      </c>
      <c r="E44" s="52">
        <v>0.38490000000000002</v>
      </c>
      <c r="F44">
        <v>1.46</v>
      </c>
      <c r="G44" s="45">
        <f t="shared" si="2"/>
        <v>1.2400000000000022E-2</v>
      </c>
      <c r="H44" s="44">
        <f>1-F44/2.65</f>
        <v>0.44905660377358492</v>
      </c>
      <c r="I44" s="45">
        <f t="shared" si="3"/>
        <v>7.6556603773584919E-2</v>
      </c>
      <c r="J44" s="52">
        <v>0.21899999999999997</v>
      </c>
      <c r="K44" s="52">
        <v>0.21899999999999997</v>
      </c>
      <c r="L44" s="43">
        <f t="shared" si="4"/>
        <v>0.23005660377358494</v>
      </c>
      <c r="M44">
        <v>0.23</v>
      </c>
      <c r="N44" s="43">
        <f t="shared" si="5"/>
        <v>0.15350000000000003</v>
      </c>
      <c r="O44">
        <f t="shared" si="6"/>
        <v>1.6227777777777781</v>
      </c>
      <c r="U44" t="s">
        <v>125</v>
      </c>
    </row>
    <row r="45" spans="1:51" x14ac:dyDescent="0.2">
      <c r="A45">
        <v>24</v>
      </c>
      <c r="B45" s="52">
        <v>0.37060000000000004</v>
      </c>
      <c r="C45">
        <v>1.61</v>
      </c>
      <c r="D45">
        <v>1.61</v>
      </c>
      <c r="E45" s="52">
        <v>0.39250000000000002</v>
      </c>
      <c r="F45">
        <v>1.43</v>
      </c>
      <c r="G45" s="45">
        <f t="shared" si="2"/>
        <v>2.1899999999999975E-2</v>
      </c>
      <c r="H45" s="44">
        <f>1-F45/2.65</f>
        <v>0.46037735849056605</v>
      </c>
      <c r="I45" s="45">
        <f t="shared" si="3"/>
        <v>8.9777358490566006E-2</v>
      </c>
      <c r="J45" s="52">
        <v>0.2213</v>
      </c>
      <c r="K45" s="52">
        <v>0.2213</v>
      </c>
      <c r="L45" s="43">
        <f t="shared" si="4"/>
        <v>0.23907735849056605</v>
      </c>
      <c r="M45">
        <v>0.12</v>
      </c>
      <c r="N45" s="43">
        <f t="shared" si="5"/>
        <v>0.14930000000000004</v>
      </c>
      <c r="O45">
        <f t="shared" si="6"/>
        <v>0.84666666666666668</v>
      </c>
    </row>
    <row r="46" spans="1:51" x14ac:dyDescent="0.2">
      <c r="A46">
        <v>40</v>
      </c>
      <c r="B46" s="52">
        <v>0.34189999999999998</v>
      </c>
      <c r="C46">
        <v>1.51</v>
      </c>
      <c r="D46">
        <v>1.51</v>
      </c>
      <c r="E46" s="52">
        <v>0.43020000000000003</v>
      </c>
      <c r="F46">
        <v>1.34</v>
      </c>
      <c r="G46" s="45">
        <f t="shared" si="2"/>
        <v>8.8300000000000045E-2</v>
      </c>
      <c r="H46" s="44">
        <f>1-F46/2.65</f>
        <v>0.49433962264150944</v>
      </c>
      <c r="I46" s="45">
        <f t="shared" si="3"/>
        <v>0.15243962264150945</v>
      </c>
      <c r="J46" s="52">
        <v>0.18230000000000002</v>
      </c>
      <c r="K46" s="52">
        <v>0.18230000000000002</v>
      </c>
      <c r="L46" s="43">
        <f t="shared" si="4"/>
        <v>0.31203962264150942</v>
      </c>
      <c r="M46">
        <v>0.23</v>
      </c>
      <c r="N46" s="43">
        <f t="shared" si="5"/>
        <v>0.15959999999999996</v>
      </c>
      <c r="O46">
        <f t="shared" si="6"/>
        <v>1.6227777777777781</v>
      </c>
      <c r="AX46" s="56"/>
    </row>
    <row r="47" spans="1:51" x14ac:dyDescent="0.2">
      <c r="B47" s="52" t="s">
        <v>107</v>
      </c>
      <c r="E47" s="52"/>
      <c r="G47" s="45" t="str">
        <f t="shared" si="2"/>
        <v/>
      </c>
      <c r="I47" s="45" t="str">
        <f t="shared" si="3"/>
        <v/>
      </c>
      <c r="L47" s="43" t="str">
        <f t="shared" si="4"/>
        <v/>
      </c>
      <c r="N47" s="43"/>
    </row>
    <row r="48" spans="1:51" x14ac:dyDescent="0.2">
      <c r="A48" s="52" t="s">
        <v>102</v>
      </c>
      <c r="E48" s="52"/>
      <c r="G48" s="45" t="str">
        <f>IFERROR(IF(OR(E48="",A48=""),"",E48-A48),"")</f>
        <v/>
      </c>
      <c r="I48" s="45" t="str">
        <f>IFERROR(IF(OR(A48="",H48=""),"",H48-A48),"")</f>
        <v/>
      </c>
      <c r="L48" s="43" t="str">
        <f t="shared" si="4"/>
        <v/>
      </c>
      <c r="N48" s="43"/>
    </row>
    <row r="49" spans="1:50" x14ac:dyDescent="0.2">
      <c r="A49">
        <v>0</v>
      </c>
      <c r="B49" s="52">
        <v>0.31170000000000003</v>
      </c>
      <c r="C49">
        <v>1.4</v>
      </c>
      <c r="D49">
        <v>1.4</v>
      </c>
      <c r="E49" s="52">
        <v>0.47170000000000001</v>
      </c>
      <c r="F49">
        <v>1.27</v>
      </c>
      <c r="G49" s="45">
        <f t="shared" si="2"/>
        <v>0.15999999999999998</v>
      </c>
      <c r="H49" s="44">
        <f>1-F49/2.65</f>
        <v>0.52075471698113207</v>
      </c>
      <c r="I49" s="45">
        <f t="shared" si="3"/>
        <v>0.20905471698113204</v>
      </c>
      <c r="J49" s="52">
        <v>0.13200000000000001</v>
      </c>
      <c r="K49" s="52">
        <v>0.13200000000000001</v>
      </c>
      <c r="L49" s="43">
        <f t="shared" si="4"/>
        <v>0.38875471698113206</v>
      </c>
      <c r="M49">
        <v>0.51</v>
      </c>
      <c r="N49" s="43">
        <f t="shared" si="5"/>
        <v>0.17970000000000003</v>
      </c>
      <c r="O49">
        <f t="shared" si="6"/>
        <v>3.598333333333334</v>
      </c>
      <c r="AX49" s="56"/>
    </row>
    <row r="50" spans="1:50" x14ac:dyDescent="0.2">
      <c r="A50">
        <v>9</v>
      </c>
      <c r="B50" s="52">
        <v>0.2848</v>
      </c>
      <c r="C50">
        <v>1.43</v>
      </c>
      <c r="D50">
        <v>1.43</v>
      </c>
      <c r="E50" s="52">
        <v>0.46039999999999998</v>
      </c>
      <c r="F50">
        <v>1.27</v>
      </c>
      <c r="G50" s="45">
        <f t="shared" si="2"/>
        <v>0.17559999999999998</v>
      </c>
      <c r="H50" s="44">
        <f>1-F50/2.65</f>
        <v>0.52075471698113207</v>
      </c>
      <c r="I50" s="45">
        <f t="shared" si="3"/>
        <v>0.23595471698113207</v>
      </c>
      <c r="J50" s="52">
        <v>0.1736</v>
      </c>
      <c r="K50" s="52">
        <v>0.1736</v>
      </c>
      <c r="L50" s="43">
        <f t="shared" si="4"/>
        <v>0.34715471698113209</v>
      </c>
      <c r="M50">
        <v>0.5</v>
      </c>
      <c r="N50" s="43">
        <f t="shared" si="5"/>
        <v>0.11120000000000002</v>
      </c>
      <c r="O50">
        <f t="shared" si="6"/>
        <v>3.5277777777777777</v>
      </c>
    </row>
    <row r="51" spans="1:50" x14ac:dyDescent="0.2">
      <c r="A51">
        <v>18</v>
      </c>
      <c r="B51" s="52">
        <v>0.35220000000000001</v>
      </c>
      <c r="C51">
        <v>1.77</v>
      </c>
      <c r="D51">
        <v>1.77</v>
      </c>
      <c r="E51" s="52">
        <v>0.33210000000000001</v>
      </c>
      <c r="F51">
        <v>1.51</v>
      </c>
      <c r="G51" s="45">
        <f t="shared" si="2"/>
        <v>-2.0100000000000007E-2</v>
      </c>
      <c r="H51" s="44">
        <f>1-F51/2.65</f>
        <v>0.43018867924528303</v>
      </c>
      <c r="I51" s="45">
        <f t="shared" si="3"/>
        <v>7.7988679245283021E-2</v>
      </c>
      <c r="J51" s="52">
        <v>0.23760000000000001</v>
      </c>
      <c r="K51" s="52">
        <v>0.23760000000000001</v>
      </c>
      <c r="L51" s="43">
        <f t="shared" si="4"/>
        <v>0.19258867924528303</v>
      </c>
      <c r="M51">
        <v>7.0000000000000007E-2</v>
      </c>
      <c r="N51" s="43">
        <f t="shared" si="5"/>
        <v>0.11460000000000001</v>
      </c>
      <c r="O51">
        <f t="shared" si="6"/>
        <v>0.49388888888888893</v>
      </c>
    </row>
    <row r="52" spans="1:50" x14ac:dyDescent="0.2">
      <c r="A52">
        <v>33</v>
      </c>
      <c r="B52" s="52">
        <v>0.37390000000000001</v>
      </c>
      <c r="C52">
        <v>1.79</v>
      </c>
      <c r="D52">
        <v>1.79</v>
      </c>
      <c r="E52" s="52">
        <v>0.32450000000000001</v>
      </c>
      <c r="F52">
        <v>1.59</v>
      </c>
      <c r="G52" s="45">
        <f t="shared" si="2"/>
        <v>-4.9399999999999999E-2</v>
      </c>
      <c r="H52" s="44">
        <f>1-F52/2.65</f>
        <v>0.39999999999999991</v>
      </c>
      <c r="I52" s="45">
        <f t="shared" si="3"/>
        <v>2.6099999999999901E-2</v>
      </c>
      <c r="J52" s="52">
        <v>0.22949999999999998</v>
      </c>
      <c r="K52" s="52">
        <v>0.22949999999999998</v>
      </c>
      <c r="L52" s="43">
        <f t="shared" si="4"/>
        <v>0.17049999999999993</v>
      </c>
      <c r="M52">
        <v>0.04</v>
      </c>
      <c r="N52" s="43">
        <f t="shared" si="5"/>
        <v>0.14440000000000003</v>
      </c>
      <c r="O52">
        <f t="shared" si="6"/>
        <v>0.28222222222222226</v>
      </c>
      <c r="AX52" s="56"/>
    </row>
    <row r="53" spans="1:50" x14ac:dyDescent="0.2">
      <c r="A53">
        <v>47</v>
      </c>
      <c r="B53" s="52">
        <v>0.26679999999999998</v>
      </c>
      <c r="C53" s="56"/>
      <c r="D53" s="56">
        <f>F53*0.2651-0.2092+F53</f>
        <v>1.4607320000000001</v>
      </c>
      <c r="E53" s="52"/>
      <c r="F53">
        <v>1.32</v>
      </c>
      <c r="G53" s="45" t="str">
        <f t="shared" si="2"/>
        <v/>
      </c>
      <c r="H53" s="44">
        <f>1-F53/2.65</f>
        <v>0.50188679245283008</v>
      </c>
      <c r="I53" s="45">
        <f t="shared" si="3"/>
        <v>0.2350867924528301</v>
      </c>
      <c r="J53" s="52">
        <v>0.17309999999999998</v>
      </c>
      <c r="K53" s="52">
        <v>0.17309999999999998</v>
      </c>
      <c r="L53" s="43">
        <f t="shared" si="4"/>
        <v>0.3287867924528301</v>
      </c>
      <c r="N53" s="43">
        <f t="shared" si="5"/>
        <v>9.3700000000000006E-2</v>
      </c>
      <c r="O53">
        <f t="shared" si="6"/>
        <v>0</v>
      </c>
      <c r="AX53" s="56"/>
    </row>
    <row r="54" spans="1:50" x14ac:dyDescent="0.2">
      <c r="B54" s="52" t="s">
        <v>107</v>
      </c>
      <c r="E54" s="52"/>
      <c r="G54" s="45" t="str">
        <f t="shared" si="2"/>
        <v/>
      </c>
      <c r="I54" s="45" t="str">
        <f t="shared" si="3"/>
        <v/>
      </c>
      <c r="L54" s="43"/>
      <c r="N54" s="43"/>
    </row>
    <row r="55" spans="1:50" x14ac:dyDescent="0.2">
      <c r="A55" s="52" t="s">
        <v>102</v>
      </c>
      <c r="E55" s="52"/>
      <c r="G55" s="45" t="str">
        <f>IFERROR(IF(OR(E55="",A55=""),"",E55-A55),"")</f>
        <v/>
      </c>
      <c r="I55" s="45" t="str">
        <f>IFERROR(IF(OR(A55="",H55=""),"",H55-A55),"")</f>
        <v/>
      </c>
      <c r="L55" s="43"/>
      <c r="N55" s="43"/>
    </row>
    <row r="56" spans="1:50" x14ac:dyDescent="0.2">
      <c r="A56">
        <v>0</v>
      </c>
      <c r="B56" s="52">
        <v>0.2427</v>
      </c>
      <c r="C56" s="56"/>
      <c r="D56" s="56">
        <f>F56*0.2651-0.2092+F56</f>
        <v>1.1950610000000002</v>
      </c>
      <c r="E56" s="52"/>
      <c r="F56">
        <v>1.1100000000000001</v>
      </c>
      <c r="G56" s="45" t="str">
        <f t="shared" si="2"/>
        <v/>
      </c>
      <c r="H56" s="44">
        <f>1-F56/2.65</f>
        <v>0.58113207547169798</v>
      </c>
      <c r="I56" s="45">
        <f t="shared" si="3"/>
        <v>0.33843207547169796</v>
      </c>
      <c r="J56" s="52">
        <v>0.1124</v>
      </c>
      <c r="K56" s="52">
        <v>0.1124</v>
      </c>
      <c r="L56" s="43">
        <f>H56-J56</f>
        <v>0.46873207547169798</v>
      </c>
      <c r="N56" s="43">
        <f t="shared" si="5"/>
        <v>0.13030000000000003</v>
      </c>
      <c r="O56">
        <f t="shared" si="6"/>
        <v>0</v>
      </c>
      <c r="AX56" s="56"/>
    </row>
    <row r="57" spans="1:50" x14ac:dyDescent="0.2">
      <c r="A57">
        <v>6</v>
      </c>
      <c r="B57" s="52">
        <v>0.29160000000000003</v>
      </c>
      <c r="C57">
        <v>1.43</v>
      </c>
      <c r="D57">
        <v>1.43</v>
      </c>
      <c r="E57" s="52">
        <v>0.46039999999999998</v>
      </c>
      <c r="F57">
        <v>1.29</v>
      </c>
      <c r="G57" s="45">
        <f t="shared" si="2"/>
        <v>0.16879999999999995</v>
      </c>
      <c r="H57" s="44">
        <f>1-F57/2.65</f>
        <v>0.51320754716981132</v>
      </c>
      <c r="I57" s="45">
        <f t="shared" si="3"/>
        <v>0.22160754716981129</v>
      </c>
      <c r="J57" s="52">
        <v>0.17460000000000001</v>
      </c>
      <c r="K57" s="52">
        <v>0.17460000000000001</v>
      </c>
      <c r="L57" s="43">
        <f>H57-J57</f>
        <v>0.33860754716981134</v>
      </c>
      <c r="M57">
        <v>0.86</v>
      </c>
      <c r="N57" s="43">
        <f t="shared" si="5"/>
        <v>0.11700000000000005</v>
      </c>
      <c r="O57">
        <f t="shared" si="6"/>
        <v>6.0677777777777777</v>
      </c>
    </row>
    <row r="58" spans="1:50" x14ac:dyDescent="0.2">
      <c r="A58">
        <v>18</v>
      </c>
      <c r="B58" s="52">
        <v>0.38380000000000003</v>
      </c>
      <c r="C58">
        <v>1.8</v>
      </c>
      <c r="D58">
        <v>1.8</v>
      </c>
      <c r="E58" s="52">
        <v>0.32079999999999997</v>
      </c>
      <c r="F58">
        <v>1.51</v>
      </c>
      <c r="G58" s="45">
        <f t="shared" si="2"/>
        <v>-6.3000000000000056E-2</v>
      </c>
      <c r="H58" s="44">
        <f>1-F58/2.65</f>
        <v>0.43018867924528303</v>
      </c>
      <c r="I58" s="45">
        <f t="shared" si="3"/>
        <v>4.6388679245283004E-2</v>
      </c>
      <c r="J58" s="52">
        <v>0.2515</v>
      </c>
      <c r="K58" s="52">
        <v>0.2515</v>
      </c>
      <c r="L58" s="43">
        <f>H58-J58</f>
        <v>0.17868867924528303</v>
      </c>
      <c r="M58">
        <v>0.17</v>
      </c>
      <c r="N58" s="43">
        <f t="shared" si="5"/>
        <v>0.13230000000000003</v>
      </c>
      <c r="O58">
        <f t="shared" si="6"/>
        <v>1.1994444444444445</v>
      </c>
    </row>
    <row r="59" spans="1:50" x14ac:dyDescent="0.2">
      <c r="A59">
        <v>48</v>
      </c>
      <c r="B59" s="52">
        <v>0.40429999999999999</v>
      </c>
      <c r="C59">
        <v>1.69</v>
      </c>
      <c r="D59">
        <v>1.69</v>
      </c>
      <c r="E59" s="52">
        <v>0.36229999999999996</v>
      </c>
      <c r="F59">
        <v>1.48</v>
      </c>
      <c r="G59" s="45">
        <f t="shared" si="2"/>
        <v>-4.2000000000000037E-2</v>
      </c>
      <c r="H59" s="44">
        <f>1-F59/2.65</f>
        <v>0.44150943396226416</v>
      </c>
      <c r="I59" s="45">
        <f t="shared" si="3"/>
        <v>3.7209433962264171E-2</v>
      </c>
      <c r="J59" s="52">
        <v>0.25819999999999999</v>
      </c>
      <c r="K59" s="52">
        <v>0.25819999999999999</v>
      </c>
      <c r="L59" s="43">
        <f>H59-J59</f>
        <v>0.18330943396226418</v>
      </c>
      <c r="M59">
        <v>0.17</v>
      </c>
      <c r="N59" s="43">
        <f t="shared" si="5"/>
        <v>0.14610000000000001</v>
      </c>
      <c r="O59">
        <f t="shared" si="6"/>
        <v>1.1994444444444445</v>
      </c>
      <c r="AX59" s="5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32"/>
  <sheetViews>
    <sheetView workbookViewId="0">
      <selection activeCell="L13" sqref="L13"/>
    </sheetView>
  </sheetViews>
  <sheetFormatPr defaultRowHeight="15" x14ac:dyDescent="0.25"/>
  <cols>
    <col min="1" max="1" width="9.140625" style="60"/>
    <col min="2" max="2" width="15.5703125" style="60" customWidth="1"/>
    <col min="3" max="3" width="16.28515625" style="60" customWidth="1"/>
    <col min="4" max="4" width="17" style="60" bestFit="1" customWidth="1"/>
    <col min="5" max="16" width="12" style="60" customWidth="1"/>
    <col min="17" max="18" width="9.140625" style="60"/>
    <col min="19" max="19" width="11" style="60" customWidth="1"/>
    <col min="20" max="33" width="9.140625" style="60"/>
    <col min="34" max="34" width="12.42578125" style="60" customWidth="1"/>
    <col min="35" max="16384" width="9.140625" style="60"/>
  </cols>
  <sheetData>
    <row r="3" spans="1:46" ht="23.25" x14ac:dyDescent="0.35">
      <c r="B3" s="61" t="s">
        <v>183</v>
      </c>
      <c r="S3" s="71" t="s">
        <v>189</v>
      </c>
      <c r="AH3" s="71" t="s">
        <v>190</v>
      </c>
    </row>
    <row r="4" spans="1:46" x14ac:dyDescent="0.25"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46" x14ac:dyDescent="0.25">
      <c r="C5" s="60">
        <v>1</v>
      </c>
      <c r="D5" s="60">
        <v>2</v>
      </c>
      <c r="E5" s="60">
        <v>3</v>
      </c>
      <c r="F5" s="60">
        <v>4</v>
      </c>
      <c r="G5" s="60">
        <v>5</v>
      </c>
      <c r="H5" s="60">
        <v>6</v>
      </c>
      <c r="I5" s="60">
        <v>7</v>
      </c>
      <c r="J5" s="60">
        <v>8</v>
      </c>
      <c r="K5" s="60">
        <v>9</v>
      </c>
      <c r="L5" s="60">
        <v>10</v>
      </c>
      <c r="M5" s="60">
        <v>11</v>
      </c>
      <c r="N5" s="60">
        <v>12</v>
      </c>
      <c r="O5" s="64"/>
      <c r="P5" s="64"/>
      <c r="Q5" s="64"/>
    </row>
    <row r="6" spans="1:46" ht="18.75" x14ac:dyDescent="0.3">
      <c r="A6" s="60" t="s">
        <v>134</v>
      </c>
      <c r="B6" s="60" t="s">
        <v>2</v>
      </c>
      <c r="C6" s="60" t="s">
        <v>16</v>
      </c>
      <c r="D6" s="60" t="s">
        <v>17</v>
      </c>
      <c r="E6" s="60" t="s">
        <v>18</v>
      </c>
      <c r="F6" s="60" t="s">
        <v>19</v>
      </c>
      <c r="G6" s="60" t="s">
        <v>20</v>
      </c>
      <c r="H6" s="60" t="s">
        <v>21</v>
      </c>
      <c r="I6" s="60" t="s">
        <v>22</v>
      </c>
      <c r="J6" s="60" t="s">
        <v>23</v>
      </c>
      <c r="K6" s="60" t="s">
        <v>24</v>
      </c>
      <c r="L6" s="60" t="s">
        <v>25</v>
      </c>
      <c r="M6" s="60" t="s">
        <v>26</v>
      </c>
      <c r="N6" s="60" t="s">
        <v>27</v>
      </c>
      <c r="O6" s="64"/>
      <c r="P6" s="64"/>
      <c r="Q6" s="67"/>
      <c r="R6" s="60" t="s">
        <v>134</v>
      </c>
      <c r="S6" s="60" t="s">
        <v>2</v>
      </c>
      <c r="T6" s="60" t="s">
        <v>16</v>
      </c>
      <c r="U6" s="60" t="s">
        <v>17</v>
      </c>
      <c r="V6" s="60" t="s">
        <v>18</v>
      </c>
      <c r="W6" s="60" t="s">
        <v>19</v>
      </c>
      <c r="X6" s="60" t="s">
        <v>20</v>
      </c>
      <c r="Y6" s="60" t="s">
        <v>21</v>
      </c>
      <c r="Z6" s="60" t="s">
        <v>22</v>
      </c>
      <c r="AA6" s="60" t="s">
        <v>23</v>
      </c>
      <c r="AB6" s="60" t="s">
        <v>24</v>
      </c>
      <c r="AC6" s="60" t="s">
        <v>25</v>
      </c>
      <c r="AD6" s="60" t="s">
        <v>26</v>
      </c>
      <c r="AE6" s="60" t="s">
        <v>27</v>
      </c>
      <c r="AG6" s="60" t="s">
        <v>134</v>
      </c>
      <c r="AH6" s="60" t="s">
        <v>2</v>
      </c>
      <c r="AI6" s="60" t="s">
        <v>16</v>
      </c>
      <c r="AJ6" s="60" t="s">
        <v>17</v>
      </c>
      <c r="AK6" s="60" t="s">
        <v>18</v>
      </c>
      <c r="AL6" s="60" t="s">
        <v>19</v>
      </c>
      <c r="AM6" s="60" t="s">
        <v>20</v>
      </c>
      <c r="AN6" s="60" t="s">
        <v>21</v>
      </c>
      <c r="AO6" s="60" t="s">
        <v>22</v>
      </c>
      <c r="AP6" s="60" t="s">
        <v>23</v>
      </c>
      <c r="AQ6" s="60" t="s">
        <v>24</v>
      </c>
      <c r="AR6" s="60" t="s">
        <v>25</v>
      </c>
      <c r="AS6" s="60" t="s">
        <v>26</v>
      </c>
      <c r="AT6" s="60" t="s">
        <v>27</v>
      </c>
    </row>
    <row r="7" spans="1:46" x14ac:dyDescent="0.25">
      <c r="A7" s="60">
        <v>1</v>
      </c>
      <c r="B7" s="62">
        <v>40835</v>
      </c>
      <c r="C7" s="10">
        <v>0.153626689533018</v>
      </c>
      <c r="D7" s="10">
        <v>0.15643833456433703</v>
      </c>
      <c r="E7" s="10">
        <v>0.14507785742556767</v>
      </c>
      <c r="F7" s="10">
        <v>0.18858903587390533</v>
      </c>
      <c r="G7" s="10">
        <v>0.17010966141482733</v>
      </c>
      <c r="H7" s="10">
        <v>0.18636291567431065</v>
      </c>
      <c r="I7" s="10">
        <v>0.14138206967396663</v>
      </c>
      <c r="J7" s="10">
        <v>0.18759152505674001</v>
      </c>
      <c r="K7" s="10">
        <v>0.17223770901336199</v>
      </c>
      <c r="L7" s="10">
        <v>0.16341880758955599</v>
      </c>
      <c r="M7" s="10">
        <v>0.15640943016426401</v>
      </c>
      <c r="N7" s="10">
        <v>0.184880914671849</v>
      </c>
      <c r="O7" s="64"/>
      <c r="P7" s="64"/>
      <c r="Q7" s="64"/>
      <c r="R7" s="60">
        <v>1</v>
      </c>
      <c r="S7" s="62">
        <v>40835</v>
      </c>
      <c r="T7" s="64">
        <f>IFERROR(LOOKUP(C$5,$B$67:$M$67,IF($A7=1,$B$68:$M$68,IF($A7=2,$B$69:$M$69,IF($A7=3,$B$70:$M$70,IF($A7=4,$B$71:$M$71,$B$72:$M$72)))))*IF(C7="","",C7),"")</f>
        <v>0.2145022252974145</v>
      </c>
      <c r="U7" s="64">
        <f t="shared" ref="U7:AE7" si="0">IFERROR(LOOKUP(D$5,$B$67:$M$67,IF($A7=1,$B$68:$M$68,IF($A7=2,$B$69:$M$69,IF($A7=3,$B$70:$M$70,IF($A7=4,$B$71:$M$71,$B$72:$M$72)))))*IF(D7="","",D7),"")</f>
        <v>0.19844802890256164</v>
      </c>
      <c r="V7" s="64">
        <f t="shared" si="0"/>
        <v>0.21805423298516233</v>
      </c>
      <c r="W7" s="64">
        <f t="shared" si="0"/>
        <v>0.26212486221934728</v>
      </c>
      <c r="X7" s="64">
        <f t="shared" si="0"/>
        <v>0.2175058815884986</v>
      </c>
      <c r="Y7" s="64">
        <f t="shared" si="0"/>
        <v>0.24477295344366495</v>
      </c>
      <c r="Z7" s="64">
        <f t="shared" si="0"/>
        <v>0.2182696560034984</v>
      </c>
      <c r="AA7" s="64">
        <f t="shared" si="0"/>
        <v>0.26684539646115174</v>
      </c>
      <c r="AB7" s="64">
        <f t="shared" si="0"/>
        <v>0.24032305593669764</v>
      </c>
      <c r="AC7" s="64">
        <f t="shared" si="0"/>
        <v>0.22633844765429942</v>
      </c>
      <c r="AD7" s="64">
        <f t="shared" si="0"/>
        <v>0.21119541748805107</v>
      </c>
      <c r="AE7" s="64">
        <f t="shared" si="0"/>
        <v>0.26272032358668518</v>
      </c>
      <c r="AG7" s="60">
        <v>1</v>
      </c>
      <c r="AH7" s="62">
        <v>40835</v>
      </c>
      <c r="AI7" s="64">
        <f>IFERROR(LOOKUP(C$5,$B$67:$M$67,IF($A7=1,$B$75:$M$75,IF($A7=2,$B$76:$M$76,IF($A7=3,$B$77:$M$77,IF($A7=4,$B$78:$M$78,$B$79:$M$79)))))*IF(C7="","",C7),"")</f>
        <v>0.15577538277947778</v>
      </c>
      <c r="AJ7" s="64">
        <f t="shared" ref="AJ7:AT7" si="1">IFERROR(LOOKUP(D$5,$B$67:$M$67,IF($A7=1,$B$75:$M$75,IF($A7=2,$B$76:$M$76,IF($A7=3,$B$77:$M$77,IF($A7=4,$B$78:$M$78,$B$79:$M$79)))))*IF(D7="","",D7),"")</f>
        <v>0.20455209094924073</v>
      </c>
      <c r="AK7" s="64">
        <f t="shared" si="1"/>
        <v>0.15907950182732566</v>
      </c>
      <c r="AL7" s="64">
        <f t="shared" si="1"/>
        <v>0.20003665082079491</v>
      </c>
      <c r="AM7" s="64">
        <f t="shared" si="1"/>
        <v>0.16974077767578585</v>
      </c>
      <c r="AN7" s="64">
        <f t="shared" si="1"/>
        <v>0.19619923896337851</v>
      </c>
      <c r="AO7" s="64">
        <f t="shared" si="1"/>
        <v>0.14689882691612388</v>
      </c>
      <c r="AP7" s="64">
        <f t="shared" si="1"/>
        <v>0.23146094085963215</v>
      </c>
      <c r="AQ7" s="64">
        <f t="shared" si="1"/>
        <v>0.19360383234868131</v>
      </c>
      <c r="AR7" s="64">
        <f t="shared" si="1"/>
        <v>0.20647583414388615</v>
      </c>
      <c r="AS7" s="64">
        <f t="shared" si="1"/>
        <v>0.15396123688091243</v>
      </c>
      <c r="AT7" s="64">
        <f t="shared" si="1"/>
        <v>0.19094730576016997</v>
      </c>
    </row>
    <row r="8" spans="1:46" x14ac:dyDescent="0.25">
      <c r="A8" s="60">
        <v>1</v>
      </c>
      <c r="B8" s="62">
        <v>41016</v>
      </c>
      <c r="C8" s="10">
        <v>0.29363207547169839</v>
      </c>
      <c r="D8" s="10">
        <v>0.25995059017293454</v>
      </c>
      <c r="E8" s="10">
        <v>0.24312896405919657</v>
      </c>
      <c r="F8" s="10"/>
      <c r="G8" s="10">
        <v>0.27170115560333263</v>
      </c>
      <c r="H8" s="10">
        <v>0.29070392262224615</v>
      </c>
      <c r="I8" s="10">
        <v>0.2491050119331743</v>
      </c>
      <c r="J8" s="10">
        <v>0.29591174561972738</v>
      </c>
      <c r="K8" s="10">
        <v>0.26125379729356507</v>
      </c>
      <c r="L8" s="10">
        <v>0.25754936120789795</v>
      </c>
      <c r="M8" s="10">
        <v>0.27581594435527013</v>
      </c>
      <c r="N8" s="10">
        <v>0.26333907056798622</v>
      </c>
      <c r="O8" s="64"/>
      <c r="P8" s="64"/>
      <c r="Q8" s="64"/>
      <c r="R8" s="60">
        <v>1</v>
      </c>
      <c r="S8" s="62">
        <v>41016</v>
      </c>
      <c r="T8" s="64">
        <f t="shared" ref="T8:T61" si="2">IFERROR(LOOKUP(C$5,$B$67:$M$67,IF($A8=1,$B$68:$M$68,IF($A8=2,$B$69:$M$69,IF($A8=3,$B$70:$M$70,IF($A8=4,$B$71:$M$71,$B$72:$M$72)))))*IF(C8="","",C8),"")</f>
        <v>0.40998562032960267</v>
      </c>
      <c r="U8" s="64">
        <f t="shared" ref="U8:U61" si="3">IFERROR(LOOKUP(D$5,$B$67:$M$67,IF($A8=1,$B$68:$M$68,IF($A8=2,$B$69:$M$69,IF($A8=3,$B$70:$M$70,IF($A8=4,$B$71:$M$71,$B$72:$M$72)))))*IF(D8="","",D8),"")</f>
        <v>0.32975729622499184</v>
      </c>
      <c r="V8" s="64">
        <f t="shared" ref="V8:V61" si="4">IFERROR(LOOKUP(E$5,$B$67:$M$67,IF($A8=1,$B$68:$M$68,IF($A8=2,$B$69:$M$69,IF($A8=3,$B$70:$M$70,IF($A8=4,$B$71:$M$71,$B$72:$M$72)))))*IF(E8="","",E8),"")</f>
        <v>0.3654265421007114</v>
      </c>
      <c r="W8" s="64" t="str">
        <f t="shared" ref="W8:W61" si="5">IFERROR(LOOKUP(F$5,$B$67:$M$67,IF($A8=1,$B$68:$M$68,IF($A8=2,$B$69:$M$69,IF($A8=3,$B$70:$M$70,IF($A8=4,$B$71:$M$71,$B$72:$M$72)))))*IF(F8="","",F8),"")</f>
        <v/>
      </c>
      <c r="X8" s="64">
        <f t="shared" ref="X8:X61" si="6">IFERROR(LOOKUP(G$5,$B$67:$M$67,IF($A8=1,$B$68:$M$68,IF($A8=2,$B$69:$M$69,IF($A8=3,$B$70:$M$70,IF($A8=4,$B$71:$M$71,$B$72:$M$72)))))*IF(G8="","",G8),"")</f>
        <v>0.34740295693143763</v>
      </c>
      <c r="Y8" s="64">
        <f t="shared" ref="Y8:Y61" si="7">IFERROR(LOOKUP(H$5,$B$67:$M$67,IF($A8=1,$B$68:$M$68,IF($A8=2,$B$69:$M$69,IF($A8=3,$B$70:$M$70,IF($A8=4,$B$71:$M$71,$B$72:$M$72)))))*IF(H8="","",H8),"")</f>
        <v>0.38181661550230006</v>
      </c>
      <c r="Z8" s="64">
        <f t="shared" ref="Z8:Z61" si="8">IFERROR(LOOKUP(I$5,$B$67:$M$67,IF($A8=1,$B$68:$M$68,IF($A8=2,$B$69:$M$69,IF($A8=3,$B$70:$M$70,IF($A8=4,$B$71:$M$71,$B$72:$M$72)))))*IF(I8="","",I8),"")</f>
        <v>0.3845753948063268</v>
      </c>
      <c r="AA8" s="64">
        <f t="shared" ref="AA8:AA61" si="9">IFERROR(LOOKUP(J$5,$B$67:$M$67,IF($A8=1,$B$68:$M$68,IF($A8=2,$B$69:$M$69,IF($A8=3,$B$70:$M$70,IF($A8=4,$B$71:$M$71,$B$72:$M$72)))))*IF(J8="","",J8),"")</f>
        <v>0.42092886154384707</v>
      </c>
      <c r="AB8" s="64">
        <f t="shared" ref="AB8:AB61" si="10">IFERROR(LOOKUP(K$5,$B$67:$M$67,IF($A8=1,$B$68:$M$68,IF($A8=2,$B$69:$M$69,IF($A8=3,$B$70:$M$70,IF($A8=4,$B$71:$M$71,$B$72:$M$72)))))*IF(K8="","",K8),"")</f>
        <v>0.3645270904978497</v>
      </c>
      <c r="AC8" s="64">
        <f t="shared" ref="AC8:AC61" si="11">IFERROR(LOOKUP(L$5,$B$67:$M$67,IF($A8=1,$B$68:$M$68,IF($A8=2,$B$69:$M$69,IF($A8=3,$B$70:$M$70,IF($A8=4,$B$71:$M$71,$B$72:$M$72)))))*IF(L8="","",L8),"")</f>
        <v>0.35671122234940084</v>
      </c>
      <c r="AD8" s="64">
        <f t="shared" ref="AD8:AD61" si="12">IFERROR(LOOKUP(M$5,$B$67:$M$67,IF($A8=1,$B$68:$M$68,IF($A8=2,$B$69:$M$69,IF($A8=3,$B$70:$M$70,IF($A8=4,$B$71:$M$71,$B$72:$M$72)))))*IF(M8="","",M8),"")</f>
        <v>0.37242679969357356</v>
      </c>
      <c r="AE8" s="64">
        <f t="shared" ref="AE8:AE61" si="13">IFERROR(LOOKUP(N$5,$B$67:$M$67,IF($A8=1,$B$68:$M$68,IF($A8=2,$B$69:$M$69,IF($A8=3,$B$70:$M$70,IF($A8=4,$B$71:$M$71,$B$72:$M$72)))))*IF(N8="","",N8),"")</f>
        <v>0.37421129138957404</v>
      </c>
      <c r="AG8" s="60">
        <v>1</v>
      </c>
      <c r="AH8" s="62">
        <v>41016</v>
      </c>
      <c r="AI8" s="64">
        <f t="shared" ref="AI8:AI61" si="14">IFERROR(LOOKUP(C$5,$B$67:$M$67,IF($A8=1,$B$75:$M$75,IF($A8=2,$B$76:$M$76,IF($A8=3,$B$77:$M$77,IF($A8=4,$B$78:$M$78,$B$79:$M$79)))))*IF(C8="","",C8),"")</f>
        <v>0.29773894817349156</v>
      </c>
      <c r="AJ8" s="64">
        <f t="shared" ref="AJ8:AJ61" si="15">IFERROR(LOOKUP(D$5,$B$67:$M$67,IF($A8=1,$B$75:$M$75,IF($A8=2,$B$76:$M$76,IF($A8=3,$B$77:$M$77,IF($A8=4,$B$78:$M$78,$B$79:$M$79)))))*IF(D8="","",D8),"")</f>
        <v>0.33990029944671096</v>
      </c>
      <c r="AK8" s="64">
        <f t="shared" ref="AK8:AK61" si="16">IFERROR(LOOKUP(E$5,$B$67:$M$67,IF($A8=1,$B$75:$M$75,IF($A8=2,$B$76:$M$76,IF($A8=3,$B$77:$M$77,IF($A8=4,$B$78:$M$78,$B$79:$M$79)))))*IF(E8="","",E8),"")</f>
        <v>0.26659364267337587</v>
      </c>
      <c r="AL8" s="64" t="str">
        <f t="shared" ref="AL8:AL61" si="17">IFERROR(LOOKUP(F$5,$B$67:$M$67,IF($A8=1,$B$75:$M$75,IF($A8=2,$B$76:$M$76,IF($A8=3,$B$77:$M$77,IF($A8=4,$B$78:$M$78,$B$79:$M$79)))))*IF(F8="","",F8),"")</f>
        <v/>
      </c>
      <c r="AM8" s="64">
        <f t="shared" ref="AM8:AM61" si="18">IFERROR(LOOKUP(G$5,$B$67:$M$67,IF($A8=1,$B$75:$M$75,IF($A8=2,$B$76:$M$76,IF($A8=3,$B$77:$M$77,IF($A8=4,$B$78:$M$78,$B$79:$M$79)))))*IF(G8="","",G8),"")</f>
        <v>0.2711119701488014</v>
      </c>
      <c r="AN8" s="64">
        <f t="shared" ref="AN8:AN61" si="19">IFERROR(LOOKUP(H$5,$B$67:$M$67,IF($A8=1,$B$75:$M$75,IF($A8=2,$B$76:$M$76,IF($A8=3,$B$77:$M$77,IF($A8=4,$B$78:$M$78,$B$79:$M$79)))))*IF(H8="","",H8),"")</f>
        <v>0.30604741386333512</v>
      </c>
      <c r="AO8" s="64">
        <f t="shared" ref="AO8:AO61" si="20">IFERROR(LOOKUP(I$5,$B$67:$M$67,IF($A8=1,$B$75:$M$75,IF($A8=2,$B$76:$M$76,IF($A8=3,$B$77:$M$77,IF($A8=4,$B$78:$M$78,$B$79:$M$79)))))*IF(I8="","",I8),"")</f>
        <v>0.25882514038941412</v>
      </c>
      <c r="AP8" s="64">
        <f t="shared" ref="AP8:AP61" si="21">IFERROR(LOOKUP(J$5,$B$67:$M$67,IF($A8=1,$B$75:$M$75,IF($A8=2,$B$76:$M$76,IF($A8=3,$B$77:$M$77,IF($A8=4,$B$78:$M$78,$B$79:$M$79)))))*IF(J8="","",J8),"")</f>
        <v>0.36511250192055184</v>
      </c>
      <c r="AQ8" s="64">
        <f t="shared" ref="AQ8:AQ61" si="22">IFERROR(LOOKUP(K$5,$B$67:$M$67,IF($A8=1,$B$75:$M$75,IF($A8=2,$B$76:$M$76,IF($A8=3,$B$77:$M$77,IF($A8=4,$B$78:$M$78,$B$79:$M$79)))))*IF(K8="","",K8),"")</f>
        <v>0.2936623847438416</v>
      </c>
      <c r="AR8" s="64">
        <f t="shared" ref="AR8:AR61" si="23">IFERROR(LOOKUP(L$5,$B$67:$M$67,IF($A8=1,$B$75:$M$75,IF($A8=2,$B$76:$M$76,IF($A8=3,$B$77:$M$77,IF($A8=4,$B$78:$M$78,$B$79:$M$79)))))*IF(L8="","",L8),"")</f>
        <v>0.32540758296430211</v>
      </c>
      <c r="AS8" s="64">
        <f t="shared" ref="AS8:AS61" si="24">IFERROR(LOOKUP(M$5,$B$67:$M$67,IF($A8=1,$B$75:$M$75,IF($A8=2,$B$76:$M$76,IF($A8=3,$B$77:$M$77,IF($A8=4,$B$78:$M$78,$B$79:$M$79)))))*IF(M8="","",M8),"")</f>
        <v>0.27149874467170443</v>
      </c>
      <c r="AT8" s="64">
        <f t="shared" ref="AT8:AT61" si="25">IFERROR(LOOKUP(N$5,$B$67:$M$67,IF($A8=1,$B$75:$M$75,IF($A8=2,$B$76:$M$76,IF($A8=3,$B$77:$M$77,IF($A8=4,$B$78:$M$78,$B$79:$M$79)))))*IF(N8="","",N8),"")</f>
        <v>0.27197986398755492</v>
      </c>
    </row>
    <row r="9" spans="1:46" x14ac:dyDescent="0.25">
      <c r="A9" s="60">
        <v>1</v>
      </c>
      <c r="B9" s="62">
        <v>41177</v>
      </c>
      <c r="C9" s="10">
        <v>0.10280950910774925</v>
      </c>
      <c r="D9" s="10">
        <v>9.5469861475102849E-2</v>
      </c>
      <c r="E9" s="10">
        <v>7.440287465652104E-2</v>
      </c>
      <c r="F9" s="10">
        <v>0.28498727735368951</v>
      </c>
      <c r="G9" s="10">
        <v>9.1877880184331739E-2</v>
      </c>
      <c r="H9" s="10">
        <v>0.1237384817902589</v>
      </c>
      <c r="I9" s="10">
        <v>9.809390980939113E-2</v>
      </c>
      <c r="J9" s="10">
        <v>0.10803689064558618</v>
      </c>
      <c r="K9" s="10">
        <v>0.10957598856598383</v>
      </c>
      <c r="L9" s="10">
        <v>9.9428813200761648E-2</v>
      </c>
      <c r="M9" s="10">
        <v>0.11283950617283951</v>
      </c>
      <c r="N9" s="10">
        <v>7.9919678714859527E-2</v>
      </c>
      <c r="O9" s="64"/>
      <c r="P9" s="64"/>
      <c r="Q9" s="64"/>
      <c r="R9" s="60">
        <v>1</v>
      </c>
      <c r="S9" s="62">
        <v>41177</v>
      </c>
      <c r="T9" s="64">
        <f t="shared" si="2"/>
        <v>0.14354841956421469</v>
      </c>
      <c r="U9" s="64">
        <f t="shared" si="3"/>
        <v>0.12110718183044251</v>
      </c>
      <c r="V9" s="64">
        <f t="shared" si="4"/>
        <v>0.1118286556819502</v>
      </c>
      <c r="W9" s="64">
        <f t="shared" si="5"/>
        <v>0.39611131402437566</v>
      </c>
      <c r="X9" s="64">
        <f t="shared" si="6"/>
        <v>0.11747703899805452</v>
      </c>
      <c r="Y9" s="64">
        <f t="shared" si="7"/>
        <v>0.16252071144544705</v>
      </c>
      <c r="Z9" s="64">
        <f t="shared" si="8"/>
        <v>0.15144016493398738</v>
      </c>
      <c r="AA9" s="64">
        <f t="shared" si="9"/>
        <v>0.15368043363383133</v>
      </c>
      <c r="AB9" s="64">
        <f t="shared" si="10"/>
        <v>0.1528912372343442</v>
      </c>
      <c r="AC9" s="64">
        <f t="shared" si="11"/>
        <v>0.13771097442157545</v>
      </c>
      <c r="AD9" s="64">
        <f t="shared" si="12"/>
        <v>0.15236412913396855</v>
      </c>
      <c r="AE9" s="64">
        <f t="shared" si="13"/>
        <v>0.1135678276482957</v>
      </c>
      <c r="AG9" s="60">
        <v>1</v>
      </c>
      <c r="AH9" s="62">
        <v>41177</v>
      </c>
      <c r="AI9" s="64">
        <f t="shared" si="14"/>
        <v>0.1042474499926512</v>
      </c>
      <c r="AJ9" s="64">
        <f t="shared" si="15"/>
        <v>0.12483231710278346</v>
      </c>
      <c r="AK9" s="64">
        <f t="shared" si="16"/>
        <v>8.1583588597955267E-2</v>
      </c>
      <c r="AL9" s="64">
        <f t="shared" si="17"/>
        <v>0.30228639869862706</v>
      </c>
      <c r="AM9" s="64">
        <f t="shared" si="18"/>
        <v>9.1678642494386814E-2</v>
      </c>
      <c r="AN9" s="64">
        <f t="shared" si="19"/>
        <v>0.13026945768631373</v>
      </c>
      <c r="AO9" s="64">
        <f t="shared" si="20"/>
        <v>0.10192155421013033</v>
      </c>
      <c r="AP9" s="64">
        <f t="shared" si="21"/>
        <v>0.13330197272405037</v>
      </c>
      <c r="AQ9" s="64">
        <f t="shared" si="22"/>
        <v>0.12316891255284852</v>
      </c>
      <c r="AR9" s="64">
        <f t="shared" si="23"/>
        <v>0.12562597565346537</v>
      </c>
      <c r="AS9" s="64">
        <f t="shared" si="24"/>
        <v>0.11107328964216787</v>
      </c>
      <c r="AT9" s="64">
        <f t="shared" si="25"/>
        <v>8.2542037153521666E-2</v>
      </c>
    </row>
    <row r="10" spans="1:46" x14ac:dyDescent="0.25">
      <c r="A10" s="60">
        <v>1</v>
      </c>
      <c r="B10" s="63">
        <v>41362</v>
      </c>
      <c r="C10" s="10">
        <v>0.25637834474175464</v>
      </c>
      <c r="D10" s="10">
        <v>0.23947667804323078</v>
      </c>
      <c r="E10" s="10">
        <v>0.2174948944860447</v>
      </c>
      <c r="F10" s="10">
        <v>0.26562054208273905</v>
      </c>
      <c r="G10" s="10">
        <v>0.24948994462255908</v>
      </c>
      <c r="H10" s="10">
        <v>0.26212999694842859</v>
      </c>
      <c r="I10" s="10">
        <v>0.2264091196960101</v>
      </c>
      <c r="J10" s="10">
        <v>0.27560646900269542</v>
      </c>
      <c r="K10" s="10">
        <v>0.22798434442270069</v>
      </c>
      <c r="L10" s="10">
        <v>0.21683309557774613</v>
      </c>
      <c r="M10" s="10">
        <v>0.27796506282562067</v>
      </c>
      <c r="N10" s="10">
        <v>0.26253891387063288</v>
      </c>
      <c r="O10" s="64"/>
      <c r="P10" s="64"/>
      <c r="Q10" s="64"/>
      <c r="R10" s="60">
        <v>1</v>
      </c>
      <c r="S10" s="63">
        <v>41362</v>
      </c>
      <c r="T10" s="64">
        <f t="shared" si="2"/>
        <v>0.35796986599359487</v>
      </c>
      <c r="U10" s="64">
        <f t="shared" si="3"/>
        <v>0.30378535323941241</v>
      </c>
      <c r="V10" s="64">
        <f t="shared" si="4"/>
        <v>0.32689814446477528</v>
      </c>
      <c r="W10" s="64">
        <f t="shared" si="5"/>
        <v>0.36919297918580785</v>
      </c>
      <c r="X10" s="64">
        <f t="shared" si="6"/>
        <v>0.31900322357508049</v>
      </c>
      <c r="Y10" s="64">
        <f t="shared" si="7"/>
        <v>0.34428702355878765</v>
      </c>
      <c r="Z10" s="64">
        <f t="shared" si="8"/>
        <v>0.34953683155200438</v>
      </c>
      <c r="AA10" s="64">
        <f t="shared" si="9"/>
        <v>0.39204498959128214</v>
      </c>
      <c r="AB10" s="64">
        <f t="shared" si="10"/>
        <v>0.31810626529604796</v>
      </c>
      <c r="AC10" s="64">
        <f t="shared" si="11"/>
        <v>0.30031834754545056</v>
      </c>
      <c r="AD10" s="64">
        <f t="shared" si="12"/>
        <v>0.37532869615915299</v>
      </c>
      <c r="AE10" s="64">
        <f t="shared" si="13"/>
        <v>0.37307424905709835</v>
      </c>
      <c r="AG10" s="60">
        <v>1</v>
      </c>
      <c r="AH10" s="63">
        <v>41362</v>
      </c>
      <c r="AI10" s="64">
        <f t="shared" si="14"/>
        <v>0.25996416970198555</v>
      </c>
      <c r="AJ10" s="64">
        <f t="shared" si="15"/>
        <v>0.31312948558126691</v>
      </c>
      <c r="AK10" s="64">
        <f t="shared" si="16"/>
        <v>0.23848559717376439</v>
      </c>
      <c r="AL10" s="64">
        <f t="shared" si="17"/>
        <v>0.28174407584840488</v>
      </c>
      <c r="AM10" s="64">
        <f t="shared" si="18"/>
        <v>0.24894892430154866</v>
      </c>
      <c r="AN10" s="64">
        <f t="shared" si="19"/>
        <v>0.27596534280797258</v>
      </c>
      <c r="AO10" s="64">
        <f t="shared" si="20"/>
        <v>0.23524364980052589</v>
      </c>
      <c r="AP10" s="64">
        <f t="shared" si="21"/>
        <v>0.34005871322315862</v>
      </c>
      <c r="AQ10" s="64">
        <f t="shared" si="22"/>
        <v>0.25626584938094094</v>
      </c>
      <c r="AR10" s="64">
        <f t="shared" si="23"/>
        <v>0.27396353540813256</v>
      </c>
      <c r="AS10" s="64">
        <f t="shared" si="24"/>
        <v>0.27361422413832798</v>
      </c>
      <c r="AT10" s="64">
        <f t="shared" si="25"/>
        <v>0.27115345220883369</v>
      </c>
    </row>
    <row r="11" spans="1:46" x14ac:dyDescent="0.25">
      <c r="A11" s="60">
        <v>1</v>
      </c>
      <c r="B11" s="63">
        <v>41435</v>
      </c>
      <c r="C11" s="10">
        <v>0.12194683908045961</v>
      </c>
      <c r="D11" s="10">
        <v>0.12374076561450646</v>
      </c>
      <c r="E11" s="10"/>
      <c r="F11" s="10"/>
      <c r="G11" s="10"/>
      <c r="H11" s="10"/>
      <c r="I11" s="10"/>
      <c r="J11" s="10"/>
      <c r="K11" s="10"/>
      <c r="L11" s="10"/>
      <c r="M11" s="10">
        <v>0.16754088244369023</v>
      </c>
      <c r="N11" s="10"/>
      <c r="O11" s="64"/>
      <c r="P11" s="64"/>
      <c r="Q11" s="64"/>
      <c r="R11" s="60">
        <v>1</v>
      </c>
      <c r="S11" s="63">
        <v>41435</v>
      </c>
      <c r="T11" s="64">
        <f t="shared" si="2"/>
        <v>0.17026903613074573</v>
      </c>
      <c r="U11" s="64">
        <f t="shared" si="3"/>
        <v>0.15696990829951404</v>
      </c>
      <c r="V11" s="64" t="str">
        <f t="shared" si="4"/>
        <v/>
      </c>
      <c r="W11" s="64" t="str">
        <f t="shared" si="5"/>
        <v/>
      </c>
      <c r="X11" s="64" t="str">
        <f t="shared" si="6"/>
        <v/>
      </c>
      <c r="Y11" s="64" t="str">
        <f t="shared" si="7"/>
        <v/>
      </c>
      <c r="Z11" s="64" t="str">
        <f t="shared" si="8"/>
        <v/>
      </c>
      <c r="AA11" s="64" t="str">
        <f t="shared" si="9"/>
        <v/>
      </c>
      <c r="AB11" s="64" t="str">
        <f t="shared" si="10"/>
        <v/>
      </c>
      <c r="AC11" s="64" t="str">
        <f t="shared" si="11"/>
        <v/>
      </c>
      <c r="AD11" s="64">
        <f t="shared" si="12"/>
        <v>0.22622591602597661</v>
      </c>
      <c r="AE11" s="64" t="str">
        <f t="shared" si="13"/>
        <v/>
      </c>
      <c r="AG11" s="60">
        <v>1</v>
      </c>
      <c r="AH11" s="63">
        <v>41435</v>
      </c>
      <c r="AI11" s="64">
        <f t="shared" si="14"/>
        <v>0.123652443427958</v>
      </c>
      <c r="AJ11" s="64">
        <f t="shared" si="15"/>
        <v>0.16179814501731091</v>
      </c>
      <c r="AK11" s="64" t="str">
        <f t="shared" si="16"/>
        <v/>
      </c>
      <c r="AL11" s="64" t="str">
        <f t="shared" si="17"/>
        <v/>
      </c>
      <c r="AM11" s="64" t="str">
        <f t="shared" si="18"/>
        <v/>
      </c>
      <c r="AN11" s="64" t="str">
        <f t="shared" si="19"/>
        <v/>
      </c>
      <c r="AO11" s="64" t="str">
        <f t="shared" si="20"/>
        <v/>
      </c>
      <c r="AP11" s="64" t="str">
        <f t="shared" si="21"/>
        <v/>
      </c>
      <c r="AQ11" s="64" t="str">
        <f t="shared" si="22"/>
        <v/>
      </c>
      <c r="AR11" s="64" t="str">
        <f t="shared" si="23"/>
        <v/>
      </c>
      <c r="AS11" s="64">
        <f t="shared" si="24"/>
        <v>0.16491845448231557</v>
      </c>
      <c r="AT11" s="64" t="str">
        <f t="shared" si="25"/>
        <v/>
      </c>
    </row>
    <row r="12" spans="1:46" x14ac:dyDescent="0.25">
      <c r="A12" s="60">
        <v>1</v>
      </c>
      <c r="B12" s="63">
        <v>41527</v>
      </c>
      <c r="C12" s="10">
        <v>0.1527124006481981</v>
      </c>
      <c r="D12" s="10">
        <v>0.11112434492615549</v>
      </c>
      <c r="E12" s="10">
        <v>0.10381469306627922</v>
      </c>
      <c r="F12" s="10">
        <v>0.10356701968682994</v>
      </c>
      <c r="G12" s="10">
        <v>0.12475122127736585</v>
      </c>
      <c r="H12" s="10">
        <v>0.11028980405960313</v>
      </c>
      <c r="I12" s="10">
        <v>0.11887838278448007</v>
      </c>
      <c r="J12" s="10">
        <v>0.11996215704824982</v>
      </c>
      <c r="K12" s="10">
        <v>0.12747148288973409</v>
      </c>
      <c r="L12" s="10">
        <v>0.36899999999999999</v>
      </c>
      <c r="M12" s="10">
        <v>0.13571674114816096</v>
      </c>
      <c r="N12" s="10">
        <v>9.1237113402062017E-2</v>
      </c>
      <c r="O12" s="64"/>
      <c r="P12" s="64"/>
      <c r="Q12" s="64"/>
      <c r="R12" s="60">
        <v>1</v>
      </c>
      <c r="S12" s="63">
        <v>41527</v>
      </c>
      <c r="T12" s="64">
        <f t="shared" si="2"/>
        <v>0.2132256437284521</v>
      </c>
      <c r="U12" s="64">
        <f t="shared" si="3"/>
        <v>0.14096549464744287</v>
      </c>
      <c r="V12" s="64">
        <f t="shared" si="4"/>
        <v>0.15603506745177581</v>
      </c>
      <c r="W12" s="64">
        <f t="shared" si="5"/>
        <v>0.14395052522581492</v>
      </c>
      <c r="X12" s="64">
        <f t="shared" si="6"/>
        <v>0.15950960185034041</v>
      </c>
      <c r="Y12" s="64">
        <f t="shared" si="7"/>
        <v>0.14485693667494734</v>
      </c>
      <c r="Z12" s="64">
        <f t="shared" si="8"/>
        <v>0.18352782482571423</v>
      </c>
      <c r="AA12" s="64">
        <f t="shared" si="9"/>
        <v>0.17064389954819567</v>
      </c>
      <c r="AB12" s="64">
        <f t="shared" si="10"/>
        <v>0.17786079766345933</v>
      </c>
      <c r="AC12" s="64">
        <f t="shared" si="11"/>
        <v>0.5110726752712772</v>
      </c>
      <c r="AD12" s="64">
        <f t="shared" si="12"/>
        <v>0.18325463993316432</v>
      </c>
      <c r="AE12" s="64">
        <f t="shared" si="13"/>
        <v>0.1296501804886116</v>
      </c>
      <c r="AG12" s="60">
        <v>1</v>
      </c>
      <c r="AH12" s="63">
        <v>41527</v>
      </c>
      <c r="AI12" s="64">
        <f t="shared" si="14"/>
        <v>0.15484830623153698</v>
      </c>
      <c r="AJ12" s="64">
        <f t="shared" si="15"/>
        <v>0.14530145167622896</v>
      </c>
      <c r="AK12" s="64">
        <f t="shared" si="16"/>
        <v>0.11383397817143355</v>
      </c>
      <c r="AL12" s="64">
        <f t="shared" si="17"/>
        <v>0.10985368082318824</v>
      </c>
      <c r="AM12" s="64">
        <f t="shared" si="18"/>
        <v>0.12448069756594321</v>
      </c>
      <c r="AN12" s="64">
        <f t="shared" si="19"/>
        <v>0.11611095235132707</v>
      </c>
      <c r="AO12" s="64">
        <f t="shared" si="20"/>
        <v>0.12351704156684602</v>
      </c>
      <c r="AP12" s="64">
        <f t="shared" si="21"/>
        <v>0.14801603499699906</v>
      </c>
      <c r="AQ12" s="64">
        <f t="shared" si="22"/>
        <v>0.14328434663925604</v>
      </c>
      <c r="AR12" s="64">
        <f t="shared" si="23"/>
        <v>0.46622285355583043</v>
      </c>
      <c r="AS12" s="64">
        <f t="shared" si="24"/>
        <v>0.13359243947550384</v>
      </c>
      <c r="AT12" s="64">
        <f t="shared" si="25"/>
        <v>9.4230824314022757E-2</v>
      </c>
    </row>
    <row r="13" spans="1:46" x14ac:dyDescent="0.25">
      <c r="A13" s="60">
        <v>1</v>
      </c>
      <c r="B13" s="63">
        <v>41675</v>
      </c>
      <c r="C13" s="10">
        <v>0.243265533735608</v>
      </c>
      <c r="D13" s="10">
        <v>0.22311122281230336</v>
      </c>
      <c r="E13" s="10">
        <v>0.22157823604053845</v>
      </c>
      <c r="F13" s="10">
        <v>0.25474749295001142</v>
      </c>
      <c r="G13" s="10"/>
      <c r="H13" s="10"/>
      <c r="I13" s="10"/>
      <c r="J13" s="10">
        <v>0.24177028202996692</v>
      </c>
      <c r="K13" s="10"/>
      <c r="L13" s="10"/>
      <c r="M13" s="10"/>
      <c r="N13" s="10">
        <v>0.24274665113896662</v>
      </c>
      <c r="O13" s="64"/>
      <c r="P13" s="64"/>
      <c r="Q13" s="64"/>
      <c r="R13" s="60">
        <v>1</v>
      </c>
      <c r="S13" s="63">
        <v>41675</v>
      </c>
      <c r="T13" s="64">
        <f t="shared" si="2"/>
        <v>0.33966102168227902</v>
      </c>
      <c r="U13" s="64">
        <f t="shared" si="3"/>
        <v>0.28302514544434021</v>
      </c>
      <c r="V13" s="64">
        <f t="shared" si="4"/>
        <v>0.33303546911570203</v>
      </c>
      <c r="W13" s="64">
        <f t="shared" si="5"/>
        <v>0.35408024215624873</v>
      </c>
      <c r="X13" s="64" t="str">
        <f t="shared" si="6"/>
        <v/>
      </c>
      <c r="Y13" s="64" t="str">
        <f t="shared" si="7"/>
        <v/>
      </c>
      <c r="Z13" s="64" t="str">
        <f t="shared" si="8"/>
        <v/>
      </c>
      <c r="AA13" s="64">
        <f t="shared" si="9"/>
        <v>0.3439136535688237</v>
      </c>
      <c r="AB13" s="64" t="str">
        <f t="shared" si="10"/>
        <v/>
      </c>
      <c r="AC13" s="64" t="str">
        <f t="shared" si="11"/>
        <v/>
      </c>
      <c r="AD13" s="64" t="str">
        <f t="shared" si="12"/>
        <v/>
      </c>
      <c r="AE13" s="64">
        <f t="shared" si="13"/>
        <v>0.34494895727884534</v>
      </c>
      <c r="AG13" s="60">
        <v>1</v>
      </c>
      <c r="AH13" s="63">
        <v>41675</v>
      </c>
      <c r="AI13" s="64">
        <f t="shared" si="14"/>
        <v>0.24666795691495921</v>
      </c>
      <c r="AJ13" s="64">
        <f t="shared" si="15"/>
        <v>0.29173071464609274</v>
      </c>
      <c r="AK13" s="64">
        <f t="shared" si="16"/>
        <v>0.24296302709867865</v>
      </c>
      <c r="AL13" s="64">
        <f t="shared" si="17"/>
        <v>0.27021101761603217</v>
      </c>
      <c r="AM13" s="64" t="str">
        <f t="shared" si="18"/>
        <v/>
      </c>
      <c r="AN13" s="64" t="str">
        <f t="shared" si="19"/>
        <v/>
      </c>
      <c r="AO13" s="64" t="str">
        <f t="shared" si="20"/>
        <v/>
      </c>
      <c r="AP13" s="64">
        <f t="shared" si="21"/>
        <v>0.29830972872377182</v>
      </c>
      <c r="AQ13" s="64" t="str">
        <f t="shared" si="22"/>
        <v/>
      </c>
      <c r="AR13" s="64" t="str">
        <f t="shared" si="23"/>
        <v/>
      </c>
      <c r="AS13" s="64" t="str">
        <f t="shared" si="24"/>
        <v/>
      </c>
      <c r="AT13" s="64">
        <f t="shared" si="25"/>
        <v>0.25071175734694345</v>
      </c>
    </row>
    <row r="14" spans="1:46" x14ac:dyDescent="0.25">
      <c r="A14" s="60">
        <v>1</v>
      </c>
      <c r="B14" s="63">
        <v>41676</v>
      </c>
      <c r="C14" s="10"/>
      <c r="D14" s="10"/>
      <c r="E14" s="10"/>
      <c r="F14" s="10"/>
      <c r="G14" s="10">
        <v>0.24502115223116971</v>
      </c>
      <c r="H14" s="10">
        <v>0.27122082556296123</v>
      </c>
      <c r="I14" s="10">
        <v>0.21322008616788624</v>
      </c>
      <c r="J14" s="10"/>
      <c r="K14" s="10">
        <v>0.25400636612035554</v>
      </c>
      <c r="L14" s="10">
        <v>0.2420696850042332</v>
      </c>
      <c r="M14" s="10">
        <v>0.28463673598306954</v>
      </c>
      <c r="N14" s="10"/>
      <c r="O14" s="64"/>
      <c r="P14" s="64"/>
      <c r="Q14" s="64"/>
      <c r="R14" s="60">
        <v>1</v>
      </c>
      <c r="S14" s="63">
        <v>41676</v>
      </c>
      <c r="T14" s="64" t="str">
        <f t="shared" si="2"/>
        <v/>
      </c>
      <c r="U14" s="64" t="str">
        <f t="shared" si="3"/>
        <v/>
      </c>
      <c r="V14" s="64" t="str">
        <f t="shared" si="4"/>
        <v/>
      </c>
      <c r="W14" s="64" t="str">
        <f t="shared" si="5"/>
        <v/>
      </c>
      <c r="X14" s="64">
        <f t="shared" si="6"/>
        <v>0.31328932925161324</v>
      </c>
      <c r="Y14" s="64">
        <f t="shared" si="7"/>
        <v>0.35622710810392372</v>
      </c>
      <c r="Z14" s="64">
        <f t="shared" si="8"/>
        <v>0.32917522687440443</v>
      </c>
      <c r="AA14" s="64" t="str">
        <f t="shared" si="9"/>
        <v/>
      </c>
      <c r="AB14" s="64">
        <f t="shared" si="10"/>
        <v>0.35441475901588904</v>
      </c>
      <c r="AC14" s="64">
        <f t="shared" si="11"/>
        <v>0.33527154882707005</v>
      </c>
      <c r="AD14" s="64">
        <f t="shared" si="12"/>
        <v>0.38433727573361631</v>
      </c>
      <c r="AE14" s="64" t="str">
        <f t="shared" si="13"/>
        <v/>
      </c>
      <c r="AG14" s="60">
        <v>1</v>
      </c>
      <c r="AH14" s="63">
        <v>41676</v>
      </c>
      <c r="AI14" s="64" t="str">
        <f t="shared" si="14"/>
        <v/>
      </c>
      <c r="AJ14" s="64" t="str">
        <f t="shared" si="15"/>
        <v/>
      </c>
      <c r="AK14" s="64" t="str">
        <f t="shared" si="16"/>
        <v/>
      </c>
      <c r="AL14" s="64" t="str">
        <f t="shared" si="17"/>
        <v/>
      </c>
      <c r="AM14" s="64">
        <f t="shared" si="18"/>
        <v>0.24448982251110826</v>
      </c>
      <c r="AN14" s="64">
        <f t="shared" si="19"/>
        <v>0.28553598967869909</v>
      </c>
      <c r="AO14" s="64">
        <f t="shared" si="20"/>
        <v>0.22153997748969698</v>
      </c>
      <c r="AP14" s="64" t="str">
        <f t="shared" si="21"/>
        <v/>
      </c>
      <c r="AQ14" s="64">
        <f t="shared" si="22"/>
        <v>0.28551590823846834</v>
      </c>
      <c r="AR14" s="64">
        <f t="shared" si="23"/>
        <v>0.30584937480226182</v>
      </c>
      <c r="AS14" s="64">
        <f t="shared" si="24"/>
        <v>0.28018146915870334</v>
      </c>
      <c r="AT14" s="64" t="str">
        <f t="shared" si="25"/>
        <v/>
      </c>
    </row>
    <row r="15" spans="1:46" x14ac:dyDescent="0.25">
      <c r="A15" s="60">
        <v>1</v>
      </c>
      <c r="B15" s="63">
        <v>41750</v>
      </c>
      <c r="C15" s="10">
        <v>0.26679841897233203</v>
      </c>
      <c r="D15" s="10">
        <v>0.25601018946027698</v>
      </c>
      <c r="E15" s="10">
        <v>0.22422810865530635</v>
      </c>
      <c r="F15" s="10">
        <v>0.27396798652064036</v>
      </c>
      <c r="G15" s="10">
        <v>0.28172699520279115</v>
      </c>
      <c r="H15" s="10">
        <v>0.27558756633813514</v>
      </c>
      <c r="I15" s="10">
        <v>0.24641333850329603</v>
      </c>
      <c r="J15" s="10">
        <v>0.26922346686918536</v>
      </c>
      <c r="K15" s="10">
        <v>0.25547723375881126</v>
      </c>
      <c r="L15" s="10">
        <v>0.24816983894582728</v>
      </c>
      <c r="M15" s="10">
        <v>0.29216262173442559</v>
      </c>
      <c r="N15" s="10">
        <v>0.25019669551534224</v>
      </c>
      <c r="O15" s="64"/>
      <c r="P15" s="64"/>
      <c r="Q15" s="64"/>
      <c r="R15" s="60">
        <v>1</v>
      </c>
      <c r="S15" s="63">
        <v>41750</v>
      </c>
      <c r="T15" s="64">
        <f t="shared" si="2"/>
        <v>0.37251895975469368</v>
      </c>
      <c r="U15" s="64">
        <f t="shared" si="3"/>
        <v>0.32475874675378441</v>
      </c>
      <c r="V15" s="64">
        <f t="shared" si="4"/>
        <v>0.33701826808154733</v>
      </c>
      <c r="W15" s="64">
        <f t="shared" si="5"/>
        <v>0.38079531180832327</v>
      </c>
      <c r="X15" s="64">
        <f t="shared" si="6"/>
        <v>0.36022221165576118</v>
      </c>
      <c r="Y15" s="64">
        <f t="shared" si="7"/>
        <v>0.36196247682035948</v>
      </c>
      <c r="Z15" s="64">
        <f t="shared" si="8"/>
        <v>0.38041991289148347</v>
      </c>
      <c r="AA15" s="64">
        <f t="shared" si="9"/>
        <v>0.38296528977854444</v>
      </c>
      <c r="AB15" s="64">
        <f t="shared" si="10"/>
        <v>0.35646705875778034</v>
      </c>
      <c r="AC15" s="64">
        <f t="shared" si="11"/>
        <v>0.34372038892055812</v>
      </c>
      <c r="AD15" s="64">
        <f t="shared" si="12"/>
        <v>0.39449927543884994</v>
      </c>
      <c r="AE15" s="64">
        <f t="shared" si="13"/>
        <v>0.35553565343821147</v>
      </c>
      <c r="AG15" s="60">
        <v>1</v>
      </c>
      <c r="AH15" s="63">
        <v>41750</v>
      </c>
      <c r="AI15" s="64">
        <f t="shared" si="14"/>
        <v>0.2705299838635275</v>
      </c>
      <c r="AJ15" s="64">
        <f t="shared" si="15"/>
        <v>0.33474799961434154</v>
      </c>
      <c r="AK15" s="64">
        <f t="shared" si="16"/>
        <v>0.2458686422141998</v>
      </c>
      <c r="AL15" s="64">
        <f t="shared" si="17"/>
        <v>0.29059822169274185</v>
      </c>
      <c r="AM15" s="64">
        <f t="shared" si="18"/>
        <v>0.28111606865978955</v>
      </c>
      <c r="AN15" s="64">
        <f t="shared" si="19"/>
        <v>0.29013320910800194</v>
      </c>
      <c r="AO15" s="64">
        <f t="shared" si="20"/>
        <v>0.25602843731240982</v>
      </c>
      <c r="AP15" s="64">
        <f t="shared" si="21"/>
        <v>0.33218300733034489</v>
      </c>
      <c r="AQ15" s="64">
        <f t="shared" si="22"/>
        <v>0.28716923731091082</v>
      </c>
      <c r="AR15" s="64">
        <f t="shared" si="23"/>
        <v>0.31355677636806084</v>
      </c>
      <c r="AS15" s="64">
        <f t="shared" si="24"/>
        <v>0.28758955623942684</v>
      </c>
      <c r="AT15" s="64">
        <f t="shared" si="25"/>
        <v>0.2584062557433171</v>
      </c>
    </row>
    <row r="16" spans="1:46" x14ac:dyDescent="0.25">
      <c r="A16" s="60">
        <v>1</v>
      </c>
      <c r="B16" s="63">
        <v>41817</v>
      </c>
      <c r="C16" s="10">
        <v>0.19842686231740392</v>
      </c>
      <c r="D16" s="10">
        <v>0.19979403316338784</v>
      </c>
      <c r="E16" s="10">
        <v>0.15007747443802449</v>
      </c>
      <c r="F16" s="10">
        <v>0.26325414258575019</v>
      </c>
      <c r="G16" s="10">
        <v>0.23388732498827164</v>
      </c>
      <c r="H16" s="10"/>
      <c r="I16" s="10"/>
      <c r="J16" s="10">
        <v>0.25216210446927595</v>
      </c>
      <c r="K16" s="10"/>
      <c r="L16" s="10">
        <v>0.1783733783472915</v>
      </c>
      <c r="M16" s="10">
        <v>0.18589227344958181</v>
      </c>
      <c r="N16" s="10">
        <v>0.22072627177722354</v>
      </c>
      <c r="O16" s="64"/>
      <c r="P16" s="64"/>
      <c r="Q16" s="64"/>
      <c r="R16" s="60">
        <v>1</v>
      </c>
      <c r="S16" s="63">
        <v>41817</v>
      </c>
      <c r="T16" s="64">
        <f t="shared" si="2"/>
        <v>0.27705474651082052</v>
      </c>
      <c r="U16" s="64">
        <f t="shared" si="3"/>
        <v>0.25344639584782436</v>
      </c>
      <c r="V16" s="64">
        <f t="shared" si="4"/>
        <v>0.22556873362789592</v>
      </c>
      <c r="W16" s="64">
        <f t="shared" si="5"/>
        <v>0.36590385827148875</v>
      </c>
      <c r="X16" s="64">
        <f t="shared" si="6"/>
        <v>0.29905337763205692</v>
      </c>
      <c r="Y16" s="64" t="str">
        <f t="shared" si="7"/>
        <v/>
      </c>
      <c r="Z16" s="64" t="str">
        <f t="shared" si="8"/>
        <v/>
      </c>
      <c r="AA16" s="64">
        <f t="shared" si="9"/>
        <v>0.35869582444745252</v>
      </c>
      <c r="AB16" s="64" t="str">
        <f t="shared" si="10"/>
        <v/>
      </c>
      <c r="AC16" s="64">
        <f t="shared" si="11"/>
        <v>0.24705083921172352</v>
      </c>
      <c r="AD16" s="64">
        <f t="shared" si="12"/>
        <v>0.25100530228744039</v>
      </c>
      <c r="AE16" s="64">
        <f t="shared" si="13"/>
        <v>0.31365745700859277</v>
      </c>
      <c r="AG16" s="60">
        <v>1</v>
      </c>
      <c r="AH16" s="63">
        <v>41817</v>
      </c>
      <c r="AI16" s="64">
        <f t="shared" si="14"/>
        <v>0.20120215130054622</v>
      </c>
      <c r="AJ16" s="64">
        <f t="shared" si="15"/>
        <v>0.26124215242105753</v>
      </c>
      <c r="AK16" s="64">
        <f t="shared" si="16"/>
        <v>0.16456163809389621</v>
      </c>
      <c r="AL16" s="64">
        <f t="shared" si="17"/>
        <v>0.27923403263360119</v>
      </c>
      <c r="AM16" s="64">
        <f t="shared" si="18"/>
        <v>0.23338013903399657</v>
      </c>
      <c r="AN16" s="64" t="str">
        <f t="shared" si="19"/>
        <v/>
      </c>
      <c r="AO16" s="64" t="str">
        <f t="shared" si="20"/>
        <v/>
      </c>
      <c r="AP16" s="64">
        <f t="shared" si="21"/>
        <v>0.31113174186280457</v>
      </c>
      <c r="AQ16" s="64" t="str">
        <f t="shared" si="22"/>
        <v/>
      </c>
      <c r="AR16" s="64">
        <f t="shared" si="23"/>
        <v>0.22537058387931713</v>
      </c>
      <c r="AS16" s="64">
        <f t="shared" si="24"/>
        <v>0.18298260096494792</v>
      </c>
      <c r="AT16" s="64">
        <f t="shared" si="25"/>
        <v>0.2279688359458632</v>
      </c>
    </row>
    <row r="17" spans="1:46" x14ac:dyDescent="0.25">
      <c r="A17" s="60">
        <v>1</v>
      </c>
      <c r="B17" s="63">
        <v>41820</v>
      </c>
      <c r="C17" s="10"/>
      <c r="D17" s="10"/>
      <c r="E17" s="10"/>
      <c r="F17" s="10"/>
      <c r="G17" s="10"/>
      <c r="H17" s="10">
        <v>0.23251686943512423</v>
      </c>
      <c r="I17" s="10">
        <v>0.13989024333254957</v>
      </c>
      <c r="J17" s="10"/>
      <c r="K17" s="10">
        <v>0.21662591658464919</v>
      </c>
      <c r="L17" s="10"/>
      <c r="M17" s="10"/>
      <c r="N17" s="10"/>
      <c r="O17" s="64"/>
      <c r="P17" s="64"/>
      <c r="Q17" s="64"/>
      <c r="R17" s="60">
        <v>1</v>
      </c>
      <c r="S17" s="63">
        <v>41820</v>
      </c>
      <c r="T17" s="64" t="str">
        <f t="shared" si="2"/>
        <v/>
      </c>
      <c r="U17" s="64" t="str">
        <f t="shared" si="3"/>
        <v/>
      </c>
      <c r="V17" s="64" t="str">
        <f t="shared" si="4"/>
        <v/>
      </c>
      <c r="W17" s="64" t="str">
        <f t="shared" si="5"/>
        <v/>
      </c>
      <c r="X17" s="64" t="str">
        <f t="shared" si="6"/>
        <v/>
      </c>
      <c r="Y17" s="64">
        <f t="shared" si="7"/>
        <v>0.30539252217202634</v>
      </c>
      <c r="Z17" s="64">
        <f t="shared" si="8"/>
        <v>0.21596653211297287</v>
      </c>
      <c r="AA17" s="64" t="str">
        <f t="shared" si="9"/>
        <v/>
      </c>
      <c r="AB17" s="64">
        <f t="shared" si="10"/>
        <v>0.30225786540549188</v>
      </c>
      <c r="AC17" s="64" t="str">
        <f t="shared" si="11"/>
        <v/>
      </c>
      <c r="AD17" s="64" t="str">
        <f t="shared" si="12"/>
        <v/>
      </c>
      <c r="AE17" s="64" t="str">
        <f t="shared" si="13"/>
        <v/>
      </c>
      <c r="AG17" s="60">
        <v>1</v>
      </c>
      <c r="AH17" s="63">
        <v>41820</v>
      </c>
      <c r="AI17" s="64" t="str">
        <f t="shared" si="14"/>
        <v/>
      </c>
      <c r="AJ17" s="64" t="str">
        <f t="shared" si="15"/>
        <v/>
      </c>
      <c r="AK17" s="64" t="str">
        <f t="shared" si="16"/>
        <v/>
      </c>
      <c r="AL17" s="64" t="str">
        <f t="shared" si="17"/>
        <v/>
      </c>
      <c r="AM17" s="64" t="str">
        <f t="shared" si="18"/>
        <v/>
      </c>
      <c r="AN17" s="64">
        <f t="shared" si="19"/>
        <v>0.24478922034598269</v>
      </c>
      <c r="AO17" s="64">
        <f t="shared" si="20"/>
        <v>0.14534878920609384</v>
      </c>
      <c r="AP17" s="64" t="str">
        <f t="shared" si="21"/>
        <v/>
      </c>
      <c r="AQ17" s="64">
        <f t="shared" si="22"/>
        <v>0.24349840622636371</v>
      </c>
      <c r="AR17" s="64" t="str">
        <f t="shared" si="23"/>
        <v/>
      </c>
      <c r="AS17" s="64" t="str">
        <f t="shared" si="24"/>
        <v/>
      </c>
      <c r="AT17" s="64" t="str">
        <f t="shared" si="25"/>
        <v/>
      </c>
    </row>
    <row r="18" spans="1:46" x14ac:dyDescent="0.25">
      <c r="A18" s="60">
        <v>2</v>
      </c>
      <c r="B18" s="62">
        <v>40835</v>
      </c>
      <c r="C18" s="10">
        <v>0.12466586237077999</v>
      </c>
      <c r="D18" s="10">
        <v>0.12916483193894002</v>
      </c>
      <c r="E18" s="10">
        <v>0.12345679012345701</v>
      </c>
      <c r="F18" s="10">
        <v>0.204726899059363</v>
      </c>
      <c r="G18" s="10">
        <v>0.13426823810234201</v>
      </c>
      <c r="H18" s="10">
        <v>9.8886028438755713E-2</v>
      </c>
      <c r="I18" s="10">
        <v>0.23050815499198699</v>
      </c>
      <c r="J18" s="10">
        <v>0.17251124271987797</v>
      </c>
      <c r="K18" s="10">
        <v>0.12506899493200899</v>
      </c>
      <c r="L18" s="10">
        <v>0.119700203745028</v>
      </c>
      <c r="M18" s="10">
        <v>0.10337379140094599</v>
      </c>
      <c r="N18" s="10">
        <v>0.18154478915596101</v>
      </c>
      <c r="O18" s="64"/>
      <c r="P18" s="64"/>
      <c r="Q18" s="64"/>
      <c r="R18" s="60">
        <v>2</v>
      </c>
      <c r="S18" s="62">
        <v>40835</v>
      </c>
      <c r="T18" s="64">
        <f t="shared" si="2"/>
        <v>0.18918772596133421</v>
      </c>
      <c r="U18" s="64">
        <f t="shared" si="3"/>
        <v>0.18811410185585234</v>
      </c>
      <c r="V18" s="64">
        <f t="shared" si="4"/>
        <v>0.19415031971510066</v>
      </c>
      <c r="W18" s="64">
        <f t="shared" si="5"/>
        <v>0.2812014719863834</v>
      </c>
      <c r="X18" s="64">
        <f t="shared" si="6"/>
        <v>0.16308661642806727</v>
      </c>
      <c r="Y18" s="64">
        <f t="shared" si="7"/>
        <v>0.15856787952941179</v>
      </c>
      <c r="Z18" s="64">
        <f t="shared" si="8"/>
        <v>0.37580931332872725</v>
      </c>
      <c r="AA18" s="64">
        <f t="shared" si="9"/>
        <v>0.22905541037737995</v>
      </c>
      <c r="AB18" s="64">
        <f t="shared" si="10"/>
        <v>0.20250504953730028</v>
      </c>
      <c r="AC18" s="64">
        <f t="shared" si="11"/>
        <v>0.18363889919722998</v>
      </c>
      <c r="AD18" s="64">
        <f t="shared" si="12"/>
        <v>0.16072032278483697</v>
      </c>
      <c r="AE18" s="64">
        <f t="shared" si="13"/>
        <v>0.28000792480067549</v>
      </c>
      <c r="AG18" s="60">
        <v>2</v>
      </c>
      <c r="AH18" s="62">
        <v>40835</v>
      </c>
      <c r="AI18" s="64">
        <f t="shared" si="14"/>
        <v>0.16831022775873927</v>
      </c>
      <c r="AJ18" s="64">
        <f t="shared" si="15"/>
        <v>0.17711806990141579</v>
      </c>
      <c r="AK18" s="64">
        <f t="shared" si="16"/>
        <v>0.18098234855308701</v>
      </c>
      <c r="AL18" s="64">
        <f t="shared" si="17"/>
        <v>0.25606927261629914</v>
      </c>
      <c r="AM18" s="64">
        <f t="shared" si="18"/>
        <v>0.16891267099802768</v>
      </c>
      <c r="AN18" s="64">
        <f t="shared" si="19"/>
        <v>0.13699156092634859</v>
      </c>
      <c r="AO18" s="64">
        <f t="shared" si="20"/>
        <v>0.28961114088536138</v>
      </c>
      <c r="AP18" s="64">
        <f t="shared" si="21"/>
        <v>0.25209326736361387</v>
      </c>
      <c r="AQ18" s="64">
        <f t="shared" si="22"/>
        <v>0.17120443030878582</v>
      </c>
      <c r="AR18" s="64">
        <f t="shared" si="23"/>
        <v>0.15449954267568505</v>
      </c>
      <c r="AS18" s="64">
        <f t="shared" si="24"/>
        <v>0.13662388594170319</v>
      </c>
      <c r="AT18" s="64">
        <f t="shared" si="25"/>
        <v>0.25672298047370556</v>
      </c>
    </row>
    <row r="19" spans="1:46" x14ac:dyDescent="0.25">
      <c r="A19" s="60">
        <v>2</v>
      </c>
      <c r="B19" s="62">
        <v>41016</v>
      </c>
      <c r="C19" s="10">
        <v>0.23155893536121688</v>
      </c>
      <c r="D19" s="10">
        <v>0.27565707133917405</v>
      </c>
      <c r="E19" s="10">
        <v>0.22114120431238504</v>
      </c>
      <c r="F19" s="10">
        <v>0.32945877224845627</v>
      </c>
      <c r="G19" s="10">
        <v>0.29514207149404198</v>
      </c>
      <c r="H19" s="10">
        <v>0.24262142691145691</v>
      </c>
      <c r="I19" s="10">
        <v>0.21412415179693381</v>
      </c>
      <c r="J19" s="10">
        <v>0.26644915715062528</v>
      </c>
      <c r="K19" s="10">
        <v>0.22193273330175267</v>
      </c>
      <c r="L19" s="10">
        <v>0.24246192104445125</v>
      </c>
      <c r="M19" s="10">
        <v>0.23633603238866407</v>
      </c>
      <c r="N19" s="10">
        <v>0.2372579001019369</v>
      </c>
      <c r="O19" s="64"/>
      <c r="P19" s="64"/>
      <c r="Q19" s="64"/>
      <c r="R19" s="60">
        <v>2</v>
      </c>
      <c r="S19" s="62">
        <v>41016</v>
      </c>
      <c r="T19" s="64">
        <f t="shared" si="2"/>
        <v>0.3514042062029985</v>
      </c>
      <c r="U19" s="64">
        <f t="shared" si="3"/>
        <v>0.40146363074816455</v>
      </c>
      <c r="V19" s="64">
        <f t="shared" si="4"/>
        <v>0.34777054770739824</v>
      </c>
      <c r="W19" s="64">
        <f t="shared" si="5"/>
        <v>0.45252622953190541</v>
      </c>
      <c r="X19" s="64">
        <f t="shared" si="6"/>
        <v>0.35848926362499461</v>
      </c>
      <c r="Y19" s="64">
        <f t="shared" si="7"/>
        <v>0.38905359838146591</v>
      </c>
      <c r="Z19" s="64">
        <f t="shared" si="8"/>
        <v>0.34909762935154803</v>
      </c>
      <c r="AA19" s="64">
        <f t="shared" si="9"/>
        <v>0.3537834408563505</v>
      </c>
      <c r="AB19" s="64">
        <f t="shared" si="10"/>
        <v>0.35934165118742561</v>
      </c>
      <c r="AC19" s="64">
        <f t="shared" si="11"/>
        <v>0.37197464068391922</v>
      </c>
      <c r="AD19" s="64">
        <f t="shared" si="12"/>
        <v>0.36744326483942985</v>
      </c>
      <c r="AE19" s="64">
        <f t="shared" si="13"/>
        <v>0.36593775320666078</v>
      </c>
      <c r="AG19" s="60">
        <v>2</v>
      </c>
      <c r="AH19" s="62">
        <v>41016</v>
      </c>
      <c r="AI19" s="64">
        <f t="shared" si="14"/>
        <v>0.31262557695467819</v>
      </c>
      <c r="AJ19" s="64">
        <f t="shared" si="15"/>
        <v>0.37799645381299957</v>
      </c>
      <c r="AK19" s="64">
        <f t="shared" si="16"/>
        <v>0.32418350159833875</v>
      </c>
      <c r="AL19" s="64">
        <f t="shared" si="17"/>
        <v>0.4120819909564436</v>
      </c>
      <c r="AM19" s="64">
        <f t="shared" si="18"/>
        <v>0.3712958204005799</v>
      </c>
      <c r="AN19" s="64">
        <f t="shared" si="19"/>
        <v>0.33611510656799826</v>
      </c>
      <c r="AO19" s="64">
        <f t="shared" si="20"/>
        <v>0.2690262298753639</v>
      </c>
      <c r="AP19" s="64">
        <f t="shared" si="21"/>
        <v>0.38936615117573636</v>
      </c>
      <c r="AQ19" s="64">
        <f t="shared" si="22"/>
        <v>0.30379925250421885</v>
      </c>
      <c r="AR19" s="64">
        <f t="shared" si="23"/>
        <v>0.31295064457391752</v>
      </c>
      <c r="AS19" s="64">
        <f t="shared" si="24"/>
        <v>0.31235332181777775</v>
      </c>
      <c r="AT19" s="64">
        <f t="shared" si="25"/>
        <v>0.33550704230224926</v>
      </c>
    </row>
    <row r="20" spans="1:46" x14ac:dyDescent="0.25">
      <c r="A20" s="60">
        <v>2</v>
      </c>
      <c r="B20" s="62">
        <v>41177</v>
      </c>
      <c r="C20" s="10">
        <v>0.11108812577575516</v>
      </c>
      <c r="D20" s="10">
        <v>0.10876664154734986</v>
      </c>
      <c r="E20" s="10">
        <v>0.10916085597499396</v>
      </c>
      <c r="F20" s="10">
        <v>0.11012624227773304</v>
      </c>
      <c r="G20" s="10">
        <v>9.8688597466103534E-2</v>
      </c>
      <c r="H20" s="10">
        <v>0.10577948389848568</v>
      </c>
      <c r="I20" s="10">
        <v>0.15896188158961891</v>
      </c>
      <c r="J20" s="10">
        <v>0.13223363980530017</v>
      </c>
      <c r="K20" s="10">
        <v>0.13059809303669448</v>
      </c>
      <c r="L20" s="10">
        <v>0.13019152141166337</v>
      </c>
      <c r="M20" s="10">
        <v>0.11756373937677071</v>
      </c>
      <c r="N20" s="10">
        <v>0.12071846282372602</v>
      </c>
      <c r="O20" s="64"/>
      <c r="P20" s="64"/>
      <c r="Q20" s="64"/>
      <c r="R20" s="60">
        <v>2</v>
      </c>
      <c r="S20" s="62">
        <v>41177</v>
      </c>
      <c r="T20" s="64">
        <f t="shared" si="2"/>
        <v>0.16858271781183126</v>
      </c>
      <c r="U20" s="64">
        <f t="shared" si="3"/>
        <v>0.15840642363262972</v>
      </c>
      <c r="V20" s="64">
        <f t="shared" si="4"/>
        <v>0.1716682822121447</v>
      </c>
      <c r="W20" s="64">
        <f t="shared" si="5"/>
        <v>0.1512632759794216</v>
      </c>
      <c r="X20" s="64">
        <f t="shared" si="6"/>
        <v>0.11987041513504168</v>
      </c>
      <c r="Y20" s="64">
        <f t="shared" si="7"/>
        <v>0.16962182347010527</v>
      </c>
      <c r="Z20" s="64">
        <f t="shared" si="8"/>
        <v>0.25916374007554666</v>
      </c>
      <c r="AA20" s="64">
        <f t="shared" si="9"/>
        <v>0.17557598075205089</v>
      </c>
      <c r="AB20" s="64">
        <f t="shared" si="10"/>
        <v>0.21145747044861096</v>
      </c>
      <c r="AC20" s="64">
        <f t="shared" si="11"/>
        <v>0.19973422708433389</v>
      </c>
      <c r="AD20" s="64">
        <f t="shared" si="12"/>
        <v>0.18278213350172359</v>
      </c>
      <c r="AE20" s="64">
        <f t="shared" si="13"/>
        <v>0.18619166332204873</v>
      </c>
      <c r="AG20" s="60">
        <v>2</v>
      </c>
      <c r="AH20" s="62">
        <v>41177</v>
      </c>
      <c r="AI20" s="64">
        <f t="shared" si="14"/>
        <v>0.14997905116157295</v>
      </c>
      <c r="AJ20" s="64">
        <f t="shared" si="15"/>
        <v>0.14914692591891157</v>
      </c>
      <c r="AK20" s="64">
        <f t="shared" si="16"/>
        <v>0.16002512348379919</v>
      </c>
      <c r="AL20" s="64">
        <f t="shared" si="17"/>
        <v>0.13774421869130407</v>
      </c>
      <c r="AM20" s="64">
        <f t="shared" si="18"/>
        <v>0.12415262783401317</v>
      </c>
      <c r="AN20" s="64">
        <f t="shared" si="19"/>
        <v>0.14654139560485974</v>
      </c>
      <c r="AO20" s="64">
        <f t="shared" si="20"/>
        <v>0.19972018727950694</v>
      </c>
      <c r="AP20" s="64">
        <f t="shared" si="21"/>
        <v>0.19323500189509812</v>
      </c>
      <c r="AQ20" s="64">
        <f t="shared" si="22"/>
        <v>0.17877310143825856</v>
      </c>
      <c r="AR20" s="64">
        <f t="shared" si="23"/>
        <v>0.16804090460196186</v>
      </c>
      <c r="AS20" s="64">
        <f t="shared" si="24"/>
        <v>0.15537801895253942</v>
      </c>
      <c r="AT20" s="64">
        <f t="shared" si="25"/>
        <v>0.17070830685031296</v>
      </c>
    </row>
    <row r="21" spans="1:46" x14ac:dyDescent="0.25">
      <c r="A21" s="60">
        <v>2</v>
      </c>
      <c r="B21" s="63">
        <v>41362</v>
      </c>
      <c r="C21" s="10">
        <v>0.24185421565334211</v>
      </c>
      <c r="D21" s="10">
        <v>0.25817293003360814</v>
      </c>
      <c r="E21" s="10">
        <v>0.21623731459797033</v>
      </c>
      <c r="F21" s="10">
        <v>0.28571428571428592</v>
      </c>
      <c r="G21" s="10">
        <v>0.28378378378378399</v>
      </c>
      <c r="H21" s="10">
        <v>0.25013609145345683</v>
      </c>
      <c r="I21" s="10">
        <v>0.21230851921526464</v>
      </c>
      <c r="J21" s="10">
        <v>0.26459542505974737</v>
      </c>
      <c r="K21" s="10">
        <v>0.25473126419379277</v>
      </c>
      <c r="L21" s="10">
        <v>0.21730769230769229</v>
      </c>
      <c r="M21" s="10">
        <v>0.27425687044307351</v>
      </c>
      <c r="N21" s="10">
        <v>0.27841409691629954</v>
      </c>
      <c r="O21" s="64"/>
      <c r="P21" s="64"/>
      <c r="Q21" s="64"/>
      <c r="R21" s="60">
        <v>2</v>
      </c>
      <c r="S21" s="63">
        <v>41362</v>
      </c>
      <c r="T21" s="64">
        <f t="shared" si="2"/>
        <v>0.36702789523511509</v>
      </c>
      <c r="U21" s="64">
        <f t="shared" si="3"/>
        <v>0.37599993843312202</v>
      </c>
      <c r="V21" s="64">
        <f t="shared" si="4"/>
        <v>0.34005860448459846</v>
      </c>
      <c r="W21" s="64">
        <f t="shared" si="5"/>
        <v>0.39244123795915464</v>
      </c>
      <c r="X21" s="64">
        <f t="shared" si="6"/>
        <v>0.3446931139378992</v>
      </c>
      <c r="Y21" s="64">
        <f t="shared" si="7"/>
        <v>0.40110367704892685</v>
      </c>
      <c r="Z21" s="64">
        <f t="shared" si="8"/>
        <v>0.34613751007161159</v>
      </c>
      <c r="AA21" s="64">
        <f t="shared" si="9"/>
        <v>0.35132210930420793</v>
      </c>
      <c r="AB21" s="64">
        <f t="shared" si="10"/>
        <v>0.41244728401556147</v>
      </c>
      <c r="AC21" s="64">
        <f t="shared" si="11"/>
        <v>0.33338410590744344</v>
      </c>
      <c r="AD21" s="64">
        <f t="shared" si="12"/>
        <v>0.42640065867959076</v>
      </c>
      <c r="AE21" s="64">
        <f t="shared" si="13"/>
        <v>0.42941553913626845</v>
      </c>
      <c r="AG21" s="60">
        <v>2</v>
      </c>
      <c r="AH21" s="63">
        <v>41362</v>
      </c>
      <c r="AI21" s="64">
        <f t="shared" si="14"/>
        <v>0.32652513965656665</v>
      </c>
      <c r="AJ21" s="64">
        <f t="shared" si="15"/>
        <v>0.35402121755527438</v>
      </c>
      <c r="AK21" s="64">
        <f t="shared" si="16"/>
        <v>0.31699461003010193</v>
      </c>
      <c r="AL21" s="64">
        <f t="shared" si="17"/>
        <v>0.35736705657681206</v>
      </c>
      <c r="AM21" s="64">
        <f t="shared" si="18"/>
        <v>0.35700682143686829</v>
      </c>
      <c r="AN21" s="64">
        <f t="shared" si="19"/>
        <v>0.34652553200119313</v>
      </c>
      <c r="AO21" s="64">
        <f t="shared" si="20"/>
        <v>0.26674506362584827</v>
      </c>
      <c r="AP21" s="64">
        <f t="shared" si="21"/>
        <v>0.38665726465774275</v>
      </c>
      <c r="AQ21" s="64">
        <f t="shared" si="22"/>
        <v>0.3486965014138263</v>
      </c>
      <c r="AR21" s="64">
        <f t="shared" si="23"/>
        <v>0.28048355834850869</v>
      </c>
      <c r="AS21" s="64">
        <f t="shared" si="24"/>
        <v>0.36247136608167441</v>
      </c>
      <c r="AT21" s="64">
        <f t="shared" si="25"/>
        <v>0.39370613223629747</v>
      </c>
    </row>
    <row r="22" spans="1:46" x14ac:dyDescent="0.25">
      <c r="A22" s="60">
        <v>2</v>
      </c>
      <c r="B22" s="63">
        <v>41435</v>
      </c>
      <c r="C22" s="10">
        <v>0.14741784037558675</v>
      </c>
      <c r="D22" s="10">
        <v>0.14229316855475466</v>
      </c>
      <c r="E22" s="10"/>
      <c r="F22" s="10"/>
      <c r="G22" s="10"/>
      <c r="H22" s="10"/>
      <c r="I22" s="10"/>
      <c r="J22" s="10"/>
      <c r="K22" s="10"/>
      <c r="L22" s="10"/>
      <c r="M22" s="10">
        <v>0.23274266067177987</v>
      </c>
      <c r="N22" s="10"/>
      <c r="O22" s="64"/>
      <c r="P22" s="64"/>
      <c r="Q22" s="64"/>
      <c r="R22" s="60">
        <v>2</v>
      </c>
      <c r="S22" s="63">
        <v>41435</v>
      </c>
      <c r="T22" s="64">
        <f t="shared" si="2"/>
        <v>0.22371518117637612</v>
      </c>
      <c r="U22" s="64">
        <f t="shared" si="3"/>
        <v>0.20723405280746071</v>
      </c>
      <c r="V22" s="64" t="str">
        <f t="shared" si="4"/>
        <v/>
      </c>
      <c r="W22" s="64" t="str">
        <f t="shared" si="5"/>
        <v/>
      </c>
      <c r="X22" s="64" t="str">
        <f t="shared" si="6"/>
        <v/>
      </c>
      <c r="Y22" s="64" t="str">
        <f t="shared" si="7"/>
        <v/>
      </c>
      <c r="Z22" s="64" t="str">
        <f t="shared" si="8"/>
        <v/>
      </c>
      <c r="AA22" s="64" t="str">
        <f t="shared" si="9"/>
        <v/>
      </c>
      <c r="AB22" s="64" t="str">
        <f t="shared" si="10"/>
        <v/>
      </c>
      <c r="AC22" s="64" t="str">
        <f t="shared" si="11"/>
        <v/>
      </c>
      <c r="AD22" s="64">
        <f t="shared" si="12"/>
        <v>0.36185647292247741</v>
      </c>
      <c r="AE22" s="64" t="str">
        <f t="shared" si="13"/>
        <v/>
      </c>
      <c r="AG22" s="60">
        <v>2</v>
      </c>
      <c r="AH22" s="63">
        <v>41435</v>
      </c>
      <c r="AI22" s="64">
        <f t="shared" si="14"/>
        <v>0.19902746283117245</v>
      </c>
      <c r="AJ22" s="64">
        <f t="shared" si="15"/>
        <v>0.19512038219884051</v>
      </c>
      <c r="AK22" s="64" t="str">
        <f t="shared" si="16"/>
        <v/>
      </c>
      <c r="AL22" s="64" t="str">
        <f t="shared" si="17"/>
        <v/>
      </c>
      <c r="AM22" s="64" t="str">
        <f t="shared" si="18"/>
        <v/>
      </c>
      <c r="AN22" s="64" t="str">
        <f t="shared" si="19"/>
        <v/>
      </c>
      <c r="AO22" s="64" t="str">
        <f t="shared" si="20"/>
        <v/>
      </c>
      <c r="AP22" s="64" t="str">
        <f t="shared" si="21"/>
        <v/>
      </c>
      <c r="AQ22" s="64" t="str">
        <f t="shared" si="22"/>
        <v/>
      </c>
      <c r="AR22" s="64" t="str">
        <f t="shared" si="23"/>
        <v/>
      </c>
      <c r="AS22" s="64">
        <f t="shared" si="24"/>
        <v>0.30760414505894568</v>
      </c>
      <c r="AT22" s="64" t="str">
        <f t="shared" si="25"/>
        <v/>
      </c>
    </row>
    <row r="23" spans="1:46" x14ac:dyDescent="0.25">
      <c r="A23" s="60">
        <v>2</v>
      </c>
      <c r="B23" s="63">
        <v>41527</v>
      </c>
      <c r="C23" s="10">
        <v>0.16360627314997234</v>
      </c>
      <c r="D23" s="10">
        <v>0.10642655969958179</v>
      </c>
      <c r="E23" s="10">
        <v>0.13627209666592066</v>
      </c>
      <c r="F23" s="10">
        <v>0.14919782316771493</v>
      </c>
      <c r="G23" s="10">
        <v>7.3117450526856809E-2</v>
      </c>
      <c r="H23" s="10">
        <v>0.13093762907889309</v>
      </c>
      <c r="I23" s="10">
        <v>0.18211021877596231</v>
      </c>
      <c r="J23" s="10">
        <v>0.18539724601334379</v>
      </c>
      <c r="K23" s="10">
        <v>0.12654914941113077</v>
      </c>
      <c r="L23" s="10">
        <v>0.14003860175852456</v>
      </c>
      <c r="M23" s="10">
        <v>0.11735526401670923</v>
      </c>
      <c r="N23" s="10">
        <v>0.1896551724137932</v>
      </c>
      <c r="O23" s="64"/>
      <c r="P23" s="64"/>
      <c r="Q23" s="64"/>
      <c r="R23" s="60">
        <v>2</v>
      </c>
      <c r="S23" s="63">
        <v>41527</v>
      </c>
      <c r="T23" s="64">
        <f t="shared" si="2"/>
        <v>0.2482820732286288</v>
      </c>
      <c r="U23" s="64">
        <f t="shared" si="3"/>
        <v>0.15499835668085934</v>
      </c>
      <c r="V23" s="64">
        <f t="shared" si="4"/>
        <v>0.21430389620107798</v>
      </c>
      <c r="W23" s="64">
        <f t="shared" si="5"/>
        <v>0.20492982448662167</v>
      </c>
      <c r="X23" s="64">
        <f t="shared" si="6"/>
        <v>8.8810859342494677E-2</v>
      </c>
      <c r="Y23" s="64">
        <f t="shared" si="7"/>
        <v>0.20996396074808299</v>
      </c>
      <c r="Z23" s="64">
        <f t="shared" si="8"/>
        <v>0.29690366603610091</v>
      </c>
      <c r="AA23" s="64">
        <f t="shared" si="9"/>
        <v>0.2461650707448603</v>
      </c>
      <c r="AB23" s="64">
        <f t="shared" si="10"/>
        <v>0.2049016367672557</v>
      </c>
      <c r="AC23" s="64">
        <f t="shared" si="11"/>
        <v>0.21484119381144257</v>
      </c>
      <c r="AD23" s="64">
        <f t="shared" si="12"/>
        <v>0.18245800659578659</v>
      </c>
      <c r="AE23" s="64">
        <f t="shared" si="13"/>
        <v>0.29251707802904381</v>
      </c>
      <c r="AG23" s="60">
        <v>2</v>
      </c>
      <c r="AH23" s="63">
        <v>41527</v>
      </c>
      <c r="AI23" s="64">
        <f t="shared" si="14"/>
        <v>0.22088331619390109</v>
      </c>
      <c r="AJ23" s="64">
        <f t="shared" si="15"/>
        <v>0.14593807429834077</v>
      </c>
      <c r="AK23" s="64">
        <f t="shared" si="16"/>
        <v>0.19976903718449776</v>
      </c>
      <c r="AL23" s="64">
        <f t="shared" si="17"/>
        <v>0.18661435419589881</v>
      </c>
      <c r="AM23" s="64">
        <f t="shared" si="18"/>
        <v>9.1983510319423062E-2</v>
      </c>
      <c r="AN23" s="64">
        <f t="shared" si="19"/>
        <v>0.18139418151091155</v>
      </c>
      <c r="AO23" s="64">
        <f t="shared" si="20"/>
        <v>0.22880382790978745</v>
      </c>
      <c r="AP23" s="64">
        <f t="shared" si="21"/>
        <v>0.2709237773193211</v>
      </c>
      <c r="AQ23" s="64">
        <f t="shared" si="22"/>
        <v>0.1732305839890389</v>
      </c>
      <c r="AR23" s="64">
        <f t="shared" si="23"/>
        <v>0.18075073601980499</v>
      </c>
      <c r="AS23" s="64">
        <f t="shared" si="24"/>
        <v>0.1551024876652693</v>
      </c>
      <c r="AT23" s="64">
        <f t="shared" si="25"/>
        <v>0.26819189551343176</v>
      </c>
    </row>
    <row r="24" spans="1:46" x14ac:dyDescent="0.25">
      <c r="A24" s="60">
        <v>2</v>
      </c>
      <c r="B24" s="63">
        <v>41675</v>
      </c>
      <c r="C24" s="10">
        <v>0.19061133339536629</v>
      </c>
      <c r="D24" s="10">
        <v>0.20674330410049802</v>
      </c>
      <c r="E24" s="10">
        <v>0.188531449804171</v>
      </c>
      <c r="F24" s="10">
        <v>0.26100358422939085</v>
      </c>
      <c r="G24" s="10"/>
      <c r="H24" s="10"/>
      <c r="I24" s="10"/>
      <c r="J24" s="10">
        <v>0.27323430338505728</v>
      </c>
      <c r="K24" s="10"/>
      <c r="L24" s="10"/>
      <c r="M24" s="10"/>
      <c r="N24" s="10">
        <v>0.23532673267326704</v>
      </c>
      <c r="O24" s="64"/>
      <c r="P24" s="64"/>
      <c r="Q24" s="64"/>
      <c r="R24" s="60">
        <v>2</v>
      </c>
      <c r="S24" s="63">
        <v>41675</v>
      </c>
      <c r="T24" s="64">
        <f t="shared" si="2"/>
        <v>0.28926382910081533</v>
      </c>
      <c r="U24" s="64">
        <f t="shared" si="3"/>
        <v>0.3010984521232653</v>
      </c>
      <c r="V24" s="64">
        <f t="shared" si="4"/>
        <v>0.29648787417223266</v>
      </c>
      <c r="W24" s="64">
        <f t="shared" si="5"/>
        <v>0.35849999397365495</v>
      </c>
      <c r="X24" s="64" t="str">
        <f t="shared" si="6"/>
        <v/>
      </c>
      <c r="Y24" s="64" t="str">
        <f t="shared" si="7"/>
        <v/>
      </c>
      <c r="Z24" s="64" t="str">
        <f t="shared" si="8"/>
        <v/>
      </c>
      <c r="AA24" s="64">
        <f t="shared" si="9"/>
        <v>0.36279256067193266</v>
      </c>
      <c r="AB24" s="64" t="str">
        <f t="shared" si="10"/>
        <v/>
      </c>
      <c r="AC24" s="64" t="str">
        <f t="shared" si="11"/>
        <v/>
      </c>
      <c r="AD24" s="64" t="str">
        <f t="shared" si="12"/>
        <v/>
      </c>
      <c r="AE24" s="64">
        <f t="shared" si="13"/>
        <v>0.36295919245226776</v>
      </c>
      <c r="AG24" s="60">
        <v>2</v>
      </c>
      <c r="AH24" s="63">
        <v>41675</v>
      </c>
      <c r="AI24" s="64">
        <f t="shared" si="14"/>
        <v>0.25734259826281553</v>
      </c>
      <c r="AJ24" s="64">
        <f t="shared" si="15"/>
        <v>0.28349802680525343</v>
      </c>
      <c r="AK24" s="64">
        <f t="shared" si="16"/>
        <v>0.27637900294958567</v>
      </c>
      <c r="AL24" s="64">
        <f t="shared" si="17"/>
        <v>0.32645928928219387</v>
      </c>
      <c r="AM24" s="64" t="str">
        <f t="shared" si="18"/>
        <v/>
      </c>
      <c r="AN24" s="64" t="str">
        <f t="shared" si="19"/>
        <v/>
      </c>
      <c r="AO24" s="64" t="str">
        <f t="shared" si="20"/>
        <v/>
      </c>
      <c r="AP24" s="64">
        <f t="shared" si="21"/>
        <v>0.39928138717316847</v>
      </c>
      <c r="AQ24" s="64" t="str">
        <f t="shared" si="22"/>
        <v/>
      </c>
      <c r="AR24" s="64" t="str">
        <f t="shared" si="23"/>
        <v/>
      </c>
      <c r="AS24" s="64" t="str">
        <f t="shared" si="24"/>
        <v/>
      </c>
      <c r="AT24" s="64">
        <f t="shared" si="25"/>
        <v>0.33277617318511937</v>
      </c>
    </row>
    <row r="25" spans="1:46" x14ac:dyDescent="0.25">
      <c r="A25" s="60">
        <v>2</v>
      </c>
      <c r="B25" s="63">
        <v>41676</v>
      </c>
      <c r="C25" s="10"/>
      <c r="D25" s="10"/>
      <c r="E25" s="10"/>
      <c r="F25" s="10"/>
      <c r="G25" s="10">
        <v>0.28020848276191829</v>
      </c>
      <c r="H25" s="10"/>
      <c r="I25" s="10">
        <v>0.20464465123939751</v>
      </c>
      <c r="J25" s="10"/>
      <c r="K25" s="10">
        <v>0.20831042337601116</v>
      </c>
      <c r="L25" s="10">
        <v>0.20155862557562895</v>
      </c>
      <c r="M25" s="10">
        <v>0.20829041163624382</v>
      </c>
      <c r="N25" s="10"/>
      <c r="O25" s="64"/>
      <c r="P25" s="64"/>
      <c r="Q25" s="64"/>
      <c r="R25" s="60">
        <v>2</v>
      </c>
      <c r="S25" s="63">
        <v>41676</v>
      </c>
      <c r="T25" s="64" t="str">
        <f t="shared" si="2"/>
        <v/>
      </c>
      <c r="U25" s="64" t="str">
        <f t="shared" si="3"/>
        <v/>
      </c>
      <c r="V25" s="64" t="str">
        <f t="shared" si="4"/>
        <v/>
      </c>
      <c r="W25" s="64" t="str">
        <f t="shared" si="5"/>
        <v/>
      </c>
      <c r="X25" s="64">
        <f t="shared" si="6"/>
        <v>0.340350435769117</v>
      </c>
      <c r="Y25" s="64" t="str">
        <f t="shared" si="7"/>
        <v/>
      </c>
      <c r="Z25" s="64">
        <f t="shared" si="8"/>
        <v>0.33364271151859393</v>
      </c>
      <c r="AA25" s="64" t="str">
        <f t="shared" si="9"/>
        <v/>
      </c>
      <c r="AB25" s="64">
        <f t="shared" si="10"/>
        <v>0.3372851331205427</v>
      </c>
      <c r="AC25" s="64">
        <f t="shared" si="11"/>
        <v>0.30922256576319818</v>
      </c>
      <c r="AD25" s="64">
        <f t="shared" si="12"/>
        <v>0.32383935751491955</v>
      </c>
      <c r="AE25" s="64" t="str">
        <f t="shared" si="13"/>
        <v/>
      </c>
      <c r="AG25" s="60">
        <v>2</v>
      </c>
      <c r="AH25" s="63">
        <v>41676</v>
      </c>
      <c r="AI25" s="64" t="str">
        <f t="shared" si="14"/>
        <v/>
      </c>
      <c r="AJ25" s="64" t="str">
        <f t="shared" si="15"/>
        <v/>
      </c>
      <c r="AK25" s="64" t="str">
        <f t="shared" si="16"/>
        <v/>
      </c>
      <c r="AL25" s="64" t="str">
        <f t="shared" si="17"/>
        <v/>
      </c>
      <c r="AM25" s="64">
        <f t="shared" si="18"/>
        <v>0.35250900681026237</v>
      </c>
      <c r="AN25" s="64" t="str">
        <f t="shared" si="19"/>
        <v/>
      </c>
      <c r="AO25" s="64">
        <f t="shared" si="20"/>
        <v>0.25711615679535971</v>
      </c>
      <c r="AP25" s="64" t="str">
        <f t="shared" si="21"/>
        <v/>
      </c>
      <c r="AQ25" s="64">
        <f t="shared" si="22"/>
        <v>0.2851519465784445</v>
      </c>
      <c r="AR25" s="64">
        <f t="shared" si="23"/>
        <v>0.26015591034503815</v>
      </c>
      <c r="AS25" s="64">
        <f t="shared" si="24"/>
        <v>0.27528685033680755</v>
      </c>
      <c r="AT25" s="64" t="str">
        <f t="shared" si="25"/>
        <v/>
      </c>
    </row>
    <row r="26" spans="1:46" x14ac:dyDescent="0.25">
      <c r="A26" s="60">
        <v>2</v>
      </c>
      <c r="B26" s="63">
        <v>41750</v>
      </c>
      <c r="C26" s="10">
        <v>0.24548032612548756</v>
      </c>
      <c r="D26" s="10">
        <v>0.25477249892349646</v>
      </c>
      <c r="E26" s="10">
        <v>0.21277700831024915</v>
      </c>
      <c r="F26" s="10">
        <v>0.29894566098945646</v>
      </c>
      <c r="G26" s="10">
        <v>0.27200133089336231</v>
      </c>
      <c r="H26" s="10">
        <v>0.25556717979375271</v>
      </c>
      <c r="I26" s="10">
        <v>0.24809305873379067</v>
      </c>
      <c r="J26" s="10">
        <v>0.31274834437086085</v>
      </c>
      <c r="K26" s="10">
        <v>0.22790981109079825</v>
      </c>
      <c r="L26" s="10">
        <v>0.2312173563680191</v>
      </c>
      <c r="M26" s="10">
        <v>0.26908615334314212</v>
      </c>
      <c r="N26" s="10">
        <v>0.22908962845571415</v>
      </c>
      <c r="O26" s="64"/>
      <c r="P26" s="64"/>
      <c r="Q26" s="64"/>
      <c r="R26" s="60">
        <v>2</v>
      </c>
      <c r="S26" s="63">
        <v>41750</v>
      </c>
      <c r="T26" s="64">
        <f t="shared" si="2"/>
        <v>0.37253072962188116</v>
      </c>
      <c r="U26" s="64">
        <f t="shared" si="3"/>
        <v>0.37104759161704948</v>
      </c>
      <c r="V26" s="64">
        <f t="shared" si="4"/>
        <v>0.3346168659508052</v>
      </c>
      <c r="W26" s="64">
        <f t="shared" si="5"/>
        <v>0.4106151184842699</v>
      </c>
      <c r="X26" s="64">
        <f t="shared" si="6"/>
        <v>0.33038175927740743</v>
      </c>
      <c r="Y26" s="64">
        <f t="shared" si="7"/>
        <v>0.40981265419417651</v>
      </c>
      <c r="Z26" s="64">
        <f t="shared" si="8"/>
        <v>0.40447888729841497</v>
      </c>
      <c r="AA26" s="64">
        <f t="shared" si="9"/>
        <v>0.4152581549773926</v>
      </c>
      <c r="AB26" s="64">
        <f t="shared" si="10"/>
        <v>0.36901941692318591</v>
      </c>
      <c r="AC26" s="64">
        <f t="shared" si="11"/>
        <v>0.35472371366352284</v>
      </c>
      <c r="AD26" s="64">
        <f t="shared" si="12"/>
        <v>0.41836149023981883</v>
      </c>
      <c r="AE26" s="64">
        <f t="shared" si="13"/>
        <v>0.35333931508293054</v>
      </c>
      <c r="AG26" s="60">
        <v>2</v>
      </c>
      <c r="AH26" s="63">
        <v>41750</v>
      </c>
      <c r="AI26" s="64">
        <f t="shared" si="14"/>
        <v>0.33142071786730382</v>
      </c>
      <c r="AJ26" s="64">
        <f t="shared" si="15"/>
        <v>0.34935835548968969</v>
      </c>
      <c r="AK26" s="64">
        <f t="shared" si="16"/>
        <v>0.3119219497249171</v>
      </c>
      <c r="AL26" s="64">
        <f t="shared" si="17"/>
        <v>0.37391665830474019</v>
      </c>
      <c r="AM26" s="64">
        <f t="shared" si="18"/>
        <v>0.34218421248066389</v>
      </c>
      <c r="AN26" s="64">
        <f t="shared" si="19"/>
        <v>0.3540494793273497</v>
      </c>
      <c r="AO26" s="64">
        <f t="shared" si="20"/>
        <v>0.31170486696286204</v>
      </c>
      <c r="AP26" s="64">
        <f t="shared" si="21"/>
        <v>0.45702384813860197</v>
      </c>
      <c r="AQ26" s="64">
        <f t="shared" si="22"/>
        <v>0.31198115400859361</v>
      </c>
      <c r="AR26" s="64">
        <f t="shared" si="23"/>
        <v>0.29843705106495</v>
      </c>
      <c r="AS26" s="64">
        <f t="shared" si="24"/>
        <v>0.35563749210139423</v>
      </c>
      <c r="AT26" s="64">
        <f t="shared" si="25"/>
        <v>0.32395626713493947</v>
      </c>
    </row>
    <row r="27" spans="1:46" x14ac:dyDescent="0.25">
      <c r="A27" s="60">
        <v>2</v>
      </c>
      <c r="B27" s="63">
        <v>41817</v>
      </c>
      <c r="C27" s="10">
        <v>0.19846965184020171</v>
      </c>
      <c r="D27" s="10">
        <v>0.20946170985122198</v>
      </c>
      <c r="E27" s="10">
        <v>0.19053482017024156</v>
      </c>
      <c r="F27" s="10">
        <v>0.34552780424542157</v>
      </c>
      <c r="G27" s="10">
        <v>0.22053949789841151</v>
      </c>
      <c r="H27" s="10"/>
      <c r="I27" s="10"/>
      <c r="J27" s="10">
        <v>0.23172053093575448</v>
      </c>
      <c r="K27" s="10"/>
      <c r="L27" s="10">
        <v>0.19453289571639354</v>
      </c>
      <c r="M27" s="10">
        <v>0.20367225105960288</v>
      </c>
      <c r="N27" s="10">
        <v>0.26117516267158081</v>
      </c>
      <c r="O27" s="64"/>
      <c r="P27" s="64"/>
      <c r="Q27" s="64"/>
      <c r="R27" s="60">
        <v>2</v>
      </c>
      <c r="S27" s="63">
        <v>41817</v>
      </c>
      <c r="T27" s="64">
        <f t="shared" si="2"/>
        <v>0.30118928622424745</v>
      </c>
      <c r="U27" s="64">
        <f t="shared" si="3"/>
        <v>0.3050575054398752</v>
      </c>
      <c r="V27" s="64">
        <f t="shared" si="4"/>
        <v>0.29963840964858351</v>
      </c>
      <c r="W27" s="64">
        <f t="shared" si="5"/>
        <v>0.47459775736583554</v>
      </c>
      <c r="X27" s="64">
        <f t="shared" si="6"/>
        <v>0.26787452497575759</v>
      </c>
      <c r="Y27" s="64" t="str">
        <f t="shared" si="7"/>
        <v/>
      </c>
      <c r="Z27" s="64" t="str">
        <f t="shared" si="8"/>
        <v/>
      </c>
      <c r="AA27" s="64">
        <f t="shared" si="9"/>
        <v>0.30767178109393861</v>
      </c>
      <c r="AB27" s="64" t="str">
        <f t="shared" si="10"/>
        <v/>
      </c>
      <c r="AC27" s="64">
        <f t="shared" si="11"/>
        <v>0.29844399348812223</v>
      </c>
      <c r="AD27" s="64">
        <f t="shared" si="12"/>
        <v>0.31665927590534487</v>
      </c>
      <c r="AE27" s="64">
        <f t="shared" si="13"/>
        <v>0.40282684867546875</v>
      </c>
      <c r="AG27" s="60">
        <v>2</v>
      </c>
      <c r="AH27" s="63">
        <v>41817</v>
      </c>
      <c r="AI27" s="64">
        <f t="shared" si="14"/>
        <v>0.2679520413140109</v>
      </c>
      <c r="AJ27" s="64">
        <f t="shared" si="15"/>
        <v>0.28722565740368711</v>
      </c>
      <c r="AK27" s="64">
        <f t="shared" si="16"/>
        <v>0.27931585780795781</v>
      </c>
      <c r="AL27" s="64">
        <f t="shared" si="17"/>
        <v>0.43218089029022294</v>
      </c>
      <c r="AM27" s="64">
        <f t="shared" si="18"/>
        <v>0.27744398956207666</v>
      </c>
      <c r="AN27" s="64" t="str">
        <f t="shared" si="19"/>
        <v/>
      </c>
      <c r="AO27" s="64" t="str">
        <f t="shared" si="20"/>
        <v/>
      </c>
      <c r="AP27" s="64">
        <f t="shared" si="21"/>
        <v>0.33861668861593974</v>
      </c>
      <c r="AQ27" s="64" t="str">
        <f t="shared" si="22"/>
        <v/>
      </c>
      <c r="AR27" s="64">
        <f t="shared" si="23"/>
        <v>0.2510876546841963</v>
      </c>
      <c r="AS27" s="64">
        <f t="shared" si="24"/>
        <v>0.26918326222871297</v>
      </c>
      <c r="AT27" s="64">
        <f t="shared" si="25"/>
        <v>0.36932850839994236</v>
      </c>
    </row>
    <row r="28" spans="1:46" x14ac:dyDescent="0.25">
      <c r="A28" s="60">
        <v>2</v>
      </c>
      <c r="B28" s="63">
        <v>41820</v>
      </c>
      <c r="C28" s="10"/>
      <c r="D28" s="10"/>
      <c r="E28" s="10"/>
      <c r="F28" s="10"/>
      <c r="G28" s="10"/>
      <c r="H28" s="10">
        <v>0.20969478354563331</v>
      </c>
      <c r="I28" s="10">
        <v>0.22530175128792723</v>
      </c>
      <c r="J28" s="10"/>
      <c r="K28" s="10">
        <v>0.18322627475264222</v>
      </c>
      <c r="L28" s="10"/>
      <c r="M28" s="10"/>
      <c r="N28" s="10"/>
      <c r="O28" s="64"/>
      <c r="P28" s="64"/>
      <c r="Q28" s="64"/>
      <c r="R28" s="60">
        <v>2</v>
      </c>
      <c r="S28" s="63">
        <v>41820</v>
      </c>
      <c r="T28" s="64" t="str">
        <f t="shared" si="2"/>
        <v/>
      </c>
      <c r="U28" s="64" t="str">
        <f t="shared" si="3"/>
        <v/>
      </c>
      <c r="V28" s="64" t="str">
        <f t="shared" si="4"/>
        <v/>
      </c>
      <c r="W28" s="64" t="str">
        <f t="shared" si="5"/>
        <v/>
      </c>
      <c r="X28" s="64" t="str">
        <f t="shared" si="6"/>
        <v/>
      </c>
      <c r="Y28" s="64">
        <f t="shared" si="7"/>
        <v>0.33625434957986727</v>
      </c>
      <c r="Z28" s="64">
        <f t="shared" si="8"/>
        <v>0.3673210453062668</v>
      </c>
      <c r="AA28" s="64" t="str">
        <f t="shared" si="9"/>
        <v/>
      </c>
      <c r="AB28" s="64">
        <f t="shared" si="10"/>
        <v>0.29667021683103567</v>
      </c>
      <c r="AC28" s="64" t="str">
        <f t="shared" si="11"/>
        <v/>
      </c>
      <c r="AD28" s="64" t="str">
        <f t="shared" si="12"/>
        <v/>
      </c>
      <c r="AE28" s="64" t="str">
        <f t="shared" si="13"/>
        <v/>
      </c>
      <c r="AG28" s="60">
        <v>2</v>
      </c>
      <c r="AH28" s="63">
        <v>41820</v>
      </c>
      <c r="AI28" s="64" t="str">
        <f t="shared" si="14"/>
        <v/>
      </c>
      <c r="AJ28" s="64" t="str">
        <f t="shared" si="15"/>
        <v/>
      </c>
      <c r="AK28" s="64" t="str">
        <f t="shared" si="16"/>
        <v/>
      </c>
      <c r="AL28" s="64" t="str">
        <f t="shared" si="17"/>
        <v/>
      </c>
      <c r="AM28" s="64" t="str">
        <f t="shared" si="18"/>
        <v/>
      </c>
      <c r="AN28" s="64">
        <f t="shared" si="19"/>
        <v>0.29050024730056367</v>
      </c>
      <c r="AO28" s="64">
        <f t="shared" si="20"/>
        <v>0.28306979957492084</v>
      </c>
      <c r="AP28" s="64" t="str">
        <f t="shared" si="21"/>
        <v/>
      </c>
      <c r="AQ28" s="64">
        <f t="shared" si="22"/>
        <v>0.25081476031433952</v>
      </c>
      <c r="AR28" s="64" t="str">
        <f t="shared" si="23"/>
        <v/>
      </c>
      <c r="AS28" s="64" t="str">
        <f t="shared" si="24"/>
        <v/>
      </c>
      <c r="AT28" s="64" t="str">
        <f t="shared" si="25"/>
        <v/>
      </c>
    </row>
    <row r="29" spans="1:46" x14ac:dyDescent="0.25">
      <c r="A29" s="60">
        <v>3</v>
      </c>
      <c r="B29" s="62">
        <v>40835</v>
      </c>
      <c r="C29" s="10">
        <v>0.18239386371744501</v>
      </c>
      <c r="D29" s="10">
        <v>0.17480811038644098</v>
      </c>
      <c r="E29" s="10">
        <v>0.19028899736489699</v>
      </c>
      <c r="F29" s="10">
        <v>0.24549183311894801</v>
      </c>
      <c r="G29" s="10">
        <v>0.19296696980272199</v>
      </c>
      <c r="H29" s="10">
        <v>0.175493435741717</v>
      </c>
      <c r="I29" s="10">
        <v>0.206576924868415</v>
      </c>
      <c r="J29" s="10">
        <v>0.242110307372841</v>
      </c>
      <c r="K29" s="10">
        <v>0.129525790982671</v>
      </c>
      <c r="L29" s="10">
        <v>0.143183140185243</v>
      </c>
      <c r="M29" s="10">
        <v>0.123569393772802</v>
      </c>
      <c r="N29" s="10">
        <v>0.16697216779386001</v>
      </c>
      <c r="O29" s="64"/>
      <c r="P29" s="64"/>
      <c r="Q29" s="64"/>
      <c r="R29" s="60">
        <v>3</v>
      </c>
      <c r="S29" s="62">
        <v>40835</v>
      </c>
      <c r="T29" s="64">
        <f t="shared" si="2"/>
        <v>0.2890779823287018</v>
      </c>
      <c r="U29" s="64">
        <f t="shared" si="3"/>
        <v>0.27287879641225549</v>
      </c>
      <c r="V29" s="64">
        <f t="shared" si="4"/>
        <v>0.32903428689912267</v>
      </c>
      <c r="W29" s="64">
        <f t="shared" si="5"/>
        <v>0.35573545020585851</v>
      </c>
      <c r="X29" s="64">
        <f t="shared" si="6"/>
        <v>0.3084099297363937</v>
      </c>
      <c r="Y29" s="64">
        <f t="shared" si="7"/>
        <v>0.30073290002933117</v>
      </c>
      <c r="Z29" s="64">
        <f t="shared" si="8"/>
        <v>0.33280952219798188</v>
      </c>
      <c r="AA29" s="64">
        <f t="shared" si="9"/>
        <v>0.37894872659864726</v>
      </c>
      <c r="AB29" s="64">
        <f t="shared" si="10"/>
        <v>0.20749452313947819</v>
      </c>
      <c r="AC29" s="64">
        <f t="shared" si="11"/>
        <v>0.22253181413406647</v>
      </c>
      <c r="AD29" s="64">
        <f t="shared" si="12"/>
        <v>0.20971696078704385</v>
      </c>
      <c r="AE29" s="64">
        <f t="shared" si="13"/>
        <v>0.26603050218220209</v>
      </c>
      <c r="AG29" s="60">
        <v>3</v>
      </c>
      <c r="AH29" s="62">
        <v>40835</v>
      </c>
      <c r="AI29" s="64">
        <f t="shared" si="14"/>
        <v>0.24753844112028012</v>
      </c>
      <c r="AJ29" s="64">
        <f t="shared" si="15"/>
        <v>0.26406345444905976</v>
      </c>
      <c r="AK29" s="64">
        <f t="shared" si="16"/>
        <v>0.28682479776002345</v>
      </c>
      <c r="AL29" s="64">
        <f t="shared" si="17"/>
        <v>0.32570897049962194</v>
      </c>
      <c r="AM29" s="64">
        <f t="shared" si="18"/>
        <v>0.30002151176193348</v>
      </c>
      <c r="AN29" s="64">
        <f t="shared" si="19"/>
        <v>0.24082425195662169</v>
      </c>
      <c r="AO29" s="64">
        <f t="shared" si="20"/>
        <v>0.26917506990103723</v>
      </c>
      <c r="AP29" s="64">
        <f t="shared" si="21"/>
        <v>0.31559640107715359</v>
      </c>
      <c r="AQ29" s="64" t="str">
        <f t="shared" si="22"/>
        <v/>
      </c>
      <c r="AR29" s="64">
        <f t="shared" si="23"/>
        <v>0.20591765174795193</v>
      </c>
      <c r="AS29" s="64">
        <f t="shared" si="24"/>
        <v>0.17700922344866032</v>
      </c>
      <c r="AT29" s="64">
        <f t="shared" si="25"/>
        <v>0.24699471071705748</v>
      </c>
    </row>
    <row r="30" spans="1:46" x14ac:dyDescent="0.25">
      <c r="A30" s="60">
        <v>3</v>
      </c>
      <c r="B30" s="62">
        <v>41016</v>
      </c>
      <c r="C30" s="10">
        <v>0.22617960426179606</v>
      </c>
      <c r="D30" s="10">
        <v>0.21597412291614826</v>
      </c>
      <c r="E30" s="10">
        <v>0.20601461495222032</v>
      </c>
      <c r="F30" s="10">
        <v>0.38290293855743562</v>
      </c>
      <c r="G30" s="10">
        <v>0.22936003908158284</v>
      </c>
      <c r="H30" s="10">
        <v>0.22504990019960106</v>
      </c>
      <c r="I30" s="10">
        <v>0.21719457013574683</v>
      </c>
      <c r="J30" s="10">
        <v>0.24318429661941121</v>
      </c>
      <c r="K30" s="10">
        <v>0.23279352226720662</v>
      </c>
      <c r="L30" s="10">
        <v>0.23830676770316189</v>
      </c>
      <c r="M30" s="10">
        <v>0.2667855020796196</v>
      </c>
      <c r="N30" s="10">
        <v>0.22533333333333327</v>
      </c>
      <c r="O30" s="64"/>
      <c r="P30" s="64"/>
      <c r="Q30" s="64"/>
      <c r="R30" s="60">
        <v>3</v>
      </c>
      <c r="S30" s="62">
        <v>41016</v>
      </c>
      <c r="T30" s="64">
        <f t="shared" si="2"/>
        <v>0.35847447009068795</v>
      </c>
      <c r="U30" s="64">
        <f t="shared" si="3"/>
        <v>0.33713972759768668</v>
      </c>
      <c r="V30" s="64">
        <f t="shared" si="4"/>
        <v>0.35622591353306354</v>
      </c>
      <c r="W30" s="64">
        <f t="shared" si="5"/>
        <v>0.55485409637589345</v>
      </c>
      <c r="X30" s="64">
        <f t="shared" si="6"/>
        <v>0.36657524139910941</v>
      </c>
      <c r="Y30" s="64">
        <f t="shared" si="7"/>
        <v>0.3856549326320427</v>
      </c>
      <c r="Z30" s="64">
        <f t="shared" si="8"/>
        <v>0.34991527324224414</v>
      </c>
      <c r="AA30" s="64">
        <f t="shared" si="9"/>
        <v>0.38062972424713515</v>
      </c>
      <c r="AB30" s="64">
        <f t="shared" si="10"/>
        <v>0.37292480923166837</v>
      </c>
      <c r="AC30" s="64">
        <f t="shared" si="11"/>
        <v>0.3703706823918067</v>
      </c>
      <c r="AD30" s="64">
        <f t="shared" si="12"/>
        <v>0.45277752823691547</v>
      </c>
      <c r="AE30" s="64">
        <f t="shared" si="13"/>
        <v>0.35901516173080755</v>
      </c>
      <c r="AG30" s="60">
        <v>3</v>
      </c>
      <c r="AH30" s="62">
        <v>41016</v>
      </c>
      <c r="AI30" s="64">
        <f t="shared" si="14"/>
        <v>0.30696288521471732</v>
      </c>
      <c r="AJ30" s="64">
        <f t="shared" si="15"/>
        <v>0.32624843803166903</v>
      </c>
      <c r="AK30" s="64">
        <f t="shared" si="16"/>
        <v>0.31052820230046663</v>
      </c>
      <c r="AL30" s="64">
        <f t="shared" si="17"/>
        <v>0.50802065524678497</v>
      </c>
      <c r="AM30" s="64">
        <f t="shared" si="18"/>
        <v>0.35660478958333081</v>
      </c>
      <c r="AN30" s="64">
        <f t="shared" si="19"/>
        <v>0.30882906610960986</v>
      </c>
      <c r="AO30" s="64">
        <f t="shared" si="20"/>
        <v>0.28301013598520397</v>
      </c>
      <c r="AP30" s="64">
        <f t="shared" si="21"/>
        <v>0.31699637096976602</v>
      </c>
      <c r="AQ30" s="64" t="str">
        <f t="shared" si="22"/>
        <v/>
      </c>
      <c r="AR30" s="64">
        <f t="shared" si="23"/>
        <v>0.34271891186066661</v>
      </c>
      <c r="AS30" s="64">
        <f t="shared" si="24"/>
        <v>0.38216174012555892</v>
      </c>
      <c r="AT30" s="64">
        <f t="shared" si="25"/>
        <v>0.33332586033313483</v>
      </c>
    </row>
    <row r="31" spans="1:46" x14ac:dyDescent="0.25">
      <c r="A31" s="60">
        <v>3</v>
      </c>
      <c r="B31" s="62">
        <v>41177</v>
      </c>
      <c r="C31" s="10">
        <v>0.15762834417932028</v>
      </c>
      <c r="D31" s="10">
        <v>0.1371827877896287</v>
      </c>
      <c r="E31" s="10">
        <v>0.14207650273224032</v>
      </c>
      <c r="F31" s="10">
        <v>0.15671890630210056</v>
      </c>
      <c r="G31" s="10">
        <v>0.1487951807228915</v>
      </c>
      <c r="H31" s="10">
        <v>0.17747440273037551</v>
      </c>
      <c r="I31" s="10">
        <v>0.16411764705882348</v>
      </c>
      <c r="J31" s="10">
        <v>0.22459152589310438</v>
      </c>
      <c r="K31" s="10">
        <v>0.14318494722349706</v>
      </c>
      <c r="L31" s="10">
        <v>0.1727012242771554</v>
      </c>
      <c r="M31" s="10">
        <v>0.193312434691745</v>
      </c>
      <c r="N31" s="10">
        <v>0.14540317322321245</v>
      </c>
      <c r="O31" s="64"/>
      <c r="P31" s="64"/>
      <c r="Q31" s="64"/>
      <c r="R31" s="60">
        <v>3</v>
      </c>
      <c r="S31" s="62">
        <v>41177</v>
      </c>
      <c r="T31" s="64">
        <f t="shared" si="2"/>
        <v>0.24982684595004742</v>
      </c>
      <c r="U31" s="64">
        <f t="shared" si="3"/>
        <v>0.21414494978383641</v>
      </c>
      <c r="V31" s="64">
        <f t="shared" si="4"/>
        <v>0.24566864826125601</v>
      </c>
      <c r="W31" s="64">
        <f t="shared" si="5"/>
        <v>0.22709704832475935</v>
      </c>
      <c r="X31" s="64">
        <f t="shared" si="6"/>
        <v>0.23781226019549404</v>
      </c>
      <c r="Y31" s="64">
        <f t="shared" si="7"/>
        <v>0.30412756801132013</v>
      </c>
      <c r="Z31" s="64">
        <f t="shared" si="8"/>
        <v>0.26440472834367035</v>
      </c>
      <c r="AA31" s="64">
        <f t="shared" si="9"/>
        <v>0.3515284981691208</v>
      </c>
      <c r="AB31" s="64">
        <f t="shared" si="10"/>
        <v>0.22937588042883078</v>
      </c>
      <c r="AC31" s="64">
        <f t="shared" si="11"/>
        <v>0.26840811489291927</v>
      </c>
      <c r="AD31" s="64">
        <f t="shared" si="12"/>
        <v>0.32808201973084239</v>
      </c>
      <c r="AE31" s="64">
        <f t="shared" si="13"/>
        <v>0.23166543084720823</v>
      </c>
      <c r="AG31" s="60">
        <v>3</v>
      </c>
      <c r="AH31" s="62">
        <v>41177</v>
      </c>
      <c r="AI31" s="64">
        <f t="shared" si="14"/>
        <v>0.21392756203117791</v>
      </c>
      <c r="AJ31" s="64">
        <f t="shared" si="15"/>
        <v>0.20722700310987086</v>
      </c>
      <c r="AK31" s="64">
        <f t="shared" si="16"/>
        <v>0.21415354921694324</v>
      </c>
      <c r="AL31" s="64">
        <f t="shared" si="17"/>
        <v>0.20792852039501944</v>
      </c>
      <c r="AM31" s="64">
        <f t="shared" si="18"/>
        <v>0.23134402280872782</v>
      </c>
      <c r="AN31" s="64">
        <f t="shared" si="19"/>
        <v>0.24354267211392358</v>
      </c>
      <c r="AO31" s="64">
        <f t="shared" si="20"/>
        <v>0.21384953400381945</v>
      </c>
      <c r="AP31" s="64">
        <f t="shared" si="21"/>
        <v>0.29276026309419806</v>
      </c>
      <c r="AQ31" s="64" t="str">
        <f t="shared" si="22"/>
        <v/>
      </c>
      <c r="AR31" s="64">
        <f t="shared" si="23"/>
        <v>0.24836884085053335</v>
      </c>
      <c r="AS31" s="64">
        <f t="shared" si="24"/>
        <v>0.27691390969085705</v>
      </c>
      <c r="AT31" s="64">
        <f t="shared" si="25"/>
        <v>0.21508862933341036</v>
      </c>
    </row>
    <row r="32" spans="1:46" x14ac:dyDescent="0.25">
      <c r="A32" s="60">
        <v>3</v>
      </c>
      <c r="B32" s="63">
        <v>41362</v>
      </c>
      <c r="C32" s="10">
        <v>0.23213092852371417</v>
      </c>
      <c r="D32" s="10">
        <v>0.23232603271416702</v>
      </c>
      <c r="E32" s="10">
        <v>0.21148148148148152</v>
      </c>
      <c r="F32" s="10">
        <v>0.31412565026010414</v>
      </c>
      <c r="G32" s="10">
        <v>0.2668169860954529</v>
      </c>
      <c r="H32" s="10">
        <v>0.22627152583099716</v>
      </c>
      <c r="I32" s="10"/>
      <c r="J32" s="10">
        <v>0.275224896669098</v>
      </c>
      <c r="K32" s="10">
        <v>0.21541501976284572</v>
      </c>
      <c r="L32" s="10">
        <v>0.21920210434020168</v>
      </c>
      <c r="M32" s="10">
        <v>0.25193798449612398</v>
      </c>
      <c r="N32" s="10">
        <v>0.25270914607715678</v>
      </c>
      <c r="O32" s="64"/>
      <c r="P32" s="64"/>
      <c r="Q32" s="64"/>
      <c r="R32" s="60">
        <v>3</v>
      </c>
      <c r="S32" s="63">
        <v>41362</v>
      </c>
      <c r="T32" s="64">
        <f t="shared" si="2"/>
        <v>0.36790678746559857</v>
      </c>
      <c r="U32" s="64">
        <f t="shared" si="3"/>
        <v>0.36266537085795064</v>
      </c>
      <c r="V32" s="64">
        <f t="shared" si="4"/>
        <v>0.36567883280289815</v>
      </c>
      <c r="W32" s="64">
        <f t="shared" si="5"/>
        <v>0.45519082324152982</v>
      </c>
      <c r="X32" s="64">
        <f t="shared" si="6"/>
        <v>0.42644089824441128</v>
      </c>
      <c r="Y32" s="64">
        <f t="shared" si="7"/>
        <v>0.38774836146786884</v>
      </c>
      <c r="Z32" s="64" t="str">
        <f t="shared" si="8"/>
        <v/>
      </c>
      <c r="AA32" s="64">
        <f t="shared" si="9"/>
        <v>0.43077936355839136</v>
      </c>
      <c r="AB32" s="64">
        <f t="shared" si="10"/>
        <v>0.34508522560385618</v>
      </c>
      <c r="AC32" s="64">
        <f t="shared" si="11"/>
        <v>0.34067867122987849</v>
      </c>
      <c r="AD32" s="64">
        <f t="shared" si="12"/>
        <v>0.42757892389183011</v>
      </c>
      <c r="AE32" s="64">
        <f t="shared" si="13"/>
        <v>0.40263201900774287</v>
      </c>
      <c r="AG32" s="60">
        <v>3</v>
      </c>
      <c r="AH32" s="63">
        <v>41362</v>
      </c>
      <c r="AI32" s="64">
        <f t="shared" si="14"/>
        <v>0.31503981006498905</v>
      </c>
      <c r="AJ32" s="64">
        <f t="shared" si="15"/>
        <v>0.35094947609311122</v>
      </c>
      <c r="AK32" s="64">
        <f t="shared" si="16"/>
        <v>0.31876847319552809</v>
      </c>
      <c r="AL32" s="64">
        <f t="shared" si="17"/>
        <v>0.41676963691158275</v>
      </c>
      <c r="AM32" s="64">
        <f t="shared" si="18"/>
        <v>0.41484216502938193</v>
      </c>
      <c r="AN32" s="64">
        <f t="shared" si="19"/>
        <v>0.31050546544391311</v>
      </c>
      <c r="AO32" s="64" t="str">
        <f t="shared" si="20"/>
        <v/>
      </c>
      <c r="AP32" s="64">
        <f t="shared" si="21"/>
        <v>0.35876203627232445</v>
      </c>
      <c r="AQ32" s="64" t="str">
        <f t="shared" si="22"/>
        <v/>
      </c>
      <c r="AR32" s="64">
        <f t="shared" si="23"/>
        <v>0.31524369786517592</v>
      </c>
      <c r="AS32" s="64">
        <f t="shared" si="24"/>
        <v>0.36089314377372222</v>
      </c>
      <c r="AT32" s="64">
        <f t="shared" si="25"/>
        <v>0.37382171685008947</v>
      </c>
    </row>
    <row r="33" spans="1:47" x14ac:dyDescent="0.25">
      <c r="A33" s="60">
        <v>3</v>
      </c>
      <c r="B33" s="63">
        <v>41435</v>
      </c>
      <c r="C33" s="10">
        <v>0.2022123893805311</v>
      </c>
      <c r="D33" s="10">
        <v>0.19515406900184368</v>
      </c>
      <c r="E33" s="10"/>
      <c r="F33" s="10"/>
      <c r="G33" s="10"/>
      <c r="H33" s="10"/>
      <c r="I33" s="10"/>
      <c r="J33" s="10"/>
      <c r="K33" s="10"/>
      <c r="L33" s="10"/>
      <c r="M33" s="10">
        <v>0.22780307342060316</v>
      </c>
      <c r="N33" s="10"/>
      <c r="O33" s="64"/>
      <c r="P33" s="64"/>
      <c r="Q33" s="64"/>
      <c r="R33" s="60">
        <v>3</v>
      </c>
      <c r="S33" s="63">
        <v>41435</v>
      </c>
      <c r="T33" s="64">
        <f t="shared" si="2"/>
        <v>0.32048857528751834</v>
      </c>
      <c r="U33" s="64">
        <f t="shared" si="3"/>
        <v>0.30463922610027805</v>
      </c>
      <c r="V33" s="64" t="str">
        <f t="shared" si="4"/>
        <v/>
      </c>
      <c r="W33" s="64" t="str">
        <f t="shared" si="5"/>
        <v/>
      </c>
      <c r="X33" s="64" t="str">
        <f t="shared" si="6"/>
        <v/>
      </c>
      <c r="Y33" s="64" t="str">
        <f t="shared" si="7"/>
        <v/>
      </c>
      <c r="Z33" s="64" t="str">
        <f t="shared" si="8"/>
        <v/>
      </c>
      <c r="AA33" s="64" t="str">
        <f t="shared" si="9"/>
        <v/>
      </c>
      <c r="AB33" s="64" t="str">
        <f t="shared" si="10"/>
        <v/>
      </c>
      <c r="AC33" s="64" t="str">
        <f t="shared" si="11"/>
        <v/>
      </c>
      <c r="AD33" s="64">
        <f t="shared" si="12"/>
        <v>0.38661813218534979</v>
      </c>
      <c r="AE33" s="64" t="str">
        <f t="shared" si="13"/>
        <v/>
      </c>
      <c r="AG33" s="60">
        <v>3</v>
      </c>
      <c r="AH33" s="63">
        <v>41435</v>
      </c>
      <c r="AI33" s="64">
        <f t="shared" si="14"/>
        <v>0.27443543670968479</v>
      </c>
      <c r="AJ33" s="64">
        <f t="shared" si="15"/>
        <v>0.29479786433532768</v>
      </c>
      <c r="AK33" s="64" t="str">
        <f t="shared" si="16"/>
        <v/>
      </c>
      <c r="AL33" s="64" t="str">
        <f t="shared" si="17"/>
        <v/>
      </c>
      <c r="AM33" s="64" t="str">
        <f t="shared" si="18"/>
        <v/>
      </c>
      <c r="AN33" s="64" t="str">
        <f t="shared" si="19"/>
        <v/>
      </c>
      <c r="AO33" s="64" t="str">
        <f t="shared" si="20"/>
        <v/>
      </c>
      <c r="AP33" s="64" t="str">
        <f t="shared" si="21"/>
        <v/>
      </c>
      <c r="AQ33" s="64" t="str">
        <f t="shared" si="22"/>
        <v/>
      </c>
      <c r="AR33" s="64" t="str">
        <f t="shared" si="23"/>
        <v/>
      </c>
      <c r="AS33" s="64">
        <f t="shared" si="24"/>
        <v>0.32632065185606168</v>
      </c>
      <c r="AT33" s="64" t="str">
        <f t="shared" si="25"/>
        <v/>
      </c>
    </row>
    <row r="34" spans="1:47" x14ac:dyDescent="0.25">
      <c r="A34" s="60">
        <v>3</v>
      </c>
      <c r="B34" s="63">
        <v>41527</v>
      </c>
      <c r="C34" s="10">
        <v>0.18930390492359916</v>
      </c>
      <c r="D34" s="10">
        <v>0.14723381582452727</v>
      </c>
      <c r="E34" s="10">
        <v>0.18127360333376744</v>
      </c>
      <c r="F34" s="10">
        <v>7.4856702883052448E-2</v>
      </c>
      <c r="G34" s="10">
        <v>0.14444677724123442</v>
      </c>
      <c r="H34" s="10">
        <v>0.15014316392269159</v>
      </c>
      <c r="I34" s="10">
        <v>0.21886989884897129</v>
      </c>
      <c r="J34" s="10">
        <v>0.22022325139532106</v>
      </c>
      <c r="K34" s="10"/>
      <c r="L34" s="10">
        <v>0.19712259648165825</v>
      </c>
      <c r="M34" s="10">
        <v>0.15423114537191493</v>
      </c>
      <c r="N34" s="10">
        <v>0.18017823386443432</v>
      </c>
      <c r="O34" s="64"/>
      <c r="P34" s="64"/>
      <c r="Q34" s="64"/>
      <c r="R34" s="60">
        <v>3</v>
      </c>
      <c r="S34" s="63">
        <v>41527</v>
      </c>
      <c r="T34" s="64">
        <f t="shared" si="2"/>
        <v>0.30002978042634898</v>
      </c>
      <c r="U34" s="64">
        <f t="shared" si="3"/>
        <v>0.22983479636364187</v>
      </c>
      <c r="V34" s="64">
        <f t="shared" si="4"/>
        <v>0.31344550464042475</v>
      </c>
      <c r="W34" s="64">
        <f t="shared" si="5"/>
        <v>0.10847278527643006</v>
      </c>
      <c r="X34" s="64">
        <f t="shared" si="6"/>
        <v>0.23086241373413124</v>
      </c>
      <c r="Y34" s="64">
        <f t="shared" si="7"/>
        <v>0.25729161273305029</v>
      </c>
      <c r="Z34" s="64">
        <f t="shared" si="8"/>
        <v>0.35261434211902187</v>
      </c>
      <c r="AA34" s="64">
        <f t="shared" si="9"/>
        <v>0.34469131690108357</v>
      </c>
      <c r="AB34" s="64" t="str">
        <f t="shared" si="10"/>
        <v/>
      </c>
      <c r="AC34" s="64">
        <f t="shared" si="11"/>
        <v>0.3063632278571996</v>
      </c>
      <c r="AD34" s="64">
        <f t="shared" si="12"/>
        <v>0.26175484137741195</v>
      </c>
      <c r="AE34" s="64">
        <f t="shared" si="13"/>
        <v>0.28707123271247559</v>
      </c>
      <c r="AG34" s="60">
        <v>3</v>
      </c>
      <c r="AH34" s="63">
        <v>41527</v>
      </c>
      <c r="AI34" s="64">
        <f t="shared" si="14"/>
        <v>0.25691650238498426</v>
      </c>
      <c r="AJ34" s="64">
        <f t="shared" si="15"/>
        <v>0.22240998963030364</v>
      </c>
      <c r="AK34" s="64">
        <f t="shared" si="16"/>
        <v>0.27323579048417412</v>
      </c>
      <c r="AL34" s="64">
        <f t="shared" si="17"/>
        <v>9.931694802743822E-2</v>
      </c>
      <c r="AM34" s="64">
        <f t="shared" si="18"/>
        <v>0.22458320468710122</v>
      </c>
      <c r="AN34" s="64">
        <f t="shared" si="19"/>
        <v>0.20603685251964893</v>
      </c>
      <c r="AO34" s="64">
        <f t="shared" si="20"/>
        <v>0.28519313257970097</v>
      </c>
      <c r="AP34" s="64">
        <f t="shared" si="21"/>
        <v>0.28706611597019926</v>
      </c>
      <c r="AQ34" s="64" t="str">
        <f t="shared" si="22"/>
        <v/>
      </c>
      <c r="AR34" s="64">
        <f t="shared" si="23"/>
        <v>0.28349023580183796</v>
      </c>
      <c r="AS34" s="64">
        <f t="shared" si="24"/>
        <v>0.22093120667141275</v>
      </c>
      <c r="AT34" s="64">
        <f t="shared" si="25"/>
        <v>0.26652987344452972</v>
      </c>
    </row>
    <row r="35" spans="1:47" x14ac:dyDescent="0.25">
      <c r="A35" s="60">
        <v>3</v>
      </c>
      <c r="B35" s="63">
        <v>41675</v>
      </c>
      <c r="C35" s="10">
        <v>0.21396279255851142</v>
      </c>
      <c r="D35" s="10">
        <v>0.17121225157016268</v>
      </c>
      <c r="E35" s="10">
        <v>0.17035368477676174</v>
      </c>
      <c r="F35" s="10">
        <v>0.23558820972089378</v>
      </c>
      <c r="G35" s="10"/>
      <c r="H35" s="10"/>
      <c r="I35" s="10"/>
      <c r="J35" s="10">
        <v>0.19454604715170401</v>
      </c>
      <c r="K35" s="10"/>
      <c r="L35" s="10"/>
      <c r="M35" s="10"/>
      <c r="N35" s="10">
        <v>0.24098284322504399</v>
      </c>
      <c r="O35" s="64"/>
      <c r="P35" s="64"/>
      <c r="Q35" s="64"/>
      <c r="R35" s="60">
        <v>3</v>
      </c>
      <c r="S35" s="63">
        <v>41675</v>
      </c>
      <c r="T35" s="64">
        <f t="shared" si="2"/>
        <v>0.33911191476291558</v>
      </c>
      <c r="U35" s="64">
        <f t="shared" si="3"/>
        <v>0.26726559217541973</v>
      </c>
      <c r="V35" s="64">
        <f t="shared" si="4"/>
        <v>0.29456355316053495</v>
      </c>
      <c r="W35" s="64">
        <f t="shared" si="5"/>
        <v>0.3413843824598734</v>
      </c>
      <c r="X35" s="64" t="str">
        <f t="shared" si="6"/>
        <v/>
      </c>
      <c r="Y35" s="64" t="str">
        <f t="shared" si="7"/>
        <v/>
      </c>
      <c r="Z35" s="64" t="str">
        <f t="shared" si="8"/>
        <v/>
      </c>
      <c r="AA35" s="64">
        <f t="shared" si="9"/>
        <v>0.30450160355795153</v>
      </c>
      <c r="AB35" s="64" t="str">
        <f t="shared" si="10"/>
        <v/>
      </c>
      <c r="AC35" s="64" t="str">
        <f t="shared" si="11"/>
        <v/>
      </c>
      <c r="AD35" s="64" t="str">
        <f t="shared" si="12"/>
        <v/>
      </c>
      <c r="AE35" s="64">
        <f t="shared" si="13"/>
        <v>0.38394893979935957</v>
      </c>
      <c r="AG35" s="60">
        <v>3</v>
      </c>
      <c r="AH35" s="63">
        <v>41675</v>
      </c>
      <c r="AI35" s="64">
        <f t="shared" si="14"/>
        <v>0.29038266446137057</v>
      </c>
      <c r="AJ35" s="64">
        <f t="shared" si="15"/>
        <v>0.25863158461968827</v>
      </c>
      <c r="AK35" s="64">
        <f t="shared" si="16"/>
        <v>0.25677607145132336</v>
      </c>
      <c r="AL35" s="64">
        <f t="shared" si="17"/>
        <v>0.31256923000310916</v>
      </c>
      <c r="AM35" s="64" t="str">
        <f t="shared" si="18"/>
        <v/>
      </c>
      <c r="AN35" s="64" t="str">
        <f t="shared" si="19"/>
        <v/>
      </c>
      <c r="AO35" s="64" t="str">
        <f t="shared" si="20"/>
        <v/>
      </c>
      <c r="AP35" s="64">
        <f t="shared" si="21"/>
        <v>0.25359528469109449</v>
      </c>
      <c r="AQ35" s="64" t="str">
        <f t="shared" si="22"/>
        <v/>
      </c>
      <c r="AR35" s="64" t="str">
        <f t="shared" si="23"/>
        <v/>
      </c>
      <c r="AS35" s="64" t="str">
        <f t="shared" si="24"/>
        <v/>
      </c>
      <c r="AT35" s="64">
        <f t="shared" si="25"/>
        <v>0.35647550389132882</v>
      </c>
    </row>
    <row r="36" spans="1:47" x14ac:dyDescent="0.25">
      <c r="A36" s="60">
        <v>3</v>
      </c>
      <c r="B36" s="63">
        <v>41676</v>
      </c>
      <c r="C36" s="10"/>
      <c r="D36" s="10"/>
      <c r="E36" s="10"/>
      <c r="F36" s="10"/>
      <c r="G36" s="10">
        <v>0.205509507557289</v>
      </c>
      <c r="H36" s="10">
        <v>0.12975376650959036</v>
      </c>
      <c r="I36" s="10">
        <v>0.24430681276798491</v>
      </c>
      <c r="J36" s="10"/>
      <c r="K36" s="10">
        <v>0.21083750695603787</v>
      </c>
      <c r="L36" s="10">
        <v>0.22797891036906859</v>
      </c>
      <c r="M36" s="10">
        <v>0.19037947621592755</v>
      </c>
      <c r="N36" s="10"/>
      <c r="O36" s="64"/>
      <c r="P36" s="64"/>
      <c r="Q36" s="64"/>
      <c r="R36" s="60">
        <v>3</v>
      </c>
      <c r="S36" s="63">
        <v>41676</v>
      </c>
      <c r="T36" s="64" t="str">
        <f t="shared" si="2"/>
        <v/>
      </c>
      <c r="U36" s="64" t="str">
        <f t="shared" si="3"/>
        <v/>
      </c>
      <c r="V36" s="64" t="str">
        <f t="shared" si="4"/>
        <v/>
      </c>
      <c r="W36" s="64" t="str">
        <f t="shared" si="5"/>
        <v/>
      </c>
      <c r="X36" s="64">
        <f t="shared" si="6"/>
        <v>0.32845607126805965</v>
      </c>
      <c r="Y36" s="64">
        <f t="shared" si="7"/>
        <v>0.22235148754844272</v>
      </c>
      <c r="Z36" s="64">
        <f t="shared" si="8"/>
        <v>0.39359494618683122</v>
      </c>
      <c r="AA36" s="64" t="str">
        <f t="shared" si="9"/>
        <v/>
      </c>
      <c r="AB36" s="64">
        <f t="shared" si="10"/>
        <v>0.33775225485102345</v>
      </c>
      <c r="AC36" s="64">
        <f t="shared" si="11"/>
        <v>0.35431937337804847</v>
      </c>
      <c r="AD36" s="64">
        <f t="shared" si="12"/>
        <v>0.32310432162224795</v>
      </c>
      <c r="AE36" s="64" t="str">
        <f t="shared" si="13"/>
        <v/>
      </c>
      <c r="AG36" s="60">
        <v>3</v>
      </c>
      <c r="AH36" s="63">
        <v>41676</v>
      </c>
      <c r="AI36" s="64" t="str">
        <f t="shared" si="14"/>
        <v/>
      </c>
      <c r="AJ36" s="64" t="str">
        <f t="shared" si="15"/>
        <v/>
      </c>
      <c r="AK36" s="64" t="str">
        <f t="shared" si="16"/>
        <v/>
      </c>
      <c r="AL36" s="64" t="str">
        <f t="shared" si="17"/>
        <v/>
      </c>
      <c r="AM36" s="64">
        <f t="shared" si="18"/>
        <v>0.31952241983082952</v>
      </c>
      <c r="AN36" s="64">
        <f t="shared" si="19"/>
        <v>0.1780571086671035</v>
      </c>
      <c r="AO36" s="64">
        <f t="shared" si="20"/>
        <v>0.31833808856439544</v>
      </c>
      <c r="AP36" s="64" t="str">
        <f t="shared" si="21"/>
        <v/>
      </c>
      <c r="AQ36" s="64" t="str">
        <f t="shared" si="22"/>
        <v/>
      </c>
      <c r="AR36" s="64">
        <f t="shared" si="23"/>
        <v>0.32786598904396519</v>
      </c>
      <c r="AS36" s="64">
        <f t="shared" si="24"/>
        <v>0.2727125400283486</v>
      </c>
      <c r="AT36" s="64" t="str">
        <f t="shared" si="25"/>
        <v/>
      </c>
    </row>
    <row r="37" spans="1:47" x14ac:dyDescent="0.25">
      <c r="A37" s="60">
        <v>3</v>
      </c>
      <c r="B37" s="63">
        <v>41750</v>
      </c>
      <c r="C37" s="10">
        <v>0.24024559318676955</v>
      </c>
      <c r="D37" s="10">
        <v>0.22538177988414962</v>
      </c>
      <c r="E37" s="10">
        <v>0.21976516634050888</v>
      </c>
      <c r="F37" s="10">
        <v>0.32426877470355742</v>
      </c>
      <c r="G37" s="10">
        <v>0.27328396468242661</v>
      </c>
      <c r="H37" s="10">
        <v>0.23808907301916105</v>
      </c>
      <c r="I37" s="10">
        <v>0.24390642892196954</v>
      </c>
      <c r="J37" s="10">
        <v>0.29033423667570024</v>
      </c>
      <c r="K37" s="10">
        <v>0.23993610223642192</v>
      </c>
      <c r="L37" s="10">
        <v>0.24975288303130141</v>
      </c>
      <c r="M37" s="10">
        <v>0.25286195286195279</v>
      </c>
      <c r="N37" s="10">
        <v>0.23663139834143568</v>
      </c>
      <c r="O37"/>
      <c r="P37"/>
      <c r="Q37" s="64"/>
      <c r="R37" s="60">
        <v>3</v>
      </c>
      <c r="S37" s="63">
        <v>41750</v>
      </c>
      <c r="T37" s="64">
        <f t="shared" si="2"/>
        <v>0.38076780614385852</v>
      </c>
      <c r="U37" s="64">
        <f t="shared" si="3"/>
        <v>0.35182525966374756</v>
      </c>
      <c r="V37" s="64">
        <f t="shared" si="4"/>
        <v>0.38000239526962609</v>
      </c>
      <c r="W37" s="64">
        <f t="shared" si="5"/>
        <v>0.46988894535232761</v>
      </c>
      <c r="X37" s="64">
        <f t="shared" si="6"/>
        <v>0.43677676253068975</v>
      </c>
      <c r="Y37" s="64">
        <f t="shared" si="7"/>
        <v>0.40799940517277694</v>
      </c>
      <c r="Z37" s="64">
        <f t="shared" si="8"/>
        <v>0.39294990048982009</v>
      </c>
      <c r="AA37" s="64">
        <f t="shared" si="9"/>
        <v>0.45442835734712173</v>
      </c>
      <c r="AB37" s="64">
        <f t="shared" si="10"/>
        <v>0.38436690283676511</v>
      </c>
      <c r="AC37" s="64">
        <f t="shared" si="11"/>
        <v>0.38815996125147761</v>
      </c>
      <c r="AD37" s="64">
        <f t="shared" si="12"/>
        <v>0.42914704550858951</v>
      </c>
      <c r="AE37" s="64">
        <f t="shared" si="13"/>
        <v>0.37701594561895424</v>
      </c>
      <c r="AG37" s="60">
        <v>3</v>
      </c>
      <c r="AH37" s="63">
        <v>41750</v>
      </c>
      <c r="AI37" s="64">
        <f t="shared" si="14"/>
        <v>0.32605274328525524</v>
      </c>
      <c r="AJ37" s="64">
        <f t="shared" si="15"/>
        <v>0.34045955439091835</v>
      </c>
      <c r="AK37" s="64">
        <f t="shared" si="16"/>
        <v>0.33125456680735238</v>
      </c>
      <c r="AL37" s="64">
        <f t="shared" si="17"/>
        <v>0.43022713803556506</v>
      </c>
      <c r="AM37" s="64">
        <f t="shared" si="18"/>
        <v>0.42489690493735421</v>
      </c>
      <c r="AN37" s="64">
        <f t="shared" si="19"/>
        <v>0.32672232249912619</v>
      </c>
      <c r="AO37" s="64">
        <f t="shared" si="20"/>
        <v>0.3178163780693482</v>
      </c>
      <c r="AP37" s="64">
        <f t="shared" si="21"/>
        <v>0.37845741141135758</v>
      </c>
      <c r="AQ37" s="64" t="str">
        <f t="shared" si="22"/>
        <v/>
      </c>
      <c r="AR37" s="64">
        <f t="shared" si="23"/>
        <v>0.35918004818549798</v>
      </c>
      <c r="AS37" s="64">
        <f t="shared" si="24"/>
        <v>0.36221669904847897</v>
      </c>
      <c r="AT37" s="64">
        <f t="shared" si="25"/>
        <v>0.35003859955913524</v>
      </c>
    </row>
    <row r="38" spans="1:47" x14ac:dyDescent="0.25">
      <c r="A38" s="60">
        <v>3</v>
      </c>
      <c r="B38" s="63">
        <v>41817</v>
      </c>
      <c r="C38" s="10">
        <v>0.22962013203545961</v>
      </c>
      <c r="D38" s="10">
        <v>0.2146564024704698</v>
      </c>
      <c r="E38" s="10">
        <v>0.19491361223626713</v>
      </c>
      <c r="F38" s="10">
        <v>0.32465107086220568</v>
      </c>
      <c r="G38" s="10">
        <v>0.21506017866829069</v>
      </c>
      <c r="H38" s="10"/>
      <c r="I38" s="10"/>
      <c r="J38" s="10">
        <v>0.23200330807647271</v>
      </c>
      <c r="K38" s="10"/>
      <c r="L38" s="10">
        <v>0.27340695280907418</v>
      </c>
      <c r="M38" s="10">
        <v>0.22626379816243214</v>
      </c>
      <c r="N38" s="10">
        <v>0.22298744996901115</v>
      </c>
      <c r="O38"/>
      <c r="P38"/>
      <c r="Q38" s="64"/>
      <c r="R38" s="60">
        <v>3</v>
      </c>
      <c r="S38" s="63">
        <v>41817</v>
      </c>
      <c r="T38" s="64">
        <f t="shared" si="2"/>
        <v>0.36392739929940993</v>
      </c>
      <c r="U38" s="64">
        <f t="shared" si="3"/>
        <v>0.33508274083414552</v>
      </c>
      <c r="V38" s="64">
        <f t="shared" si="4"/>
        <v>0.33703084412237838</v>
      </c>
      <c r="W38" s="64">
        <f t="shared" si="5"/>
        <v>0.47044292018065853</v>
      </c>
      <c r="X38" s="64">
        <f t="shared" si="6"/>
        <v>0.34372045464564371</v>
      </c>
      <c r="Y38" s="64" t="str">
        <f t="shared" si="7"/>
        <v/>
      </c>
      <c r="Z38" s="64" t="str">
        <f t="shared" si="8"/>
        <v/>
      </c>
      <c r="AA38" s="64">
        <f t="shared" si="9"/>
        <v>0.36312934842077366</v>
      </c>
      <c r="AB38" s="64" t="str">
        <f t="shared" si="10"/>
        <v/>
      </c>
      <c r="AC38" s="64">
        <f t="shared" si="11"/>
        <v>0.424922551124081</v>
      </c>
      <c r="AD38" s="64">
        <f t="shared" si="12"/>
        <v>0.38400573667945415</v>
      </c>
      <c r="AE38" s="64">
        <f t="shared" si="13"/>
        <v>0.35527755361493307</v>
      </c>
      <c r="AG38" s="60">
        <v>3</v>
      </c>
      <c r="AH38" s="63">
        <v>41817</v>
      </c>
      <c r="AI38" s="64">
        <f t="shared" si="14"/>
        <v>0.31163224669632422</v>
      </c>
      <c r="AJ38" s="64">
        <f t="shared" si="15"/>
        <v>0.32425790216857447</v>
      </c>
      <c r="AK38" s="64">
        <f t="shared" si="16"/>
        <v>0.29379553302883743</v>
      </c>
      <c r="AL38" s="64">
        <f t="shared" si="17"/>
        <v>0.43073435363894097</v>
      </c>
      <c r="AM38" s="64">
        <f t="shared" si="18"/>
        <v>0.33437162841814977</v>
      </c>
      <c r="AN38" s="64" t="str">
        <f t="shared" si="19"/>
        <v/>
      </c>
      <c r="AO38" s="64" t="str">
        <f t="shared" si="20"/>
        <v/>
      </c>
      <c r="AP38" s="64">
        <f t="shared" si="21"/>
        <v>0.30242169307634514</v>
      </c>
      <c r="AQ38" s="64" t="str">
        <f t="shared" si="22"/>
        <v/>
      </c>
      <c r="AR38" s="64">
        <f t="shared" si="23"/>
        <v>0.39319795348230591</v>
      </c>
      <c r="AS38" s="64">
        <f t="shared" si="24"/>
        <v>0.32411568904283017</v>
      </c>
      <c r="AT38" s="64">
        <f t="shared" si="25"/>
        <v>0.32985569646928636</v>
      </c>
    </row>
    <row r="39" spans="1:47" x14ac:dyDescent="0.25">
      <c r="A39" s="60">
        <v>3</v>
      </c>
      <c r="B39" s="63">
        <v>41820</v>
      </c>
      <c r="C39" s="10"/>
      <c r="D39" s="10"/>
      <c r="E39" s="10"/>
      <c r="F39" s="10"/>
      <c r="G39" s="10"/>
      <c r="H39" s="10">
        <v>0.2065196327527262</v>
      </c>
      <c r="I39" s="10">
        <v>0.22086918062738484</v>
      </c>
      <c r="J39" s="10"/>
      <c r="K39" s="10">
        <v>0.22595070673935141</v>
      </c>
      <c r="L39" s="10"/>
      <c r="M39" s="10"/>
      <c r="N39" s="10"/>
      <c r="O39" s="10"/>
      <c r="P39" s="10"/>
      <c r="Q39" s="64"/>
      <c r="R39" s="60">
        <v>3</v>
      </c>
      <c r="S39" s="63">
        <v>41820</v>
      </c>
      <c r="T39" s="64" t="str">
        <f t="shared" si="2"/>
        <v/>
      </c>
      <c r="U39" s="64" t="str">
        <f t="shared" si="3"/>
        <v/>
      </c>
      <c r="V39" s="64" t="str">
        <f t="shared" si="4"/>
        <v/>
      </c>
      <c r="W39" s="64" t="str">
        <f t="shared" si="5"/>
        <v/>
      </c>
      <c r="X39" s="64" t="str">
        <f t="shared" si="6"/>
        <v/>
      </c>
      <c r="Y39" s="64">
        <f t="shared" si="7"/>
        <v>0.35390069040602934</v>
      </c>
      <c r="Z39" s="64">
        <f t="shared" si="8"/>
        <v>0.35583532148947566</v>
      </c>
      <c r="AA39" s="64" t="str">
        <f t="shared" si="9"/>
        <v/>
      </c>
      <c r="AB39" s="64">
        <f t="shared" si="10"/>
        <v>0.36196292485241227</v>
      </c>
      <c r="AC39" s="64" t="str">
        <f t="shared" si="11"/>
        <v/>
      </c>
      <c r="AD39" s="64" t="str">
        <f t="shared" si="12"/>
        <v/>
      </c>
      <c r="AE39" s="64" t="str">
        <f t="shared" si="13"/>
        <v/>
      </c>
      <c r="AG39" s="60">
        <v>3</v>
      </c>
      <c r="AH39" s="63">
        <v>41820</v>
      </c>
      <c r="AI39" s="64" t="str">
        <f t="shared" si="14"/>
        <v/>
      </c>
      <c r="AJ39" s="64" t="str">
        <f t="shared" si="15"/>
        <v/>
      </c>
      <c r="AK39" s="64" t="str">
        <f t="shared" si="16"/>
        <v/>
      </c>
      <c r="AL39" s="64" t="str">
        <f t="shared" si="17"/>
        <v/>
      </c>
      <c r="AM39" s="64" t="str">
        <f t="shared" si="18"/>
        <v/>
      </c>
      <c r="AN39" s="64">
        <f t="shared" si="19"/>
        <v>0.2834005492104506</v>
      </c>
      <c r="AO39" s="64">
        <f t="shared" si="20"/>
        <v>0.28779824838728268</v>
      </c>
      <c r="AP39" s="64" t="str">
        <f t="shared" si="21"/>
        <v/>
      </c>
      <c r="AQ39" s="64" t="str">
        <f t="shared" si="22"/>
        <v/>
      </c>
      <c r="AR39" s="64" t="str">
        <f t="shared" si="23"/>
        <v/>
      </c>
      <c r="AS39" s="64" t="str">
        <f t="shared" si="24"/>
        <v/>
      </c>
      <c r="AT39" s="64" t="str">
        <f t="shared" si="25"/>
        <v/>
      </c>
    </row>
    <row r="40" spans="1:47" x14ac:dyDescent="0.25">
      <c r="A40" s="60">
        <v>4</v>
      </c>
      <c r="B40" s="62">
        <v>40835</v>
      </c>
      <c r="C40" s="10">
        <v>0.21070241196027401</v>
      </c>
      <c r="D40" s="10">
        <v>0.20021433134802</v>
      </c>
      <c r="E40" s="10">
        <v>0.20232025578983698</v>
      </c>
      <c r="F40" s="10">
        <v>0.27938806436870101</v>
      </c>
      <c r="G40" s="10">
        <v>0.159650128441925</v>
      </c>
      <c r="H40" s="10">
        <v>0.17795920116568101</v>
      </c>
      <c r="I40" s="10">
        <v>0.24763563962170199</v>
      </c>
      <c r="J40" s="10">
        <v>0.22564365942433501</v>
      </c>
      <c r="K40" s="10">
        <v>0.17308273122226597</v>
      </c>
      <c r="L40" s="10">
        <v>0.18086548847470901</v>
      </c>
      <c r="M40" s="10">
        <v>0.146617714107456</v>
      </c>
      <c r="N40" s="10">
        <v>0.23302938196555201</v>
      </c>
      <c r="O40" s="10"/>
      <c r="P40" s="10"/>
      <c r="Q40" s="64"/>
      <c r="R40" s="60">
        <v>4</v>
      </c>
      <c r="S40" s="62">
        <v>40835</v>
      </c>
      <c r="T40" s="64">
        <f t="shared" si="2"/>
        <v>0.35000116914666768</v>
      </c>
      <c r="U40" s="64">
        <f t="shared" si="3"/>
        <v>0.33723183869871992</v>
      </c>
      <c r="V40" s="64">
        <f t="shared" si="4"/>
        <v>0.35171046416964863</v>
      </c>
      <c r="W40" s="64">
        <f t="shared" si="5"/>
        <v>0.43211582920746877</v>
      </c>
      <c r="X40" s="64">
        <f t="shared" si="6"/>
        <v>0.27290199787687497</v>
      </c>
      <c r="Y40" s="64">
        <f t="shared" si="7"/>
        <v>0.31017718975097591</v>
      </c>
      <c r="Z40" s="64" t="str">
        <f t="shared" si="8"/>
        <v/>
      </c>
      <c r="AA40" s="64">
        <f t="shared" si="9"/>
        <v>0.36377606880322655</v>
      </c>
      <c r="AB40" s="64">
        <f t="shared" si="10"/>
        <v>0.2708489618857774</v>
      </c>
      <c r="AC40" s="64">
        <f t="shared" si="11"/>
        <v>0.29124165348022152</v>
      </c>
      <c r="AD40" s="64">
        <f t="shared" si="12"/>
        <v>0.23893221355491104</v>
      </c>
      <c r="AE40" s="64">
        <f t="shared" si="13"/>
        <v>0.37851081592525559</v>
      </c>
      <c r="AG40" s="60">
        <v>4</v>
      </c>
      <c r="AH40" s="62">
        <v>40835</v>
      </c>
      <c r="AI40" s="85">
        <f t="shared" si="14"/>
        <v>0.33918984801323332</v>
      </c>
      <c r="AJ40" s="85">
        <f t="shared" si="15"/>
        <v>0.33114572837848705</v>
      </c>
      <c r="AK40" s="85">
        <f t="shared" si="16"/>
        <v>0.34902134511867905</v>
      </c>
      <c r="AL40" s="85">
        <f t="shared" si="17"/>
        <v>0.39168415103008664</v>
      </c>
      <c r="AM40" s="85">
        <f t="shared" si="18"/>
        <v>0.26345461304447892</v>
      </c>
      <c r="AN40" s="85">
        <f t="shared" si="19"/>
        <v>0.29939812442176478</v>
      </c>
      <c r="AO40" s="85" t="str">
        <f t="shared" si="20"/>
        <v/>
      </c>
      <c r="AP40" s="85">
        <f t="shared" si="21"/>
        <v>0.3401554430514056</v>
      </c>
      <c r="AQ40" s="85">
        <f t="shared" si="22"/>
        <v>0.26261963195870269</v>
      </c>
      <c r="AR40" s="85">
        <f t="shared" si="23"/>
        <v>0.26919406281821295</v>
      </c>
      <c r="AS40" s="85">
        <f t="shared" si="24"/>
        <v>0.22686897028354389</v>
      </c>
      <c r="AT40" s="85">
        <f t="shared" si="25"/>
        <v>0.36888759022634759</v>
      </c>
      <c r="AU40" s="64" t="str">
        <f t="shared" ref="AU40:AU61" si="26">IFERROR(LOOKUP(O$5,$B$67:$M$67,IF($A40=1,$B$75:$M$75,IF($A40=2,$B$76:$M$76,IF($A40=3,$B$77:$M$77,IF($A40=4,$B$78:$M$78,$B$79:$M$79)))))*IF(O40="","",O40),"")</f>
        <v/>
      </c>
    </row>
    <row r="41" spans="1:47" x14ac:dyDescent="0.25">
      <c r="A41" s="60">
        <v>4</v>
      </c>
      <c r="B41" s="62">
        <v>41016</v>
      </c>
      <c r="C41" s="10">
        <v>0.21127348643006272</v>
      </c>
      <c r="D41" s="10">
        <v>0.22134286443706905</v>
      </c>
      <c r="E41" s="10"/>
      <c r="F41" s="10"/>
      <c r="G41" s="10">
        <v>0.22862872900476303</v>
      </c>
      <c r="H41" s="10">
        <v>0.21703134240094604</v>
      </c>
      <c r="I41" s="10"/>
      <c r="J41" s="10">
        <v>0.28599605522682459</v>
      </c>
      <c r="K41" s="10">
        <v>0.22201834862385297</v>
      </c>
      <c r="L41" s="10">
        <v>0.24339323467230425</v>
      </c>
      <c r="M41" s="10">
        <v>0.26890756302521013</v>
      </c>
      <c r="N41" s="10">
        <v>0.22156493681097075</v>
      </c>
      <c r="O41" s="10"/>
      <c r="P41" s="10"/>
      <c r="Q41" s="64"/>
      <c r="R41" s="60">
        <v>4</v>
      </c>
      <c r="S41" s="62">
        <v>41016</v>
      </c>
      <c r="T41" s="64">
        <f t="shared" si="2"/>
        <v>0.35094979014362876</v>
      </c>
      <c r="U41" s="64">
        <f t="shared" si="3"/>
        <v>0.37281977096437496</v>
      </c>
      <c r="V41" s="64" t="str">
        <f t="shared" si="4"/>
        <v/>
      </c>
      <c r="W41" s="64" t="str">
        <f t="shared" si="5"/>
        <v/>
      </c>
      <c r="X41" s="64">
        <f t="shared" si="6"/>
        <v>0.39081231895248297</v>
      </c>
      <c r="Y41" s="64">
        <f t="shared" si="7"/>
        <v>0.37827868091593458</v>
      </c>
      <c r="Z41" s="64" t="str">
        <f t="shared" si="8"/>
        <v/>
      </c>
      <c r="AA41" s="64">
        <f t="shared" si="9"/>
        <v>0.46107442561900092</v>
      </c>
      <c r="AB41" s="64">
        <f t="shared" si="10"/>
        <v>0.34742598998593466</v>
      </c>
      <c r="AC41" s="64">
        <f t="shared" si="11"/>
        <v>0.39192799416663576</v>
      </c>
      <c r="AD41" s="64">
        <f t="shared" si="12"/>
        <v>0.43821907650381825</v>
      </c>
      <c r="AE41" s="64">
        <f t="shared" si="13"/>
        <v>0.35988905907644597</v>
      </c>
      <c r="AG41" s="60">
        <v>4</v>
      </c>
      <c r="AH41" s="62">
        <v>41016</v>
      </c>
      <c r="AI41" s="85">
        <f t="shared" si="14"/>
        <v>0.34010916669027058</v>
      </c>
      <c r="AJ41" s="85">
        <f t="shared" si="15"/>
        <v>0.36609139601493773</v>
      </c>
      <c r="AK41" s="85" t="str">
        <f t="shared" si="16"/>
        <v/>
      </c>
      <c r="AL41" s="85" t="str">
        <f t="shared" si="17"/>
        <v/>
      </c>
      <c r="AM41" s="85">
        <f t="shared" si="18"/>
        <v>0.37728308720222287</v>
      </c>
      <c r="AN41" s="85">
        <f t="shared" si="19"/>
        <v>0.3651329991928064</v>
      </c>
      <c r="AO41" s="85" t="str">
        <f t="shared" si="20"/>
        <v/>
      </c>
      <c r="AP41" s="85">
        <f t="shared" si="21"/>
        <v>0.4311360448807855</v>
      </c>
      <c r="AQ41" s="85">
        <f t="shared" si="22"/>
        <v>0.33686998461331469</v>
      </c>
      <c r="AR41" s="85">
        <f t="shared" si="23"/>
        <v>0.36225824095272985</v>
      </c>
      <c r="AS41" s="85">
        <f t="shared" si="24"/>
        <v>0.41609421000981356</v>
      </c>
      <c r="AT41" s="85">
        <f t="shared" si="25"/>
        <v>0.35073927128611726</v>
      </c>
      <c r="AU41" s="64" t="str">
        <f t="shared" si="26"/>
        <v/>
      </c>
    </row>
    <row r="42" spans="1:47" x14ac:dyDescent="0.25">
      <c r="A42" s="60">
        <v>4</v>
      </c>
      <c r="B42" s="62">
        <v>41177</v>
      </c>
      <c r="C42" s="10">
        <v>0.19203980099502482</v>
      </c>
      <c r="D42" s="10">
        <v>0.18929503916449095</v>
      </c>
      <c r="E42" s="10">
        <v>0.17913238593866865</v>
      </c>
      <c r="F42" s="10">
        <v>0.25035663338088426</v>
      </c>
      <c r="G42" s="10">
        <v>0.17680608365019007</v>
      </c>
      <c r="H42" s="10">
        <v>0.17619680851063818</v>
      </c>
      <c r="I42" s="10"/>
      <c r="J42" s="10">
        <v>0.22400829660357793</v>
      </c>
      <c r="K42" s="10">
        <v>0.22714833059660663</v>
      </c>
      <c r="L42" s="10">
        <v>0.22361308677098146</v>
      </c>
      <c r="M42" s="10">
        <v>0.20802337938363438</v>
      </c>
      <c r="N42" s="10">
        <v>0.17757009345794381</v>
      </c>
      <c r="O42" s="10"/>
      <c r="P42" s="10"/>
      <c r="Q42" s="64"/>
      <c r="R42" s="60">
        <v>4</v>
      </c>
      <c r="S42" s="62">
        <v>41177</v>
      </c>
      <c r="T42" s="64">
        <f t="shared" si="2"/>
        <v>0.31900040557497128</v>
      </c>
      <c r="U42" s="64">
        <f t="shared" si="3"/>
        <v>0.31883988365960086</v>
      </c>
      <c r="V42" s="64">
        <f t="shared" si="4"/>
        <v>0.31140102289980676</v>
      </c>
      <c r="W42" s="64">
        <f t="shared" si="5"/>
        <v>0.38721433743212719</v>
      </c>
      <c r="X42" s="64">
        <f t="shared" si="6"/>
        <v>0.30222796521253437</v>
      </c>
      <c r="Y42" s="64">
        <f t="shared" si="7"/>
        <v>0.30710539578135693</v>
      </c>
      <c r="Z42" s="64" t="str">
        <f t="shared" si="8"/>
        <v/>
      </c>
      <c r="AA42" s="64">
        <f t="shared" si="9"/>
        <v>0.36113958497948567</v>
      </c>
      <c r="AB42" s="64">
        <f t="shared" si="10"/>
        <v>0.35545365561150655</v>
      </c>
      <c r="AC42" s="64">
        <f t="shared" si="11"/>
        <v>0.36007668284435362</v>
      </c>
      <c r="AD42" s="64">
        <f t="shared" si="12"/>
        <v>0.33900055535497686</v>
      </c>
      <c r="AE42" s="64">
        <f t="shared" si="13"/>
        <v>0.28842801020098818</v>
      </c>
      <c r="AG42" s="60">
        <v>4</v>
      </c>
      <c r="AH42" s="62">
        <v>41177</v>
      </c>
      <c r="AI42" s="85">
        <f t="shared" si="14"/>
        <v>0.30914667898664211</v>
      </c>
      <c r="AJ42" s="85">
        <f t="shared" si="15"/>
        <v>0.31308569771461314</v>
      </c>
      <c r="AK42" s="85">
        <f t="shared" si="16"/>
        <v>0.30902010305669581</v>
      </c>
      <c r="AL42" s="85">
        <f t="shared" si="17"/>
        <v>0.35098394636906954</v>
      </c>
      <c r="AM42" s="85">
        <f t="shared" si="18"/>
        <v>0.2917653672224565</v>
      </c>
      <c r="AN42" s="85">
        <f t="shared" si="19"/>
        <v>0.29643307933301288</v>
      </c>
      <c r="AO42" s="85" t="str">
        <f t="shared" si="20"/>
        <v/>
      </c>
      <c r="AP42" s="85">
        <f t="shared" si="21"/>
        <v>0.33769015080138798</v>
      </c>
      <c r="AQ42" s="85">
        <f t="shared" si="22"/>
        <v>0.34465374194211068</v>
      </c>
      <c r="AR42" s="85">
        <f t="shared" si="23"/>
        <v>0.33281813924174586</v>
      </c>
      <c r="AS42" s="85">
        <f t="shared" si="24"/>
        <v>0.32188504753988761</v>
      </c>
      <c r="AT42" s="85">
        <f t="shared" si="25"/>
        <v>0.28109504183318557</v>
      </c>
      <c r="AU42" s="64" t="str">
        <f t="shared" si="26"/>
        <v/>
      </c>
    </row>
    <row r="43" spans="1:47" x14ac:dyDescent="0.25">
      <c r="A43" s="60">
        <v>4</v>
      </c>
      <c r="B43" s="63">
        <v>41362</v>
      </c>
      <c r="C43" s="10"/>
      <c r="D43" s="10">
        <v>0.22129436325678484</v>
      </c>
      <c r="E43" s="10"/>
      <c r="F43" s="10">
        <v>0.33594089526292897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64"/>
      <c r="R43" s="60">
        <v>4</v>
      </c>
      <c r="S43" s="63">
        <v>41362</v>
      </c>
      <c r="T43" s="64" t="str">
        <f t="shared" si="2"/>
        <v/>
      </c>
      <c r="U43" s="64">
        <f t="shared" si="3"/>
        <v>0.37273807780037327</v>
      </c>
      <c r="V43" s="64" t="str">
        <f t="shared" si="4"/>
        <v/>
      </c>
      <c r="W43" s="64">
        <f t="shared" si="5"/>
        <v>0.51958332167572152</v>
      </c>
      <c r="X43" s="64" t="str">
        <f t="shared" si="6"/>
        <v/>
      </c>
      <c r="Y43" s="64" t="str">
        <f t="shared" si="7"/>
        <v/>
      </c>
      <c r="Z43" s="64" t="str">
        <f t="shared" si="8"/>
        <v/>
      </c>
      <c r="AA43" s="64" t="str">
        <f t="shared" si="9"/>
        <v/>
      </c>
      <c r="AB43" s="64" t="str">
        <f t="shared" si="10"/>
        <v/>
      </c>
      <c r="AC43" s="64" t="str">
        <f t="shared" si="11"/>
        <v/>
      </c>
      <c r="AD43" s="64" t="str">
        <f t="shared" si="12"/>
        <v/>
      </c>
      <c r="AE43" s="64" t="str">
        <f t="shared" si="13"/>
        <v/>
      </c>
      <c r="AG43" s="60">
        <v>4</v>
      </c>
      <c r="AH43" s="63">
        <v>41362</v>
      </c>
      <c r="AI43" s="85" t="str">
        <f t="shared" si="14"/>
        <v/>
      </c>
      <c r="AJ43" s="85">
        <f t="shared" si="15"/>
        <v>0.36601117718862147</v>
      </c>
      <c r="AK43" s="85" t="str">
        <f t="shared" si="16"/>
        <v/>
      </c>
      <c r="AL43" s="85">
        <f t="shared" si="17"/>
        <v>0.47096759360378887</v>
      </c>
      <c r="AM43" s="85" t="str">
        <f t="shared" si="18"/>
        <v/>
      </c>
      <c r="AN43" s="85" t="str">
        <f t="shared" si="19"/>
        <v/>
      </c>
      <c r="AO43" s="85" t="str">
        <f t="shared" si="20"/>
        <v/>
      </c>
      <c r="AP43" s="85" t="str">
        <f t="shared" si="21"/>
        <v/>
      </c>
      <c r="AQ43" s="85" t="str">
        <f t="shared" si="22"/>
        <v/>
      </c>
      <c r="AR43" s="85" t="str">
        <f t="shared" si="23"/>
        <v/>
      </c>
      <c r="AS43" s="85" t="str">
        <f t="shared" si="24"/>
        <v/>
      </c>
      <c r="AT43" s="85" t="str">
        <f t="shared" si="25"/>
        <v/>
      </c>
      <c r="AU43" s="64" t="str">
        <f t="shared" si="26"/>
        <v/>
      </c>
    </row>
    <row r="44" spans="1:47" x14ac:dyDescent="0.25">
      <c r="A44" s="60">
        <v>4</v>
      </c>
      <c r="B44" s="63">
        <v>41435</v>
      </c>
      <c r="C44" s="10">
        <v>0.22360686574182942</v>
      </c>
      <c r="D44" s="10">
        <v>0.20627584529311574</v>
      </c>
      <c r="E44" s="10"/>
      <c r="F44" s="10"/>
      <c r="G44" s="10"/>
      <c r="H44" s="10"/>
      <c r="I44" s="10"/>
      <c r="J44" s="10"/>
      <c r="K44" s="10"/>
      <c r="L44" s="10"/>
      <c r="M44" s="10">
        <v>0.22056186491332919</v>
      </c>
      <c r="N44" s="10"/>
      <c r="O44" s="10"/>
      <c r="P44" s="10"/>
      <c r="Q44" s="64"/>
      <c r="R44" s="60">
        <v>4</v>
      </c>
      <c r="S44" s="63">
        <v>41435</v>
      </c>
      <c r="T44" s="64">
        <f t="shared" si="2"/>
        <v>0.37143696510516433</v>
      </c>
      <c r="U44" s="64">
        <f t="shared" si="3"/>
        <v>0.34744157483119176</v>
      </c>
      <c r="V44" s="64" t="str">
        <f t="shared" si="4"/>
        <v/>
      </c>
      <c r="W44" s="64" t="str">
        <f t="shared" si="5"/>
        <v/>
      </c>
      <c r="X44" s="64" t="str">
        <f t="shared" si="6"/>
        <v/>
      </c>
      <c r="Y44" s="64" t="str">
        <f t="shared" si="7"/>
        <v/>
      </c>
      <c r="Z44" s="64" t="str">
        <f t="shared" si="8"/>
        <v/>
      </c>
      <c r="AA44" s="64" t="str">
        <f t="shared" si="9"/>
        <v/>
      </c>
      <c r="AB44" s="64" t="str">
        <f t="shared" si="10"/>
        <v/>
      </c>
      <c r="AC44" s="64" t="str">
        <f t="shared" si="11"/>
        <v/>
      </c>
      <c r="AD44" s="64">
        <f t="shared" si="12"/>
        <v>0.35943361230497506</v>
      </c>
      <c r="AE44" s="64" t="str">
        <f t="shared" si="13"/>
        <v/>
      </c>
      <c r="AG44" s="60">
        <v>4</v>
      </c>
      <c r="AH44" s="63">
        <v>41435</v>
      </c>
      <c r="AI44" s="85">
        <f t="shared" si="14"/>
        <v>0.35996350540109862</v>
      </c>
      <c r="AJ44" s="85">
        <f t="shared" si="15"/>
        <v>0.34117120675913315</v>
      </c>
      <c r="AK44" s="85" t="str">
        <f t="shared" si="16"/>
        <v/>
      </c>
      <c r="AL44" s="85" t="str">
        <f t="shared" si="17"/>
        <v/>
      </c>
      <c r="AM44" s="85" t="str">
        <f t="shared" si="18"/>
        <v/>
      </c>
      <c r="AN44" s="85" t="str">
        <f t="shared" si="19"/>
        <v/>
      </c>
      <c r="AO44" s="85" t="str">
        <f t="shared" si="20"/>
        <v/>
      </c>
      <c r="AP44" s="85" t="str">
        <f t="shared" si="21"/>
        <v/>
      </c>
      <c r="AQ44" s="85" t="str">
        <f t="shared" si="22"/>
        <v/>
      </c>
      <c r="AR44" s="85" t="str">
        <f t="shared" si="23"/>
        <v/>
      </c>
      <c r="AS44" s="85">
        <f t="shared" si="24"/>
        <v>0.34128647743090457</v>
      </c>
      <c r="AT44" s="85" t="str">
        <f t="shared" si="25"/>
        <v/>
      </c>
      <c r="AU44" s="64" t="str">
        <f t="shared" si="26"/>
        <v/>
      </c>
    </row>
    <row r="45" spans="1:47" x14ac:dyDescent="0.25">
      <c r="A45" s="60">
        <v>4</v>
      </c>
      <c r="B45" s="63">
        <v>41527</v>
      </c>
      <c r="C45" s="10">
        <v>0.22949105275389262</v>
      </c>
      <c r="D45" s="10">
        <v>0.17884990253411304</v>
      </c>
      <c r="E45" s="10">
        <v>0.19561049778541684</v>
      </c>
      <c r="F45" s="10">
        <v>0.23673019373129631</v>
      </c>
      <c r="G45" s="10">
        <v>0.17732320280537681</v>
      </c>
      <c r="H45" s="10">
        <v>0.21047038424967834</v>
      </c>
      <c r="I45" s="10"/>
      <c r="J45" s="10">
        <v>0.23565057533873462</v>
      </c>
      <c r="K45" s="10">
        <v>0.21535075653370003</v>
      </c>
      <c r="L45" s="10">
        <v>0.19468168572069044</v>
      </c>
      <c r="M45" s="10">
        <v>0.1674450333210892</v>
      </c>
      <c r="N45" s="10">
        <v>0.21132457027300305</v>
      </c>
      <c r="O45" s="64"/>
      <c r="P45" s="64"/>
      <c r="Q45" s="64"/>
      <c r="R45" s="60">
        <v>4</v>
      </c>
      <c r="S45" s="63">
        <v>41527</v>
      </c>
      <c r="T45" s="64">
        <f t="shared" si="2"/>
        <v>0.38121128289554657</v>
      </c>
      <c r="U45" s="64">
        <f t="shared" si="3"/>
        <v>0.30124657449134323</v>
      </c>
      <c r="V45" s="64">
        <f t="shared" si="4"/>
        <v>0.34004632261848333</v>
      </c>
      <c r="W45" s="64">
        <f t="shared" si="5"/>
        <v>0.36613899091855268</v>
      </c>
      <c r="X45" s="64">
        <f t="shared" si="6"/>
        <v>0.30311191596138826</v>
      </c>
      <c r="Y45" s="64">
        <f t="shared" si="7"/>
        <v>0.36684314092641013</v>
      </c>
      <c r="Z45" s="64" t="str">
        <f t="shared" si="8"/>
        <v/>
      </c>
      <c r="AA45" s="64">
        <f t="shared" si="9"/>
        <v>0.37990892421548084</v>
      </c>
      <c r="AB45" s="64">
        <f t="shared" si="10"/>
        <v>0.33699219117109697</v>
      </c>
      <c r="AC45" s="64">
        <f t="shared" si="11"/>
        <v>0.31348941431432442</v>
      </c>
      <c r="AD45" s="64">
        <f t="shared" si="12"/>
        <v>0.27287297925584791</v>
      </c>
      <c r="AE45" s="64">
        <f t="shared" si="13"/>
        <v>0.34325557937974049</v>
      </c>
      <c r="AG45" s="60">
        <v>4</v>
      </c>
      <c r="AH45" s="63">
        <v>41527</v>
      </c>
      <c r="AI45" s="85">
        <f t="shared" si="14"/>
        <v>0.36943590051862318</v>
      </c>
      <c r="AJ45" s="85">
        <f t="shared" si="15"/>
        <v>0.29580989955275738</v>
      </c>
      <c r="AK45" s="85">
        <f t="shared" si="16"/>
        <v>0.33744638563189305</v>
      </c>
      <c r="AL45" s="85">
        <f t="shared" si="17"/>
        <v>0.33188055174921871</v>
      </c>
      <c r="AM45" s="85">
        <f t="shared" si="18"/>
        <v>0.29261871715870263</v>
      </c>
      <c r="AN45" s="85">
        <f t="shared" si="19"/>
        <v>0.3540948592594268</v>
      </c>
      <c r="AO45" s="85" t="str">
        <f t="shared" si="20"/>
        <v/>
      </c>
      <c r="AP45" s="85">
        <f t="shared" si="21"/>
        <v>0.35524076353027412</v>
      </c>
      <c r="AQ45" s="85">
        <f t="shared" si="22"/>
        <v>0.32675320075855735</v>
      </c>
      <c r="AR45" s="85">
        <f t="shared" si="23"/>
        <v>0.2897576225150294</v>
      </c>
      <c r="AS45" s="85">
        <f t="shared" si="24"/>
        <v>0.25909612982240171</v>
      </c>
      <c r="AT45" s="85">
        <f t="shared" si="25"/>
        <v>0.33452867971451938</v>
      </c>
      <c r="AU45" s="64" t="str">
        <f t="shared" si="26"/>
        <v/>
      </c>
    </row>
    <row r="46" spans="1:47" x14ac:dyDescent="0.25">
      <c r="A46" s="60">
        <v>4</v>
      </c>
      <c r="B46" s="63">
        <v>41675</v>
      </c>
      <c r="C46" s="10">
        <v>0.21100606553488521</v>
      </c>
      <c r="D46" s="10">
        <v>0.14876133913680181</v>
      </c>
      <c r="E46" s="10">
        <v>0.16812045690550362</v>
      </c>
      <c r="F46" s="10">
        <v>0.21441111923921</v>
      </c>
      <c r="G46" s="10"/>
      <c r="H46" s="10"/>
      <c r="I46" s="10"/>
      <c r="J46" s="10">
        <v>0.16609860628353493</v>
      </c>
      <c r="K46" s="10"/>
      <c r="L46" s="10"/>
      <c r="M46" s="10"/>
      <c r="N46" s="10">
        <v>0.20161227509930671</v>
      </c>
      <c r="P46" s="64"/>
      <c r="Q46" s="64"/>
      <c r="R46" s="60">
        <v>4</v>
      </c>
      <c r="S46" s="63">
        <v>41675</v>
      </c>
      <c r="T46" s="64">
        <f t="shared" si="2"/>
        <v>0.3505055729887534</v>
      </c>
      <c r="U46" s="64">
        <f t="shared" si="3"/>
        <v>0.25056677804540012</v>
      </c>
      <c r="V46" s="64">
        <f t="shared" si="4"/>
        <v>0.2922580524812598</v>
      </c>
      <c r="W46" s="64">
        <f t="shared" si="5"/>
        <v>0.33161917203121594</v>
      </c>
      <c r="X46" s="64" t="str">
        <f t="shared" si="6"/>
        <v/>
      </c>
      <c r="Y46" s="64" t="str">
        <f t="shared" si="7"/>
        <v/>
      </c>
      <c r="Z46" s="64" t="str">
        <f t="shared" si="8"/>
        <v/>
      </c>
      <c r="AA46" s="64">
        <f t="shared" si="9"/>
        <v>0.26777928607287438</v>
      </c>
      <c r="AB46" s="64" t="str">
        <f t="shared" si="10"/>
        <v/>
      </c>
      <c r="AC46" s="64" t="str">
        <f t="shared" si="11"/>
        <v/>
      </c>
      <c r="AD46" s="64" t="str">
        <f t="shared" si="12"/>
        <v/>
      </c>
      <c r="AE46" s="64">
        <f t="shared" si="13"/>
        <v>0.32747984869850749</v>
      </c>
      <c r="AG46" s="60">
        <v>4</v>
      </c>
      <c r="AH46" s="63">
        <v>41675</v>
      </c>
      <c r="AI46" s="85">
        <f t="shared" si="14"/>
        <v>0.33967867113045741</v>
      </c>
      <c r="AJ46" s="85">
        <f t="shared" si="15"/>
        <v>0.24604473451696562</v>
      </c>
      <c r="AK46" s="85">
        <f t="shared" si="16"/>
        <v>0.29002349657010124</v>
      </c>
      <c r="AL46" s="85">
        <f t="shared" si="17"/>
        <v>0.30059064047844425</v>
      </c>
      <c r="AM46" s="85" t="str">
        <f t="shared" si="18"/>
        <v/>
      </c>
      <c r="AN46" s="85" t="str">
        <f t="shared" si="19"/>
        <v/>
      </c>
      <c r="AO46" s="85" t="str">
        <f t="shared" si="20"/>
        <v/>
      </c>
      <c r="AP46" s="85">
        <f t="shared" si="21"/>
        <v>0.25039190179213833</v>
      </c>
      <c r="AQ46" s="85" t="str">
        <f t="shared" si="22"/>
        <v/>
      </c>
      <c r="AR46" s="85" t="str">
        <f t="shared" si="23"/>
        <v/>
      </c>
      <c r="AS46" s="85" t="str">
        <f t="shared" si="24"/>
        <v/>
      </c>
      <c r="AT46" s="85">
        <f t="shared" si="25"/>
        <v>0.31915402982285274</v>
      </c>
      <c r="AU46" s="64" t="str">
        <f t="shared" si="26"/>
        <v/>
      </c>
    </row>
    <row r="47" spans="1:47" x14ac:dyDescent="0.25">
      <c r="A47" s="60">
        <v>4</v>
      </c>
      <c r="B47" s="63">
        <v>41676</v>
      </c>
      <c r="C47" s="10"/>
      <c r="D47" s="10"/>
      <c r="E47" s="10"/>
      <c r="F47" s="10"/>
      <c r="G47" s="10">
        <v>0.15402056213596019</v>
      </c>
      <c r="H47" s="10">
        <v>0.14633689338579708</v>
      </c>
      <c r="I47" s="10">
        <v>0.33950719364974369</v>
      </c>
      <c r="J47" s="10"/>
      <c r="K47" s="10">
        <v>0.22939109618131984</v>
      </c>
      <c r="L47" s="10">
        <v>0.18278200277226248</v>
      </c>
      <c r="M47" s="10">
        <v>0.15735919551651484</v>
      </c>
      <c r="N47" s="10"/>
      <c r="P47" s="64"/>
      <c r="Q47" s="64"/>
      <c r="R47" s="60">
        <v>4</v>
      </c>
      <c r="S47" s="63">
        <v>41676</v>
      </c>
      <c r="T47" s="64" t="str">
        <f t="shared" si="2"/>
        <v/>
      </c>
      <c r="U47" s="64" t="str">
        <f t="shared" si="3"/>
        <v/>
      </c>
      <c r="V47" s="64" t="str">
        <f t="shared" si="4"/>
        <v/>
      </c>
      <c r="W47" s="64" t="str">
        <f t="shared" si="5"/>
        <v/>
      </c>
      <c r="X47" s="64">
        <f t="shared" si="6"/>
        <v>0.26327895587201372</v>
      </c>
      <c r="Y47" s="64">
        <f t="shared" si="7"/>
        <v>0.25506051977068622</v>
      </c>
      <c r="Z47" s="64" t="str">
        <f t="shared" si="8"/>
        <v/>
      </c>
      <c r="AA47" s="64" t="str">
        <f t="shared" si="9"/>
        <v/>
      </c>
      <c r="AB47" s="64">
        <f t="shared" si="10"/>
        <v>0.35896325316686667</v>
      </c>
      <c r="AC47" s="64">
        <f t="shared" si="11"/>
        <v>0.29432775242394571</v>
      </c>
      <c r="AD47" s="64">
        <f t="shared" si="12"/>
        <v>0.25643682372803361</v>
      </c>
      <c r="AE47" s="64" t="str">
        <f t="shared" si="13"/>
        <v/>
      </c>
      <c r="AG47" s="60">
        <v>4</v>
      </c>
      <c r="AH47" s="63">
        <v>41676</v>
      </c>
      <c r="AI47" s="85" t="str">
        <f t="shared" si="14"/>
        <v/>
      </c>
      <c r="AJ47" s="85" t="str">
        <f t="shared" si="15"/>
        <v/>
      </c>
      <c r="AK47" s="85" t="str">
        <f t="shared" si="16"/>
        <v/>
      </c>
      <c r="AL47" s="85" t="str">
        <f t="shared" si="17"/>
        <v/>
      </c>
      <c r="AM47" s="85">
        <f t="shared" si="18"/>
        <v>0.25416470374581079</v>
      </c>
      <c r="AN47" s="85">
        <f t="shared" si="19"/>
        <v>0.24619683121990002</v>
      </c>
      <c r="AO47" s="85" t="str">
        <f t="shared" si="20"/>
        <v/>
      </c>
      <c r="AP47" s="85" t="str">
        <f t="shared" si="21"/>
        <v/>
      </c>
      <c r="AQ47" s="85">
        <f t="shared" si="22"/>
        <v>0.34805670576332903</v>
      </c>
      <c r="AR47" s="85">
        <f t="shared" si="23"/>
        <v>0.27204653774064547</v>
      </c>
      <c r="AS47" s="85">
        <f t="shared" si="24"/>
        <v>0.24348980523127059</v>
      </c>
      <c r="AT47" s="85" t="str">
        <f t="shared" si="25"/>
        <v/>
      </c>
      <c r="AU47" s="64" t="str">
        <f t="shared" si="26"/>
        <v/>
      </c>
    </row>
    <row r="48" spans="1:47" x14ac:dyDescent="0.25">
      <c r="A48" s="60">
        <v>4</v>
      </c>
      <c r="B48" s="63">
        <v>41750</v>
      </c>
      <c r="C48" s="10">
        <v>0.24383466481417146</v>
      </c>
      <c r="D48" s="10">
        <v>0.22725245316681511</v>
      </c>
      <c r="E48" s="10"/>
      <c r="F48" s="10"/>
      <c r="G48" s="10"/>
      <c r="H48" s="10"/>
      <c r="I48" s="10"/>
      <c r="J48" s="10"/>
      <c r="K48" s="10">
        <v>0.28170393340949906</v>
      </c>
      <c r="L48" s="10">
        <v>0.29451921201482367</v>
      </c>
      <c r="M48" s="10"/>
      <c r="N48" s="10">
        <v>0.25434988927554569</v>
      </c>
      <c r="P48" s="64"/>
      <c r="Q48" s="64"/>
      <c r="R48" s="60">
        <v>4</v>
      </c>
      <c r="S48" s="63">
        <v>41750</v>
      </c>
      <c r="T48" s="64">
        <f t="shared" si="2"/>
        <v>0.40503768784353722</v>
      </c>
      <c r="U48" s="64">
        <f t="shared" si="3"/>
        <v>0.38277361123079107</v>
      </c>
      <c r="V48" s="64" t="str">
        <f t="shared" si="4"/>
        <v/>
      </c>
      <c r="W48" s="64" t="str">
        <f t="shared" si="5"/>
        <v/>
      </c>
      <c r="X48" s="64" t="str">
        <f t="shared" si="6"/>
        <v/>
      </c>
      <c r="Y48" s="64" t="str">
        <f t="shared" si="7"/>
        <v/>
      </c>
      <c r="Z48" s="64" t="str">
        <f t="shared" si="8"/>
        <v/>
      </c>
      <c r="AA48" s="64" t="str">
        <f t="shared" si="9"/>
        <v/>
      </c>
      <c r="AB48" s="64">
        <f t="shared" si="10"/>
        <v>0.44082513249182881</v>
      </c>
      <c r="AC48" s="64">
        <f t="shared" si="11"/>
        <v>0.47425444739217643</v>
      </c>
      <c r="AD48" s="64" t="str">
        <f t="shared" si="12"/>
        <v/>
      </c>
      <c r="AE48" s="64">
        <f t="shared" si="13"/>
        <v>0.41314182489836038</v>
      </c>
      <c r="AG48" s="60">
        <v>4</v>
      </c>
      <c r="AH48" s="63">
        <v>41750</v>
      </c>
      <c r="AI48" s="85">
        <f t="shared" si="14"/>
        <v>0.39252632245268276</v>
      </c>
      <c r="AJ48" s="85">
        <f t="shared" si="15"/>
        <v>0.3758655967484878</v>
      </c>
      <c r="AK48" s="85" t="str">
        <f t="shared" si="16"/>
        <v/>
      </c>
      <c r="AL48" s="85" t="str">
        <f t="shared" si="17"/>
        <v/>
      </c>
      <c r="AM48" s="85" t="str">
        <f t="shared" si="18"/>
        <v/>
      </c>
      <c r="AN48" s="85" t="str">
        <f t="shared" si="19"/>
        <v/>
      </c>
      <c r="AO48" s="85" t="str">
        <f t="shared" si="20"/>
        <v/>
      </c>
      <c r="AP48" s="85" t="str">
        <f t="shared" si="21"/>
        <v/>
      </c>
      <c r="AQ48" s="85">
        <f t="shared" si="22"/>
        <v>0.42743133755104717</v>
      </c>
      <c r="AR48" s="85">
        <f t="shared" si="23"/>
        <v>0.43835241277318304</v>
      </c>
      <c r="AS48" s="85" t="str">
        <f t="shared" si="24"/>
        <v/>
      </c>
      <c r="AT48" s="85">
        <f t="shared" si="25"/>
        <v>0.40263814347267363</v>
      </c>
      <c r="AU48" s="64" t="str">
        <f t="shared" si="26"/>
        <v/>
      </c>
    </row>
    <row r="49" spans="1:47" x14ac:dyDescent="0.25">
      <c r="A49" s="60">
        <v>4</v>
      </c>
      <c r="B49" s="63">
        <v>41817</v>
      </c>
      <c r="C49" s="10">
        <v>0.23125216619900371</v>
      </c>
      <c r="D49" s="10">
        <v>0.2210270817334222</v>
      </c>
      <c r="E49" s="10">
        <v>0.18139798873293356</v>
      </c>
      <c r="F49" s="10">
        <v>0.27496161742902425</v>
      </c>
      <c r="G49" s="10">
        <v>0.20036534623321253</v>
      </c>
      <c r="H49" s="10"/>
      <c r="I49" s="10"/>
      <c r="J49" s="10">
        <v>0.22181149669026928</v>
      </c>
      <c r="K49" s="10"/>
      <c r="L49" s="10">
        <v>0.24879248946224036</v>
      </c>
      <c r="M49" s="10">
        <v>0.20699684560465548</v>
      </c>
      <c r="N49" s="10">
        <v>0.2185289953923473</v>
      </c>
      <c r="P49" s="64"/>
      <c r="Q49" s="64"/>
      <c r="R49" s="60">
        <v>4</v>
      </c>
      <c r="S49" s="63">
        <v>41817</v>
      </c>
      <c r="T49" s="64">
        <f t="shared" si="2"/>
        <v>0.3841366967959105</v>
      </c>
      <c r="U49" s="64">
        <f t="shared" si="3"/>
        <v>0.37228788105887678</v>
      </c>
      <c r="V49" s="64">
        <f t="shared" si="4"/>
        <v>0.31533951243603336</v>
      </c>
      <c r="W49" s="64">
        <f t="shared" si="5"/>
        <v>0.42526966062076388</v>
      </c>
      <c r="X49" s="64">
        <f t="shared" si="6"/>
        <v>0.34249958848123413</v>
      </c>
      <c r="Y49" s="64" t="str">
        <f t="shared" si="7"/>
        <v/>
      </c>
      <c r="Z49" s="64" t="str">
        <f t="shared" si="8"/>
        <v/>
      </c>
      <c r="AA49" s="64">
        <f t="shared" si="9"/>
        <v>0.35759796879381717</v>
      </c>
      <c r="AB49" s="64" t="str">
        <f t="shared" si="10"/>
        <v/>
      </c>
      <c r="AC49" s="64">
        <f t="shared" si="11"/>
        <v>0.40062223376891282</v>
      </c>
      <c r="AD49" s="64">
        <f t="shared" si="12"/>
        <v>0.33732768799653096</v>
      </c>
      <c r="AE49" s="64">
        <f t="shared" si="13"/>
        <v>0.35495776391627465</v>
      </c>
      <c r="AG49" s="60">
        <v>4</v>
      </c>
      <c r="AH49" s="63">
        <v>41817</v>
      </c>
      <c r="AI49" s="85">
        <f t="shared" si="14"/>
        <v>0.37227095018048428</v>
      </c>
      <c r="AJ49" s="85">
        <f t="shared" si="15"/>
        <v>0.36556910526429859</v>
      </c>
      <c r="AK49" s="85">
        <f t="shared" si="16"/>
        <v>0.31292847956438652</v>
      </c>
      <c r="AL49" s="85">
        <f t="shared" si="17"/>
        <v>0.38547855625793842</v>
      </c>
      <c r="AM49" s="85">
        <f t="shared" si="18"/>
        <v>0.33064285807071009</v>
      </c>
      <c r="AN49" s="85" t="str">
        <f t="shared" si="19"/>
        <v/>
      </c>
      <c r="AO49" s="85" t="str">
        <f t="shared" si="20"/>
        <v/>
      </c>
      <c r="AP49" s="85">
        <f t="shared" si="21"/>
        <v>0.33437849804006869</v>
      </c>
      <c r="AQ49" s="85" t="str">
        <f t="shared" si="22"/>
        <v/>
      </c>
      <c r="AR49" s="85">
        <f t="shared" si="23"/>
        <v>0.37029430878054453</v>
      </c>
      <c r="AS49" s="85">
        <f t="shared" si="24"/>
        <v>0.32029664014439696</v>
      </c>
      <c r="AT49" s="85">
        <f t="shared" si="25"/>
        <v>0.34593334894045391</v>
      </c>
      <c r="AU49" s="64" t="str">
        <f t="shared" si="26"/>
        <v/>
      </c>
    </row>
    <row r="50" spans="1:47" x14ac:dyDescent="0.25">
      <c r="A50" s="60">
        <v>4</v>
      </c>
      <c r="B50" s="63">
        <v>41820</v>
      </c>
      <c r="C50" s="10"/>
      <c r="D50" s="10"/>
      <c r="E50" s="10"/>
      <c r="F50" s="10"/>
      <c r="G50" s="10"/>
      <c r="H50" s="10">
        <v>0.18342463297721551</v>
      </c>
      <c r="I50" s="10"/>
      <c r="J50" s="10"/>
      <c r="K50" s="10">
        <v>0.25998347859037513</v>
      </c>
      <c r="L50" s="10"/>
      <c r="M50" s="10"/>
      <c r="N50" s="10"/>
      <c r="P50" s="64"/>
      <c r="Q50" s="64"/>
      <c r="R50" s="60">
        <v>4</v>
      </c>
      <c r="S50" s="63">
        <v>41820</v>
      </c>
      <c r="T50" s="64" t="str">
        <f t="shared" si="2"/>
        <v/>
      </c>
      <c r="U50" s="64" t="str">
        <f t="shared" si="3"/>
        <v/>
      </c>
      <c r="V50" s="64" t="str">
        <f t="shared" si="4"/>
        <v/>
      </c>
      <c r="W50" s="64" t="str">
        <f t="shared" si="5"/>
        <v/>
      </c>
      <c r="X50" s="64" t="str">
        <f t="shared" si="6"/>
        <v/>
      </c>
      <c r="Y50" s="64">
        <f t="shared" si="7"/>
        <v>0.31970326240680375</v>
      </c>
      <c r="Z50" s="64" t="str">
        <f t="shared" si="8"/>
        <v/>
      </c>
      <c r="AA50" s="64" t="str">
        <f t="shared" si="9"/>
        <v/>
      </c>
      <c r="AB50" s="64">
        <f t="shared" si="10"/>
        <v>0.40683582230529158</v>
      </c>
      <c r="AC50" s="64" t="str">
        <f t="shared" si="11"/>
        <v/>
      </c>
      <c r="AD50" s="64" t="str">
        <f t="shared" si="12"/>
        <v/>
      </c>
      <c r="AE50" s="64" t="str">
        <f t="shared" si="13"/>
        <v/>
      </c>
      <c r="AG50" s="60">
        <v>4</v>
      </c>
      <c r="AH50" s="63">
        <v>41820</v>
      </c>
      <c r="AI50" s="85" t="str">
        <f t="shared" si="14"/>
        <v/>
      </c>
      <c r="AJ50" s="85" t="str">
        <f t="shared" si="15"/>
        <v/>
      </c>
      <c r="AK50" s="85" t="str">
        <f t="shared" si="16"/>
        <v/>
      </c>
      <c r="AL50" s="85" t="str">
        <f t="shared" si="17"/>
        <v/>
      </c>
      <c r="AM50" s="85" t="str">
        <f t="shared" si="18"/>
        <v/>
      </c>
      <c r="AN50" s="85">
        <f t="shared" si="19"/>
        <v>0.30859315352287336</v>
      </c>
      <c r="AO50" s="85" t="str">
        <f t="shared" si="20"/>
        <v/>
      </c>
      <c r="AP50" s="85" t="str">
        <f t="shared" si="21"/>
        <v/>
      </c>
      <c r="AQ50" s="85">
        <f t="shared" si="22"/>
        <v>0.39447474037759012</v>
      </c>
      <c r="AR50" s="85" t="str">
        <f t="shared" si="23"/>
        <v/>
      </c>
      <c r="AS50" s="85" t="str">
        <f t="shared" si="24"/>
        <v/>
      </c>
      <c r="AT50" s="85" t="str">
        <f t="shared" si="25"/>
        <v/>
      </c>
      <c r="AU50" s="64" t="str">
        <f t="shared" si="26"/>
        <v/>
      </c>
    </row>
    <row r="51" spans="1:47" x14ac:dyDescent="0.25">
      <c r="A51" s="60">
        <v>5</v>
      </c>
      <c r="B51" s="62">
        <v>40835</v>
      </c>
      <c r="C51" s="10">
        <v>0.208466609184213</v>
      </c>
      <c r="D51" s="10">
        <v>0.20461107613485902</v>
      </c>
      <c r="E51" s="10">
        <v>0.19464567718647402</v>
      </c>
      <c r="F51" s="10">
        <v>0.223518908232893</v>
      </c>
      <c r="G51" s="10">
        <v>0.20038763143824601</v>
      </c>
      <c r="H51" s="10">
        <v>0.183592742282225</v>
      </c>
      <c r="I51" s="10"/>
      <c r="J51" s="10">
        <v>0.22805609329996698</v>
      </c>
      <c r="K51" s="10">
        <v>0.184902200488998</v>
      </c>
      <c r="L51" s="10">
        <v>0.189364229209152</v>
      </c>
      <c r="M51" s="10">
        <v>0.16416837334960099</v>
      </c>
      <c r="N51" s="10">
        <v>0.21740304634330801</v>
      </c>
      <c r="P51" s="64"/>
      <c r="Q51" s="64"/>
      <c r="R51" s="60">
        <v>5</v>
      </c>
      <c r="S51" s="62">
        <v>40835</v>
      </c>
      <c r="T51" s="64">
        <f t="shared" si="2"/>
        <v>0.34761201790519092</v>
      </c>
      <c r="U51" s="64">
        <f t="shared" si="3"/>
        <v>0.3495251135549432</v>
      </c>
      <c r="V51" s="64">
        <f t="shared" si="4"/>
        <v>0.33256411223710991</v>
      </c>
      <c r="W51" s="64">
        <f t="shared" si="5"/>
        <v>0.36814136901022726</v>
      </c>
      <c r="X51" s="64">
        <f t="shared" si="6"/>
        <v>0.35277013062086221</v>
      </c>
      <c r="Y51" s="64">
        <f t="shared" si="7"/>
        <v>0.3382088811288424</v>
      </c>
      <c r="Z51" s="64" t="str">
        <f t="shared" si="8"/>
        <v/>
      </c>
      <c r="AA51" s="64">
        <f t="shared" si="9"/>
        <v>0.37856516214223856</v>
      </c>
      <c r="AB51" s="64">
        <f t="shared" si="10"/>
        <v>0.2965364613136095</v>
      </c>
      <c r="AC51" s="64">
        <f t="shared" si="11"/>
        <v>0.30891359106689131</v>
      </c>
      <c r="AD51" s="64">
        <f t="shared" si="12"/>
        <v>0.27806298615861591</v>
      </c>
      <c r="AE51" s="64">
        <f t="shared" si="13"/>
        <v>0.34869258661701424</v>
      </c>
      <c r="AG51" s="60">
        <v>5</v>
      </c>
      <c r="AH51" s="62">
        <v>40835</v>
      </c>
      <c r="AI51" s="85">
        <f t="shared" si="14"/>
        <v>0.34690333765714981</v>
      </c>
      <c r="AJ51" s="85">
        <f t="shared" si="15"/>
        <v>0.34593628309885383</v>
      </c>
      <c r="AK51" s="85">
        <f t="shared" si="16"/>
        <v>0.33256411223710991</v>
      </c>
      <c r="AL51" s="85">
        <f t="shared" si="17"/>
        <v>0.35523459301795896</v>
      </c>
      <c r="AM51" s="85">
        <f t="shared" si="18"/>
        <v>0.34567166553942336</v>
      </c>
      <c r="AN51" s="85">
        <f t="shared" si="19"/>
        <v>0.3168888426175025</v>
      </c>
      <c r="AO51" s="85" t="str">
        <f t="shared" si="20"/>
        <v/>
      </c>
      <c r="AP51" s="85">
        <f t="shared" si="21"/>
        <v>0.37669408596612564</v>
      </c>
      <c r="AQ51" s="85">
        <f t="shared" si="22"/>
        <v>0.2965364613136095</v>
      </c>
      <c r="AR51" s="85">
        <f t="shared" si="23"/>
        <v>0.30891359106689131</v>
      </c>
      <c r="AS51" s="85">
        <f t="shared" si="24"/>
        <v>0.27409583408141075</v>
      </c>
      <c r="AT51" s="85">
        <f t="shared" si="25"/>
        <v>0.34869258661701424</v>
      </c>
      <c r="AU51" s="64" t="str">
        <f t="shared" si="26"/>
        <v/>
      </c>
    </row>
    <row r="52" spans="1:47" x14ac:dyDescent="0.25">
      <c r="A52" s="60">
        <v>5</v>
      </c>
      <c r="B52" s="62">
        <v>41016</v>
      </c>
      <c r="C52" s="10"/>
      <c r="D52" s="10"/>
      <c r="E52" s="10"/>
      <c r="F52" s="10"/>
      <c r="G52" s="10"/>
      <c r="H52" s="10"/>
      <c r="I52" s="10"/>
      <c r="J52" s="10"/>
      <c r="K52" s="10">
        <v>0.24379719525350593</v>
      </c>
      <c r="L52" s="10">
        <v>0.22248175182481766</v>
      </c>
      <c r="M52" s="10"/>
      <c r="N52" s="10">
        <v>0.20409906063193856</v>
      </c>
      <c r="O52" s="64"/>
      <c r="P52" s="64"/>
      <c r="Q52" s="64"/>
      <c r="R52" s="60">
        <v>5</v>
      </c>
      <c r="S52" s="62">
        <v>41016</v>
      </c>
      <c r="T52" s="64" t="str">
        <f t="shared" si="2"/>
        <v/>
      </c>
      <c r="U52" s="64" t="str">
        <f t="shared" si="3"/>
        <v/>
      </c>
      <c r="V52" s="64" t="str">
        <f t="shared" si="4"/>
        <v/>
      </c>
      <c r="W52" s="64" t="str">
        <f t="shared" si="5"/>
        <v/>
      </c>
      <c r="X52" s="64" t="str">
        <f t="shared" si="6"/>
        <v/>
      </c>
      <c r="Y52" s="64" t="str">
        <f t="shared" si="7"/>
        <v/>
      </c>
      <c r="Z52" s="64" t="str">
        <f t="shared" si="8"/>
        <v/>
      </c>
      <c r="AA52" s="64" t="str">
        <f t="shared" si="9"/>
        <v/>
      </c>
      <c r="AB52" s="64">
        <f t="shared" si="10"/>
        <v>0.39098916815194651</v>
      </c>
      <c r="AC52" s="64">
        <f t="shared" si="11"/>
        <v>0.3629388569852226</v>
      </c>
      <c r="AD52" s="64" t="str">
        <f t="shared" si="12"/>
        <v/>
      </c>
      <c r="AE52" s="64">
        <f t="shared" si="13"/>
        <v>0.32735433368983302</v>
      </c>
      <c r="AG52" s="60">
        <v>5</v>
      </c>
      <c r="AH52" s="62">
        <v>41016</v>
      </c>
      <c r="AI52" s="85" t="str">
        <f t="shared" si="14"/>
        <v/>
      </c>
      <c r="AJ52" s="85" t="str">
        <f t="shared" si="15"/>
        <v/>
      </c>
      <c r="AK52" s="85" t="str">
        <f t="shared" si="16"/>
        <v/>
      </c>
      <c r="AL52" s="85" t="str">
        <f t="shared" si="17"/>
        <v/>
      </c>
      <c r="AM52" s="85" t="str">
        <f t="shared" si="18"/>
        <v/>
      </c>
      <c r="AN52" s="85" t="str">
        <f t="shared" si="19"/>
        <v/>
      </c>
      <c r="AO52" s="85" t="str">
        <f t="shared" si="20"/>
        <v/>
      </c>
      <c r="AP52" s="85" t="str">
        <f t="shared" si="21"/>
        <v/>
      </c>
      <c r="AQ52" s="85">
        <f t="shared" si="22"/>
        <v>0.39098916815194651</v>
      </c>
      <c r="AR52" s="85">
        <f t="shared" si="23"/>
        <v>0.3629388569852226</v>
      </c>
      <c r="AS52" s="85" t="str">
        <f t="shared" si="24"/>
        <v/>
      </c>
      <c r="AT52" s="85">
        <f t="shared" si="25"/>
        <v>0.32735433368983302</v>
      </c>
      <c r="AU52" s="64" t="str">
        <f t="shared" si="26"/>
        <v/>
      </c>
    </row>
    <row r="53" spans="1:47" x14ac:dyDescent="0.25">
      <c r="A53" s="60">
        <v>5</v>
      </c>
      <c r="B53" s="62">
        <v>41177</v>
      </c>
      <c r="C53" s="10">
        <v>0.19430652101952986</v>
      </c>
      <c r="D53" s="10">
        <v>0.21411192214111943</v>
      </c>
      <c r="E53" s="10">
        <v>0.18474195961106948</v>
      </c>
      <c r="F53" s="10">
        <v>0.25185643564356408</v>
      </c>
      <c r="G53" s="10">
        <v>0.17831813576494426</v>
      </c>
      <c r="H53" s="10">
        <v>0.20200158019489076</v>
      </c>
      <c r="I53" s="10"/>
      <c r="J53" s="10">
        <v>0.22249589490968807</v>
      </c>
      <c r="K53" s="10">
        <v>0.2253918495297805</v>
      </c>
      <c r="L53" s="10">
        <v>0.18888888888888911</v>
      </c>
      <c r="M53" s="10">
        <v>0.22158666998259149</v>
      </c>
      <c r="N53" s="10">
        <v>0.18563766388557817</v>
      </c>
      <c r="O53" s="64"/>
      <c r="P53" s="64"/>
      <c r="Q53" s="64"/>
      <c r="R53" s="60">
        <v>5</v>
      </c>
      <c r="S53" s="62">
        <v>41177</v>
      </c>
      <c r="T53" s="64">
        <f t="shared" si="2"/>
        <v>0.32400048203427662</v>
      </c>
      <c r="U53" s="64">
        <f t="shared" si="3"/>
        <v>0.36575485214943387</v>
      </c>
      <c r="V53" s="64">
        <f t="shared" si="4"/>
        <v>0.31564300157634695</v>
      </c>
      <c r="W53" s="64">
        <f t="shared" si="5"/>
        <v>0.41481400273864349</v>
      </c>
      <c r="X53" s="64">
        <f t="shared" si="6"/>
        <v>0.3139181375336218</v>
      </c>
      <c r="Y53" s="64">
        <f t="shared" si="7"/>
        <v>0.37212107393085431</v>
      </c>
      <c r="Z53" s="64" t="str">
        <f t="shared" si="8"/>
        <v/>
      </c>
      <c r="AA53" s="64">
        <f t="shared" si="9"/>
        <v>0.36933542670872688</v>
      </c>
      <c r="AB53" s="64">
        <f t="shared" si="10"/>
        <v>0.36147163901636509</v>
      </c>
      <c r="AC53" s="64">
        <f t="shared" si="11"/>
        <v>0.3081381590546019</v>
      </c>
      <c r="AD53" s="64">
        <f t="shared" si="12"/>
        <v>0.37531620671596849</v>
      </c>
      <c r="AE53" s="64">
        <f t="shared" si="13"/>
        <v>0.29774411298535441</v>
      </c>
      <c r="AG53" s="60">
        <v>5</v>
      </c>
      <c r="AH53" s="62">
        <v>41177</v>
      </c>
      <c r="AI53" s="85">
        <f t="shared" si="14"/>
        <v>0.32333993887078877</v>
      </c>
      <c r="AJ53" s="85">
        <f t="shared" si="15"/>
        <v>0.36199937907482171</v>
      </c>
      <c r="AK53" s="85">
        <f t="shared" si="16"/>
        <v>0.31564300157634695</v>
      </c>
      <c r="AL53" s="85">
        <f t="shared" si="17"/>
        <v>0.4002709172217993</v>
      </c>
      <c r="AM53" s="85">
        <f t="shared" si="18"/>
        <v>0.30760145495680913</v>
      </c>
      <c r="AN53" s="85">
        <f t="shared" si="19"/>
        <v>0.3486632758960812</v>
      </c>
      <c r="AO53" s="85" t="str">
        <f t="shared" si="20"/>
        <v/>
      </c>
      <c r="AP53" s="85">
        <f t="shared" si="21"/>
        <v>0.36750996893549009</v>
      </c>
      <c r="AQ53" s="85">
        <f t="shared" si="22"/>
        <v>0.36147163901636509</v>
      </c>
      <c r="AR53" s="85">
        <f t="shared" si="23"/>
        <v>0.3081381590546019</v>
      </c>
      <c r="AS53" s="85">
        <f t="shared" si="24"/>
        <v>0.36996153333907861</v>
      </c>
      <c r="AT53" s="85">
        <f t="shared" si="25"/>
        <v>0.29774411298535441</v>
      </c>
      <c r="AU53" s="64" t="str">
        <f t="shared" si="26"/>
        <v/>
      </c>
    </row>
    <row r="54" spans="1:47" x14ac:dyDescent="0.25">
      <c r="A54" s="60">
        <v>5</v>
      </c>
      <c r="B54" s="63">
        <v>41362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64"/>
      <c r="P54" s="64"/>
      <c r="Q54" s="64"/>
      <c r="R54" s="60">
        <v>5</v>
      </c>
      <c r="S54" s="63">
        <v>41362</v>
      </c>
      <c r="T54" s="64" t="str">
        <f t="shared" si="2"/>
        <v/>
      </c>
      <c r="U54" s="64" t="str">
        <f t="shared" si="3"/>
        <v/>
      </c>
      <c r="V54" s="64" t="str">
        <f t="shared" si="4"/>
        <v/>
      </c>
      <c r="W54" s="64" t="str">
        <f t="shared" si="5"/>
        <v/>
      </c>
      <c r="X54" s="64" t="str">
        <f t="shared" si="6"/>
        <v/>
      </c>
      <c r="Y54" s="64" t="str">
        <f t="shared" si="7"/>
        <v/>
      </c>
      <c r="Z54" s="64" t="str">
        <f t="shared" si="8"/>
        <v/>
      </c>
      <c r="AA54" s="64" t="str">
        <f t="shared" si="9"/>
        <v/>
      </c>
      <c r="AB54" s="64" t="str">
        <f t="shared" si="10"/>
        <v/>
      </c>
      <c r="AC54" s="64" t="str">
        <f t="shared" si="11"/>
        <v/>
      </c>
      <c r="AD54" s="64" t="str">
        <f t="shared" si="12"/>
        <v/>
      </c>
      <c r="AE54" s="64" t="str">
        <f t="shared" si="13"/>
        <v/>
      </c>
      <c r="AG54" s="60">
        <v>5</v>
      </c>
      <c r="AH54" s="63">
        <v>41362</v>
      </c>
      <c r="AI54" s="85" t="str">
        <f t="shared" si="14"/>
        <v/>
      </c>
      <c r="AJ54" s="85" t="str">
        <f t="shared" si="15"/>
        <v/>
      </c>
      <c r="AK54" s="85" t="str">
        <f t="shared" si="16"/>
        <v/>
      </c>
      <c r="AL54" s="85" t="str">
        <f t="shared" si="17"/>
        <v/>
      </c>
      <c r="AM54" s="85" t="str">
        <f t="shared" si="18"/>
        <v/>
      </c>
      <c r="AN54" s="85" t="str">
        <f t="shared" si="19"/>
        <v/>
      </c>
      <c r="AO54" s="85" t="str">
        <f t="shared" si="20"/>
        <v/>
      </c>
      <c r="AP54" s="85" t="str">
        <f t="shared" si="21"/>
        <v/>
      </c>
      <c r="AQ54" s="85" t="str">
        <f t="shared" si="22"/>
        <v/>
      </c>
      <c r="AR54" s="85" t="str">
        <f t="shared" si="23"/>
        <v/>
      </c>
      <c r="AS54" s="85" t="str">
        <f t="shared" si="24"/>
        <v/>
      </c>
      <c r="AT54" s="85" t="str">
        <f t="shared" si="25"/>
        <v/>
      </c>
      <c r="AU54" s="64" t="str">
        <f t="shared" si="26"/>
        <v/>
      </c>
    </row>
    <row r="55" spans="1:47" x14ac:dyDescent="0.25">
      <c r="A55" s="60">
        <v>5</v>
      </c>
      <c r="B55" s="63">
        <v>41435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64"/>
      <c r="P55" s="64"/>
      <c r="Q55" s="64"/>
      <c r="R55" s="60">
        <v>5</v>
      </c>
      <c r="S55" s="63">
        <v>41435</v>
      </c>
      <c r="T55" s="64" t="str">
        <f t="shared" si="2"/>
        <v/>
      </c>
      <c r="U55" s="64" t="str">
        <f t="shared" si="3"/>
        <v/>
      </c>
      <c r="V55" s="64" t="str">
        <f t="shared" si="4"/>
        <v/>
      </c>
      <c r="W55" s="64" t="str">
        <f t="shared" si="5"/>
        <v/>
      </c>
      <c r="X55" s="64" t="str">
        <f t="shared" si="6"/>
        <v/>
      </c>
      <c r="Y55" s="64" t="str">
        <f t="shared" si="7"/>
        <v/>
      </c>
      <c r="Z55" s="64" t="str">
        <f t="shared" si="8"/>
        <v/>
      </c>
      <c r="AA55" s="64" t="str">
        <f t="shared" si="9"/>
        <v/>
      </c>
      <c r="AB55" s="64" t="str">
        <f t="shared" si="10"/>
        <v/>
      </c>
      <c r="AC55" s="64" t="str">
        <f t="shared" si="11"/>
        <v/>
      </c>
      <c r="AD55" s="64" t="str">
        <f t="shared" si="12"/>
        <v/>
      </c>
      <c r="AE55" s="64" t="str">
        <f t="shared" si="13"/>
        <v/>
      </c>
      <c r="AG55" s="60">
        <v>5</v>
      </c>
      <c r="AH55" s="63">
        <v>41435</v>
      </c>
      <c r="AI55" s="85" t="str">
        <f t="shared" si="14"/>
        <v/>
      </c>
      <c r="AJ55" s="85" t="str">
        <f t="shared" si="15"/>
        <v/>
      </c>
      <c r="AK55" s="85" t="str">
        <f t="shared" si="16"/>
        <v/>
      </c>
      <c r="AL55" s="85" t="str">
        <f t="shared" si="17"/>
        <v/>
      </c>
      <c r="AM55" s="85" t="str">
        <f t="shared" si="18"/>
        <v/>
      </c>
      <c r="AN55" s="85" t="str">
        <f t="shared" si="19"/>
        <v/>
      </c>
      <c r="AO55" s="85" t="str">
        <f t="shared" si="20"/>
        <v/>
      </c>
      <c r="AP55" s="85" t="str">
        <f t="shared" si="21"/>
        <v/>
      </c>
      <c r="AQ55" s="85" t="str">
        <f t="shared" si="22"/>
        <v/>
      </c>
      <c r="AR55" s="85" t="str">
        <f t="shared" si="23"/>
        <v/>
      </c>
      <c r="AS55" s="85" t="str">
        <f t="shared" si="24"/>
        <v/>
      </c>
      <c r="AT55" s="85" t="str">
        <f t="shared" si="25"/>
        <v/>
      </c>
      <c r="AU55" s="64" t="str">
        <f t="shared" si="26"/>
        <v/>
      </c>
    </row>
    <row r="56" spans="1:47" x14ac:dyDescent="0.25">
      <c r="A56" s="60">
        <v>5</v>
      </c>
      <c r="B56" s="63">
        <v>41527</v>
      </c>
      <c r="C56" s="10">
        <v>0.22357723577235775</v>
      </c>
      <c r="D56" s="10">
        <v>0.19895872071402013</v>
      </c>
      <c r="E56" s="10">
        <v>0.19395924308588039</v>
      </c>
      <c r="F56" s="10">
        <v>0.22397509081473807</v>
      </c>
      <c r="G56" s="10">
        <v>0.19106753812636143</v>
      </c>
      <c r="H56" s="10">
        <v>0.20042392840320317</v>
      </c>
      <c r="I56" s="10"/>
      <c r="J56" s="10">
        <v>0.22769815735595189</v>
      </c>
      <c r="K56" s="10">
        <v>0.18727818727818721</v>
      </c>
      <c r="L56" s="10">
        <v>0.20420097863706868</v>
      </c>
      <c r="M56" s="10">
        <v>0.16901993355481729</v>
      </c>
      <c r="N56" s="10">
        <v>0.22811703290032773</v>
      </c>
      <c r="R56" s="60">
        <v>5</v>
      </c>
      <c r="S56" s="63">
        <v>41527</v>
      </c>
      <c r="T56" s="64">
        <f t="shared" si="2"/>
        <v>0.37280854899797278</v>
      </c>
      <c r="U56" s="64">
        <f t="shared" si="3"/>
        <v>0.33986952595117403</v>
      </c>
      <c r="V56" s="64">
        <f t="shared" si="4"/>
        <v>0.33139129735330181</v>
      </c>
      <c r="W56" s="64">
        <f t="shared" si="5"/>
        <v>0.36889271341114072</v>
      </c>
      <c r="X56" s="64">
        <f t="shared" si="6"/>
        <v>0.33636267816766341</v>
      </c>
      <c r="Y56" s="64">
        <f t="shared" si="7"/>
        <v>0.3692147725125916</v>
      </c>
      <c r="Z56" s="64" t="str">
        <f t="shared" si="8"/>
        <v/>
      </c>
      <c r="AA56" s="64">
        <f t="shared" si="9"/>
        <v>0.37797100095705866</v>
      </c>
      <c r="AB56" s="64">
        <f t="shared" si="10"/>
        <v>0.30034694443782728</v>
      </c>
      <c r="AC56" s="64">
        <f t="shared" si="11"/>
        <v>0.33311707218198189</v>
      </c>
      <c r="AD56" s="64">
        <f t="shared" si="12"/>
        <v>0.28628039911499537</v>
      </c>
      <c r="AE56" s="64">
        <f t="shared" si="13"/>
        <v>0.36587674179967744</v>
      </c>
      <c r="AG56" s="60">
        <v>5</v>
      </c>
      <c r="AH56" s="63">
        <v>41527</v>
      </c>
      <c r="AI56" s="85">
        <f t="shared" si="14"/>
        <v>0.37204850031908099</v>
      </c>
      <c r="AJ56" s="85">
        <f t="shared" si="15"/>
        <v>0.33637983648816355</v>
      </c>
      <c r="AK56" s="85">
        <f t="shared" si="16"/>
        <v>0.33139129735330181</v>
      </c>
      <c r="AL56" s="85">
        <f t="shared" si="17"/>
        <v>0.35595959581564074</v>
      </c>
      <c r="AM56" s="85">
        <f t="shared" si="18"/>
        <v>0.32959436498459938</v>
      </c>
      <c r="AN56" s="85">
        <f t="shared" si="19"/>
        <v>0.34594018213917888</v>
      </c>
      <c r="AO56" s="85" t="str">
        <f t="shared" si="20"/>
        <v/>
      </c>
      <c r="AP56" s="85">
        <f t="shared" si="21"/>
        <v>0.37610286145063843</v>
      </c>
      <c r="AQ56" s="85">
        <f t="shared" si="22"/>
        <v>0.30034694443782728</v>
      </c>
      <c r="AR56" s="85">
        <f t="shared" si="23"/>
        <v>0.33311707218198189</v>
      </c>
      <c r="AS56" s="85">
        <f t="shared" si="24"/>
        <v>0.28219600839582093</v>
      </c>
      <c r="AT56" s="85">
        <f t="shared" si="25"/>
        <v>0.36587674179967744</v>
      </c>
      <c r="AU56" s="64" t="str">
        <f t="shared" si="26"/>
        <v/>
      </c>
    </row>
    <row r="57" spans="1:47" x14ac:dyDescent="0.25">
      <c r="A57" s="60">
        <v>5</v>
      </c>
      <c r="B57" s="63">
        <v>41675</v>
      </c>
      <c r="C57" s="10">
        <v>0.19528135718920936</v>
      </c>
      <c r="D57" s="10">
        <v>0.17177395494315051</v>
      </c>
      <c r="E57" s="10">
        <v>0.18046907430469059</v>
      </c>
      <c r="F57" s="10">
        <v>0.18199545011374732</v>
      </c>
      <c r="G57" s="10"/>
      <c r="H57" s="10"/>
      <c r="I57" s="10"/>
      <c r="J57" s="10"/>
      <c r="K57" s="10"/>
      <c r="L57" s="10"/>
      <c r="M57" s="10"/>
      <c r="N57" s="10">
        <v>0.2214373628725852</v>
      </c>
      <c r="R57" s="60">
        <v>5</v>
      </c>
      <c r="S57" s="63">
        <v>41675</v>
      </c>
      <c r="T57" s="64">
        <f t="shared" si="2"/>
        <v>0.32562599304246792</v>
      </c>
      <c r="U57" s="64">
        <f t="shared" si="3"/>
        <v>0.29343138329283069</v>
      </c>
      <c r="V57" s="64">
        <f t="shared" si="4"/>
        <v>0.30834251420284348</v>
      </c>
      <c r="W57" s="64">
        <f t="shared" si="5"/>
        <v>0.29975116954623593</v>
      </c>
      <c r="X57" s="64" t="str">
        <f t="shared" si="6"/>
        <v/>
      </c>
      <c r="Y57" s="64" t="str">
        <f t="shared" si="7"/>
        <v/>
      </c>
      <c r="Z57" s="64" t="str">
        <f t="shared" si="8"/>
        <v/>
      </c>
      <c r="AA57" s="64" t="str">
        <f t="shared" si="9"/>
        <v/>
      </c>
      <c r="AB57" s="64" t="str">
        <f t="shared" si="10"/>
        <v/>
      </c>
      <c r="AC57" s="64" t="str">
        <f t="shared" si="11"/>
        <v/>
      </c>
      <c r="AD57" s="64" t="str">
        <f t="shared" si="12"/>
        <v/>
      </c>
      <c r="AE57" s="64">
        <f t="shared" si="13"/>
        <v>0.3551632239401179</v>
      </c>
      <c r="AG57" s="60">
        <v>5</v>
      </c>
      <c r="AH57" s="63">
        <v>41675</v>
      </c>
      <c r="AI57" s="85">
        <f t="shared" si="14"/>
        <v>0.32496213593272638</v>
      </c>
      <c r="AJ57" s="85">
        <f t="shared" si="15"/>
        <v>0.29041850826813459</v>
      </c>
      <c r="AK57" s="85">
        <f t="shared" si="16"/>
        <v>0.30834251420284348</v>
      </c>
      <c r="AL57" s="85">
        <f t="shared" si="17"/>
        <v>0.28924210557128716</v>
      </c>
      <c r="AM57" s="85" t="str">
        <f t="shared" si="18"/>
        <v/>
      </c>
      <c r="AN57" s="85" t="str">
        <f t="shared" si="19"/>
        <v/>
      </c>
      <c r="AO57" s="85" t="str">
        <f t="shared" si="20"/>
        <v/>
      </c>
      <c r="AP57" s="85" t="str">
        <f t="shared" si="21"/>
        <v/>
      </c>
      <c r="AQ57" s="85" t="str">
        <f t="shared" si="22"/>
        <v/>
      </c>
      <c r="AR57" s="85" t="str">
        <f t="shared" si="23"/>
        <v/>
      </c>
      <c r="AS57" s="85" t="str">
        <f t="shared" si="24"/>
        <v/>
      </c>
      <c r="AT57" s="85">
        <f t="shared" si="25"/>
        <v>0.3551632239401179</v>
      </c>
      <c r="AU57" s="64" t="str">
        <f t="shared" si="26"/>
        <v/>
      </c>
    </row>
    <row r="58" spans="1:47" x14ac:dyDescent="0.25">
      <c r="A58" s="60">
        <v>5</v>
      </c>
      <c r="B58" s="63">
        <v>41676</v>
      </c>
      <c r="C58" s="10"/>
      <c r="D58" s="10"/>
      <c r="E58" s="10"/>
      <c r="F58" s="10"/>
      <c r="G58" s="10">
        <v>0.16805676114277077</v>
      </c>
      <c r="H58" s="10">
        <v>0.15760713258556225</v>
      </c>
      <c r="I58" s="10"/>
      <c r="J58" s="10"/>
      <c r="K58" s="10">
        <v>0.19127201405630695</v>
      </c>
      <c r="L58" s="10">
        <v>0.16850743505892518</v>
      </c>
      <c r="M58" s="10">
        <v>0.13905627143784186</v>
      </c>
      <c r="N58" s="10"/>
      <c r="R58" s="60">
        <v>5</v>
      </c>
      <c r="S58" s="63">
        <v>41676</v>
      </c>
      <c r="T58" s="64" t="str">
        <f t="shared" si="2"/>
        <v/>
      </c>
      <c r="U58" s="64" t="str">
        <f t="shared" si="3"/>
        <v/>
      </c>
      <c r="V58" s="64" t="str">
        <f t="shared" si="4"/>
        <v/>
      </c>
      <c r="W58" s="64" t="str">
        <f t="shared" si="5"/>
        <v/>
      </c>
      <c r="X58" s="64">
        <f t="shared" si="6"/>
        <v>0.29585361708476715</v>
      </c>
      <c r="Y58" s="64">
        <f t="shared" si="7"/>
        <v>0.29033899329063456</v>
      </c>
      <c r="Z58" s="64" t="str">
        <f t="shared" si="8"/>
        <v/>
      </c>
      <c r="AA58" s="64" t="str">
        <f t="shared" si="9"/>
        <v/>
      </c>
      <c r="AB58" s="64">
        <f t="shared" si="10"/>
        <v>0.30675203457061684</v>
      </c>
      <c r="AC58" s="64">
        <f t="shared" si="11"/>
        <v>0.27488949260860601</v>
      </c>
      <c r="AD58" s="64">
        <f t="shared" si="12"/>
        <v>0.23552893466117381</v>
      </c>
      <c r="AE58" s="64" t="str">
        <f t="shared" si="13"/>
        <v/>
      </c>
      <c r="AG58" s="60">
        <v>5</v>
      </c>
      <c r="AH58" s="63">
        <v>41676</v>
      </c>
      <c r="AI58" s="85" t="str">
        <f t="shared" si="14"/>
        <v/>
      </c>
      <c r="AJ58" s="85" t="str">
        <f t="shared" si="15"/>
        <v/>
      </c>
      <c r="AK58" s="85" t="str">
        <f t="shared" si="16"/>
        <v/>
      </c>
      <c r="AL58" s="85" t="str">
        <f t="shared" si="17"/>
        <v/>
      </c>
      <c r="AM58" s="85">
        <f t="shared" si="18"/>
        <v>0.28990043004368321</v>
      </c>
      <c r="AN58" s="85">
        <f t="shared" si="19"/>
        <v>0.27203658059928404</v>
      </c>
      <c r="AO58" s="85" t="str">
        <f t="shared" si="20"/>
        <v/>
      </c>
      <c r="AP58" s="85" t="str">
        <f t="shared" si="21"/>
        <v/>
      </c>
      <c r="AQ58" s="85">
        <f t="shared" si="22"/>
        <v>0.30675203457061684</v>
      </c>
      <c r="AR58" s="85">
        <f t="shared" si="23"/>
        <v>0.27488949260860601</v>
      </c>
      <c r="AS58" s="85">
        <f t="shared" si="24"/>
        <v>0.2321686200961493</v>
      </c>
      <c r="AT58" s="85" t="str">
        <f t="shared" si="25"/>
        <v/>
      </c>
      <c r="AU58" s="64" t="str">
        <f t="shared" si="26"/>
        <v/>
      </c>
    </row>
    <row r="59" spans="1:47" x14ac:dyDescent="0.25">
      <c r="A59" s="60">
        <v>5</v>
      </c>
      <c r="B59" s="63">
        <v>41750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R59" s="60">
        <v>5</v>
      </c>
      <c r="S59" s="63">
        <v>41750</v>
      </c>
      <c r="T59" s="64" t="str">
        <f t="shared" si="2"/>
        <v/>
      </c>
      <c r="U59" s="64" t="str">
        <f t="shared" si="3"/>
        <v/>
      </c>
      <c r="V59" s="64" t="str">
        <f t="shared" si="4"/>
        <v/>
      </c>
      <c r="W59" s="64" t="str">
        <f t="shared" si="5"/>
        <v/>
      </c>
      <c r="X59" s="64" t="str">
        <f t="shared" si="6"/>
        <v/>
      </c>
      <c r="Y59" s="64" t="str">
        <f t="shared" si="7"/>
        <v/>
      </c>
      <c r="Z59" s="64" t="str">
        <f t="shared" si="8"/>
        <v/>
      </c>
      <c r="AA59" s="64" t="str">
        <f t="shared" si="9"/>
        <v/>
      </c>
      <c r="AB59" s="64" t="str">
        <f t="shared" si="10"/>
        <v/>
      </c>
      <c r="AC59" s="64" t="str">
        <f t="shared" si="11"/>
        <v/>
      </c>
      <c r="AD59" s="64" t="str">
        <f t="shared" si="12"/>
        <v/>
      </c>
      <c r="AE59" s="64" t="str">
        <f t="shared" si="13"/>
        <v/>
      </c>
      <c r="AG59" s="60">
        <v>5</v>
      </c>
      <c r="AH59" s="63">
        <v>41750</v>
      </c>
      <c r="AI59" s="85" t="str">
        <f t="shared" si="14"/>
        <v/>
      </c>
      <c r="AJ59" s="85" t="str">
        <f t="shared" si="15"/>
        <v/>
      </c>
      <c r="AK59" s="85" t="str">
        <f t="shared" si="16"/>
        <v/>
      </c>
      <c r="AL59" s="85" t="str">
        <f t="shared" si="17"/>
        <v/>
      </c>
      <c r="AM59" s="85" t="str">
        <f t="shared" si="18"/>
        <v/>
      </c>
      <c r="AN59" s="85" t="str">
        <f t="shared" si="19"/>
        <v/>
      </c>
      <c r="AO59" s="85" t="str">
        <f t="shared" si="20"/>
        <v/>
      </c>
      <c r="AP59" s="85" t="str">
        <f t="shared" si="21"/>
        <v/>
      </c>
      <c r="AQ59" s="85" t="str">
        <f t="shared" si="22"/>
        <v/>
      </c>
      <c r="AR59" s="85" t="str">
        <f t="shared" si="23"/>
        <v/>
      </c>
      <c r="AS59" s="85" t="str">
        <f t="shared" si="24"/>
        <v/>
      </c>
      <c r="AT59" s="85" t="str">
        <f t="shared" si="25"/>
        <v/>
      </c>
      <c r="AU59" s="64" t="str">
        <f t="shared" si="26"/>
        <v/>
      </c>
    </row>
    <row r="60" spans="1:47" x14ac:dyDescent="0.25">
      <c r="A60" s="60">
        <v>5</v>
      </c>
      <c r="B60" s="63">
        <v>41817</v>
      </c>
      <c r="C60" s="10">
        <v>0.22216399810379078</v>
      </c>
      <c r="D60" s="10">
        <v>0.20645202601619228</v>
      </c>
      <c r="E60" s="10">
        <v>0.19828779385064871</v>
      </c>
      <c r="F60" s="10">
        <v>0.2314007936877826</v>
      </c>
      <c r="G60" s="10">
        <v>0.20234662100432921</v>
      </c>
      <c r="H60" s="10"/>
      <c r="I60" s="10"/>
      <c r="J60" s="10">
        <v>0.20165969989258248</v>
      </c>
      <c r="K60" s="10"/>
      <c r="L60" s="10">
        <v>0.22991247087838473</v>
      </c>
      <c r="M60" s="10">
        <v>0.21253468623075039</v>
      </c>
      <c r="N60" s="10">
        <v>0.21807114223280463</v>
      </c>
      <c r="R60" s="60">
        <v>5</v>
      </c>
      <c r="S60" s="63">
        <v>41817</v>
      </c>
      <c r="T60" s="64">
        <f t="shared" si="2"/>
        <v>0.37045201621954549</v>
      </c>
      <c r="U60" s="64">
        <f t="shared" si="3"/>
        <v>0.35266990037918072</v>
      </c>
      <c r="V60" s="64">
        <f t="shared" si="4"/>
        <v>0.33878689258647698</v>
      </c>
      <c r="W60" s="64">
        <f t="shared" si="5"/>
        <v>0.38112303630936029</v>
      </c>
      <c r="X60" s="64">
        <f t="shared" si="6"/>
        <v>0.35621881156065882</v>
      </c>
      <c r="Y60" s="64" t="str">
        <f t="shared" si="7"/>
        <v/>
      </c>
      <c r="Z60" s="64" t="str">
        <f t="shared" si="8"/>
        <v/>
      </c>
      <c r="AA60" s="64">
        <f t="shared" si="9"/>
        <v>0.33474806957680048</v>
      </c>
      <c r="AB60" s="64" t="str">
        <f t="shared" si="10"/>
        <v/>
      </c>
      <c r="AC60" s="64">
        <f t="shared" si="11"/>
        <v>0.37506073510673021</v>
      </c>
      <c r="AD60" s="64">
        <f t="shared" si="12"/>
        <v>0.35998425463932737</v>
      </c>
      <c r="AE60" s="64">
        <f t="shared" si="13"/>
        <v>0.34976414512428972</v>
      </c>
      <c r="AG60" s="60">
        <v>5</v>
      </c>
      <c r="AH60" s="63">
        <v>41817</v>
      </c>
      <c r="AI60" s="85">
        <f t="shared" si="14"/>
        <v>0.36969677182861821</v>
      </c>
      <c r="AJ60" s="85">
        <f t="shared" si="15"/>
        <v>0.34904878009241813</v>
      </c>
      <c r="AK60" s="85">
        <f t="shared" si="16"/>
        <v>0.33878689258647698</v>
      </c>
      <c r="AL60" s="85">
        <f t="shared" si="17"/>
        <v>0.367761132244182</v>
      </c>
      <c r="AM60" s="85">
        <f t="shared" si="18"/>
        <v>0.34905095188170948</v>
      </c>
      <c r="AN60" s="85" t="str">
        <f t="shared" si="19"/>
        <v/>
      </c>
      <c r="AO60" s="85" t="str">
        <f t="shared" si="20"/>
        <v/>
      </c>
      <c r="AP60" s="85">
        <f t="shared" si="21"/>
        <v>0.33309356144815871</v>
      </c>
      <c r="AQ60" s="85" t="str">
        <f t="shared" si="22"/>
        <v/>
      </c>
      <c r="AR60" s="85">
        <f t="shared" si="23"/>
        <v>0.37506073510673021</v>
      </c>
      <c r="AS60" s="85">
        <f t="shared" si="24"/>
        <v>0.35484832373646735</v>
      </c>
      <c r="AT60" s="85">
        <f t="shared" si="25"/>
        <v>0.34976414512428972</v>
      </c>
      <c r="AU60" s="64" t="str">
        <f t="shared" si="26"/>
        <v/>
      </c>
    </row>
    <row r="61" spans="1:47" x14ac:dyDescent="0.25">
      <c r="A61" s="60">
        <v>5</v>
      </c>
      <c r="B61" s="63">
        <v>41820</v>
      </c>
      <c r="C61" s="10"/>
      <c r="D61" s="10"/>
      <c r="E61" s="10"/>
      <c r="F61" s="10"/>
      <c r="G61" s="10"/>
      <c r="H61" s="10">
        <v>0.18540769559802747</v>
      </c>
      <c r="I61" s="10"/>
      <c r="J61" s="10"/>
      <c r="K61" s="10">
        <v>0.19323052692685838</v>
      </c>
      <c r="L61" s="10"/>
      <c r="M61" s="10"/>
      <c r="N61" s="10"/>
      <c r="R61" s="60">
        <v>5</v>
      </c>
      <c r="S61" s="63">
        <v>41820</v>
      </c>
      <c r="T61" s="64" t="str">
        <f t="shared" si="2"/>
        <v/>
      </c>
      <c r="U61" s="64" t="str">
        <f t="shared" si="3"/>
        <v/>
      </c>
      <c r="V61" s="64" t="str">
        <f t="shared" si="4"/>
        <v/>
      </c>
      <c r="W61" s="64" t="str">
        <f t="shared" si="5"/>
        <v/>
      </c>
      <c r="X61" s="64" t="str">
        <f t="shared" si="6"/>
        <v/>
      </c>
      <c r="Y61" s="64">
        <f t="shared" si="7"/>
        <v>0.34155233208778624</v>
      </c>
      <c r="Z61" s="64" t="str">
        <f t="shared" si="8"/>
        <v/>
      </c>
      <c r="AA61" s="64" t="str">
        <f t="shared" si="9"/>
        <v/>
      </c>
      <c r="AB61" s="64">
        <f t="shared" si="10"/>
        <v>0.30989299489739802</v>
      </c>
      <c r="AC61" s="64" t="str">
        <f t="shared" si="11"/>
        <v/>
      </c>
      <c r="AD61" s="64" t="str">
        <f t="shared" si="12"/>
        <v/>
      </c>
      <c r="AE61" s="64" t="str">
        <f t="shared" si="13"/>
        <v/>
      </c>
      <c r="AG61" s="60">
        <v>5</v>
      </c>
      <c r="AH61" s="63">
        <v>41820</v>
      </c>
      <c r="AI61" s="85" t="str">
        <f t="shared" si="14"/>
        <v/>
      </c>
      <c r="AJ61" s="85" t="str">
        <f t="shared" si="15"/>
        <v/>
      </c>
      <c r="AK61" s="85" t="str">
        <f t="shared" si="16"/>
        <v/>
      </c>
      <c r="AL61" s="85" t="str">
        <f t="shared" si="17"/>
        <v/>
      </c>
      <c r="AM61" s="85" t="str">
        <f t="shared" si="18"/>
        <v/>
      </c>
      <c r="AN61" s="85">
        <f t="shared" si="19"/>
        <v>0.32002152884736079</v>
      </c>
      <c r="AO61" s="85" t="str">
        <f t="shared" si="20"/>
        <v/>
      </c>
      <c r="AP61" s="85" t="str">
        <f t="shared" si="21"/>
        <v/>
      </c>
      <c r="AQ61" s="85">
        <f t="shared" si="22"/>
        <v>0.30989299489739802</v>
      </c>
      <c r="AR61" s="85" t="str">
        <f t="shared" si="23"/>
        <v/>
      </c>
      <c r="AS61" s="85" t="str">
        <f t="shared" si="24"/>
        <v/>
      </c>
      <c r="AT61" s="85" t="str">
        <f t="shared" si="25"/>
        <v/>
      </c>
      <c r="AU61" s="64" t="str">
        <f t="shared" si="26"/>
        <v/>
      </c>
    </row>
    <row r="62" spans="1:47" x14ac:dyDescent="0.25">
      <c r="C62" s="64">
        <f>MAX(C40:C50)</f>
        <v>0.24383466481417146</v>
      </c>
      <c r="D62" s="64">
        <f t="shared" ref="D62:N62" si="27">MAX(D40:D50)</f>
        <v>0.22725245316681511</v>
      </c>
      <c r="E62" s="64">
        <f t="shared" si="27"/>
        <v>0.20232025578983698</v>
      </c>
      <c r="F62" s="64">
        <f t="shared" si="27"/>
        <v>0.33594089526292897</v>
      </c>
      <c r="G62" s="64">
        <f t="shared" si="27"/>
        <v>0.22862872900476303</v>
      </c>
      <c r="H62" s="64">
        <f t="shared" si="27"/>
        <v>0.21703134240094604</v>
      </c>
      <c r="I62" s="64">
        <f t="shared" si="27"/>
        <v>0.33950719364974369</v>
      </c>
      <c r="J62" s="64">
        <f t="shared" si="27"/>
        <v>0.28599605522682459</v>
      </c>
      <c r="K62" s="64">
        <f t="shared" si="27"/>
        <v>0.28170393340949906</v>
      </c>
      <c r="L62" s="64">
        <f t="shared" si="27"/>
        <v>0.29451921201482367</v>
      </c>
      <c r="M62" s="64">
        <f t="shared" si="27"/>
        <v>0.26890756302521013</v>
      </c>
      <c r="N62" s="64">
        <f t="shared" si="27"/>
        <v>0.25434988927554569</v>
      </c>
      <c r="O62" s="10"/>
      <c r="P62" s="10"/>
      <c r="Q62" s="10"/>
      <c r="R62" s="64"/>
      <c r="S62" s="64"/>
      <c r="T62" s="64"/>
      <c r="U62" s="64"/>
      <c r="V62" s="64"/>
      <c r="W62" s="64"/>
      <c r="X62" s="64"/>
      <c r="Y62" s="64"/>
      <c r="Z62" s="64"/>
    </row>
    <row r="63" spans="1:47" x14ac:dyDescent="0.25">
      <c r="C63" s="64">
        <f>MAX(C51:C61)</f>
        <v>0.22357723577235775</v>
      </c>
      <c r="D63" s="64">
        <f t="shared" ref="D63:N63" si="28">MAX(D51:D61)</f>
        <v>0.21411192214111943</v>
      </c>
      <c r="E63" s="64">
        <f t="shared" si="28"/>
        <v>0.19828779385064871</v>
      </c>
      <c r="F63" s="64">
        <f t="shared" si="28"/>
        <v>0.25185643564356408</v>
      </c>
      <c r="G63" s="64">
        <f t="shared" si="28"/>
        <v>0.20234662100432921</v>
      </c>
      <c r="H63" s="64">
        <f t="shared" si="28"/>
        <v>0.20200158019489076</v>
      </c>
      <c r="I63" s="64"/>
      <c r="J63" s="64">
        <f t="shared" si="28"/>
        <v>0.22805609329996698</v>
      </c>
      <c r="K63" s="64">
        <f t="shared" si="28"/>
        <v>0.24379719525350593</v>
      </c>
      <c r="L63" s="64">
        <f t="shared" si="28"/>
        <v>0.22991247087838473</v>
      </c>
      <c r="M63" s="64">
        <f t="shared" si="28"/>
        <v>0.22158666998259149</v>
      </c>
      <c r="N63" s="64">
        <f t="shared" si="28"/>
        <v>0.22811703290032773</v>
      </c>
      <c r="O63" s="10"/>
      <c r="P63" s="10"/>
      <c r="Q63" s="10"/>
      <c r="R63" s="64"/>
      <c r="S63" s="60" t="s">
        <v>184</v>
      </c>
      <c r="T63" s="60">
        <f>MAX(T7:T17)</f>
        <v>0.40998562032960267</v>
      </c>
      <c r="U63" s="60">
        <f t="shared" ref="U63:AE63" si="29">MAX(U7:U17)</f>
        <v>0.32975729622499184</v>
      </c>
      <c r="V63" s="60">
        <f t="shared" si="29"/>
        <v>0.3654265421007114</v>
      </c>
      <c r="W63" s="60">
        <f t="shared" si="29"/>
        <v>0.39611131402437566</v>
      </c>
      <c r="X63" s="60">
        <f t="shared" si="29"/>
        <v>0.36022221165576118</v>
      </c>
      <c r="Y63" s="60">
        <f t="shared" si="29"/>
        <v>0.38181661550230006</v>
      </c>
      <c r="Z63" s="60">
        <f t="shared" si="29"/>
        <v>0.3845753948063268</v>
      </c>
      <c r="AA63" s="60">
        <f t="shared" si="29"/>
        <v>0.42092886154384707</v>
      </c>
      <c r="AB63" s="60">
        <f t="shared" si="29"/>
        <v>0.3645270904978497</v>
      </c>
      <c r="AC63" s="60">
        <f t="shared" si="29"/>
        <v>0.5110726752712772</v>
      </c>
      <c r="AD63" s="60">
        <f t="shared" si="29"/>
        <v>0.39449927543884994</v>
      </c>
      <c r="AE63" s="60">
        <f t="shared" si="29"/>
        <v>0.37421129138957404</v>
      </c>
      <c r="AH63" s="60" t="s">
        <v>184</v>
      </c>
      <c r="AI63" s="60">
        <f>MAX(AI7:AI17)</f>
        <v>0.29773894817349156</v>
      </c>
      <c r="AJ63" s="60">
        <f t="shared" ref="AJ63:AT63" si="30">MAX(AJ7:AJ17)</f>
        <v>0.33990029944671096</v>
      </c>
      <c r="AK63" s="60">
        <f t="shared" si="30"/>
        <v>0.26659364267337587</v>
      </c>
      <c r="AL63" s="60">
        <f t="shared" si="30"/>
        <v>0.30228639869862706</v>
      </c>
      <c r="AM63" s="60">
        <f t="shared" si="30"/>
        <v>0.28111606865978955</v>
      </c>
      <c r="AN63" s="60">
        <f t="shared" si="30"/>
        <v>0.30604741386333512</v>
      </c>
      <c r="AO63" s="60">
        <f t="shared" si="30"/>
        <v>0.25882514038941412</v>
      </c>
      <c r="AP63" s="60">
        <f t="shared" si="30"/>
        <v>0.36511250192055184</v>
      </c>
      <c r="AQ63" s="60">
        <f t="shared" si="30"/>
        <v>0.2936623847438416</v>
      </c>
      <c r="AR63" s="60">
        <f t="shared" si="30"/>
        <v>0.46622285355583043</v>
      </c>
      <c r="AS63" s="60">
        <f t="shared" si="30"/>
        <v>0.28758955623942684</v>
      </c>
      <c r="AT63" s="60">
        <f t="shared" si="30"/>
        <v>0.27197986398755492</v>
      </c>
    </row>
    <row r="64" spans="1:47" x14ac:dyDescent="0.25">
      <c r="C64" s="64"/>
      <c r="D64" s="64"/>
      <c r="E64" s="1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64"/>
      <c r="S64" s="60" t="s">
        <v>185</v>
      </c>
      <c r="T64" s="60">
        <f>MAX(T18:T28)</f>
        <v>0.37253072962188116</v>
      </c>
      <c r="U64" s="60">
        <f t="shared" ref="U64:AE64" si="31">MAX(U18:U28)</f>
        <v>0.40146363074816455</v>
      </c>
      <c r="V64" s="60">
        <f t="shared" si="31"/>
        <v>0.34777054770739824</v>
      </c>
      <c r="W64" s="60">
        <f t="shared" si="31"/>
        <v>0.47459775736583554</v>
      </c>
      <c r="X64" s="60">
        <f t="shared" si="31"/>
        <v>0.35848926362499461</v>
      </c>
      <c r="Y64" s="60">
        <f t="shared" si="31"/>
        <v>0.40981265419417651</v>
      </c>
      <c r="Z64" s="60">
        <f t="shared" si="31"/>
        <v>0.40447888729841497</v>
      </c>
      <c r="AA64" s="60">
        <f t="shared" si="31"/>
        <v>0.4152581549773926</v>
      </c>
      <c r="AB64" s="60">
        <f t="shared" si="31"/>
        <v>0.41244728401556147</v>
      </c>
      <c r="AC64" s="60">
        <f t="shared" si="31"/>
        <v>0.37197464068391922</v>
      </c>
      <c r="AD64" s="60">
        <f t="shared" si="31"/>
        <v>0.42640065867959076</v>
      </c>
      <c r="AE64" s="60">
        <f t="shared" si="31"/>
        <v>0.42941553913626845</v>
      </c>
      <c r="AH64" s="60" t="s">
        <v>185</v>
      </c>
      <c r="AI64" s="60">
        <f>MAX(AI18:AI28)</f>
        <v>0.33142071786730382</v>
      </c>
      <c r="AJ64" s="60">
        <f t="shared" ref="AJ64:AT64" si="32">MAX(AJ18:AJ28)</f>
        <v>0.37799645381299957</v>
      </c>
      <c r="AK64" s="60">
        <f t="shared" si="32"/>
        <v>0.32418350159833875</v>
      </c>
      <c r="AL64" s="60">
        <f t="shared" si="32"/>
        <v>0.43218089029022294</v>
      </c>
      <c r="AM64" s="60">
        <f t="shared" si="32"/>
        <v>0.3712958204005799</v>
      </c>
      <c r="AN64" s="60">
        <f t="shared" si="32"/>
        <v>0.3540494793273497</v>
      </c>
      <c r="AO64" s="60">
        <f t="shared" si="32"/>
        <v>0.31170486696286204</v>
      </c>
      <c r="AP64" s="60">
        <f t="shared" si="32"/>
        <v>0.45702384813860197</v>
      </c>
      <c r="AQ64" s="60">
        <f t="shared" si="32"/>
        <v>0.3486965014138263</v>
      </c>
      <c r="AR64" s="60">
        <f t="shared" si="32"/>
        <v>0.31295064457391752</v>
      </c>
      <c r="AS64" s="60">
        <f t="shared" si="32"/>
        <v>0.36247136608167441</v>
      </c>
      <c r="AT64" s="60">
        <f t="shared" si="32"/>
        <v>0.39370613223629747</v>
      </c>
    </row>
    <row r="65" spans="1:46" x14ac:dyDescent="0.25">
      <c r="C65" s="64"/>
      <c r="D65" s="64"/>
      <c r="E65" s="15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64"/>
      <c r="S65" s="60" t="s">
        <v>186</v>
      </c>
      <c r="T65" s="60">
        <f>MAX(T29:T39)</f>
        <v>0.38076780614385852</v>
      </c>
      <c r="U65" s="60">
        <f t="shared" ref="U65:AC65" si="33">MAX(U29:U39)</f>
        <v>0.36266537085795064</v>
      </c>
      <c r="V65" s="60">
        <f t="shared" si="33"/>
        <v>0.38000239526962609</v>
      </c>
      <c r="W65" s="60">
        <f t="shared" si="33"/>
        <v>0.55485409637589345</v>
      </c>
      <c r="X65" s="60">
        <f t="shared" si="33"/>
        <v>0.43677676253068975</v>
      </c>
      <c r="Y65" s="60">
        <f t="shared" si="33"/>
        <v>0.40799940517277694</v>
      </c>
      <c r="Z65" s="60">
        <f t="shared" si="33"/>
        <v>0.39359494618683122</v>
      </c>
      <c r="AA65" s="60">
        <f t="shared" si="33"/>
        <v>0.45442835734712173</v>
      </c>
      <c r="AB65" s="60">
        <f t="shared" si="33"/>
        <v>0.38436690283676511</v>
      </c>
      <c r="AC65" s="60">
        <f t="shared" si="33"/>
        <v>0.424922551124081</v>
      </c>
      <c r="AE65" s="60">
        <f t="shared" ref="AE65" si="34">MAX(AE29:AE39)</f>
        <v>0.40263201900774287</v>
      </c>
      <c r="AH65" s="60" t="s">
        <v>186</v>
      </c>
      <c r="AI65" s="60">
        <f>MAX(AI29:AI39)</f>
        <v>0.32605274328525524</v>
      </c>
      <c r="AJ65" s="60">
        <f t="shared" ref="AJ65:AT65" si="35">MAX(AJ29:AJ39)</f>
        <v>0.35094947609311122</v>
      </c>
      <c r="AK65" s="60">
        <f t="shared" si="35"/>
        <v>0.33125456680735238</v>
      </c>
      <c r="AL65" s="60">
        <f t="shared" si="35"/>
        <v>0.50802065524678497</v>
      </c>
      <c r="AM65" s="60">
        <f t="shared" si="35"/>
        <v>0.42489690493735421</v>
      </c>
      <c r="AN65" s="60">
        <f t="shared" si="35"/>
        <v>0.32672232249912619</v>
      </c>
      <c r="AO65" s="60">
        <f t="shared" si="35"/>
        <v>0.31833808856439544</v>
      </c>
      <c r="AP65" s="60">
        <f t="shared" si="35"/>
        <v>0.37845741141135758</v>
      </c>
      <c r="AQ65" s="60">
        <f t="shared" si="35"/>
        <v>0</v>
      </c>
      <c r="AR65" s="60">
        <f t="shared" si="35"/>
        <v>0.39319795348230591</v>
      </c>
      <c r="AS65" s="60">
        <f t="shared" si="35"/>
        <v>0.38216174012555892</v>
      </c>
      <c r="AT65" s="60">
        <f t="shared" si="35"/>
        <v>0.37382171685008947</v>
      </c>
    </row>
    <row r="66" spans="1:46" x14ac:dyDescent="0.25">
      <c r="A66" s="60" t="s">
        <v>182</v>
      </c>
      <c r="C66" s="64"/>
      <c r="D66" s="64"/>
      <c r="E66" s="15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64"/>
      <c r="S66" s="64" t="s">
        <v>187</v>
      </c>
      <c r="T66" s="64">
        <f>MAX(T40:T50)</f>
        <v>0.40503768784353722</v>
      </c>
      <c r="U66" s="64">
        <f t="shared" ref="U66:AE66" si="36">MAX(U40:U50)</f>
        <v>0.38277361123079107</v>
      </c>
      <c r="V66" s="64">
        <f t="shared" si="36"/>
        <v>0.35171046416964863</v>
      </c>
      <c r="W66" s="64">
        <f t="shared" si="36"/>
        <v>0.51958332167572152</v>
      </c>
      <c r="X66" s="64">
        <f t="shared" si="36"/>
        <v>0.39081231895248297</v>
      </c>
      <c r="Y66" s="64">
        <f t="shared" si="36"/>
        <v>0.37827868091593458</v>
      </c>
      <c r="Z66" s="64"/>
      <c r="AA66" s="64">
        <f t="shared" si="36"/>
        <v>0.46107442561900092</v>
      </c>
      <c r="AB66" s="64">
        <f t="shared" si="36"/>
        <v>0.44082513249182881</v>
      </c>
      <c r="AC66" s="64">
        <f t="shared" si="36"/>
        <v>0.47425444739217643</v>
      </c>
      <c r="AD66" s="64">
        <f t="shared" si="36"/>
        <v>0.43821907650381825</v>
      </c>
      <c r="AE66" s="64">
        <f t="shared" si="36"/>
        <v>0.41314182489836038</v>
      </c>
      <c r="AF66" s="64"/>
      <c r="AI66" s="60">
        <f>1-B75/2.65</f>
        <v>0.61736360074089469</v>
      </c>
      <c r="AJ66" s="60">
        <f t="shared" ref="AJ66:AT68" si="37">1-C75/2.65</f>
        <v>0.50658213987194223</v>
      </c>
      <c r="AK66" s="60">
        <f t="shared" si="37"/>
        <v>0.58622217232319329</v>
      </c>
      <c r="AL66" s="60">
        <f t="shared" si="37"/>
        <v>0.59973532786873163</v>
      </c>
      <c r="AM66" s="60">
        <f t="shared" si="37"/>
        <v>0.62345981340212786</v>
      </c>
      <c r="AN66" s="60">
        <f t="shared" si="37"/>
        <v>0.60272434889989435</v>
      </c>
      <c r="AO66" s="60">
        <f t="shared" si="37"/>
        <v>0.6079169040400787</v>
      </c>
      <c r="AP66" s="60">
        <f t="shared" si="37"/>
        <v>0.53439393788516176</v>
      </c>
      <c r="AQ66" s="60">
        <f t="shared" si="37"/>
        <v>0.57583011083112556</v>
      </c>
      <c r="AR66" s="60">
        <f t="shared" si="37"/>
        <v>0.52321638947095117</v>
      </c>
      <c r="AS66" s="60">
        <f t="shared" si="37"/>
        <v>0.62854810036680586</v>
      </c>
      <c r="AT66" s="60">
        <f t="shared" si="37"/>
        <v>0.61025946238310658</v>
      </c>
    </row>
    <row r="67" spans="1:46" x14ac:dyDescent="0.25">
      <c r="A67"/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 s="10"/>
      <c r="O67" s="10"/>
      <c r="P67" s="10"/>
      <c r="Q67" s="10"/>
      <c r="R67" s="64"/>
      <c r="S67" s="64" t="s">
        <v>188</v>
      </c>
      <c r="T67" s="64">
        <f>MAX(T51:T61)</f>
        <v>0.37280854899797278</v>
      </c>
      <c r="U67" s="64">
        <f t="shared" ref="U67:AE67" si="38">MAX(U51:U61)</f>
        <v>0.36575485214943387</v>
      </c>
      <c r="V67" s="64">
        <f t="shared" si="38"/>
        <v>0.33878689258647698</v>
      </c>
      <c r="W67" s="64">
        <f t="shared" si="38"/>
        <v>0.41481400273864349</v>
      </c>
      <c r="X67" s="64">
        <f t="shared" si="38"/>
        <v>0.35621881156065882</v>
      </c>
      <c r="Y67" s="64">
        <f t="shared" si="38"/>
        <v>0.37212107393085431</v>
      </c>
      <c r="Z67" s="64"/>
      <c r="AA67" s="64">
        <f t="shared" si="38"/>
        <v>0.37856516214223856</v>
      </c>
      <c r="AB67" s="64">
        <f t="shared" si="38"/>
        <v>0.39098916815194651</v>
      </c>
      <c r="AC67" s="64">
        <f t="shared" si="38"/>
        <v>0.37506073510673021</v>
      </c>
      <c r="AD67" s="64">
        <f t="shared" si="38"/>
        <v>0.37531620671596849</v>
      </c>
      <c r="AE67" s="64">
        <f t="shared" si="38"/>
        <v>0.36587674179967744</v>
      </c>
      <c r="AF67" s="64"/>
      <c r="AI67" s="60">
        <f t="shared" ref="AI67:AI68" si="39">1-B76/2.65</f>
        <v>0.49053179205576536</v>
      </c>
      <c r="AJ67" s="60">
        <f t="shared" si="37"/>
        <v>0.48254484981202905</v>
      </c>
      <c r="AK67" s="60">
        <f t="shared" si="37"/>
        <v>0.44680867046037653</v>
      </c>
      <c r="AL67" s="60">
        <f t="shared" si="37"/>
        <v>0.52800577433251272</v>
      </c>
      <c r="AM67" s="60">
        <f t="shared" si="37"/>
        <v>0.52527394813426354</v>
      </c>
      <c r="AN67" s="60">
        <f t="shared" si="37"/>
        <v>0.4772271728612385</v>
      </c>
      <c r="AO67" s="60">
        <f t="shared" si="37"/>
        <v>0.52588565476389693</v>
      </c>
      <c r="AP67" s="60">
        <f t="shared" si="37"/>
        <v>0.44856037580887231</v>
      </c>
      <c r="AQ67" s="60">
        <f t="shared" si="37"/>
        <v>0.48344155612137796</v>
      </c>
      <c r="AR67" s="60">
        <f t="shared" si="37"/>
        <v>0.51293554736608937</v>
      </c>
      <c r="AS67" s="60">
        <f t="shared" si="37"/>
        <v>0.50126446292115179</v>
      </c>
      <c r="AT67" s="60">
        <f t="shared" si="37"/>
        <v>0.46637633139694568</v>
      </c>
    </row>
    <row r="68" spans="1:46" x14ac:dyDescent="0.25">
      <c r="A68" s="15">
        <v>1</v>
      </c>
      <c r="B68" s="10">
        <v>1.3962562491546295</v>
      </c>
      <c r="C68" s="10">
        <v>1.2685383634082836</v>
      </c>
      <c r="D68" s="10">
        <v>1.5030152557707523</v>
      </c>
      <c r="E68" s="10">
        <v>1.3899263072462471</v>
      </c>
      <c r="F68" s="10">
        <v>1.2786215655211459</v>
      </c>
      <c r="G68" s="10">
        <v>1.3134209268942334</v>
      </c>
      <c r="H68" s="10">
        <v>1.5438284112464755</v>
      </c>
      <c r="I68" s="10">
        <v>1.4224810869277817</v>
      </c>
      <c r="J68" s="10">
        <v>1.3952987258908192</v>
      </c>
      <c r="K68" s="10">
        <v>1.3850208001931632</v>
      </c>
      <c r="L68" s="10">
        <v>1.3502729168327627</v>
      </c>
      <c r="M68" s="10">
        <v>1.421024577106814</v>
      </c>
      <c r="N68" s="10"/>
      <c r="O68" s="10"/>
      <c r="P68" s="10"/>
      <c r="Q68" s="10"/>
      <c r="R68" s="64"/>
      <c r="S68" s="64"/>
      <c r="T68" s="64">
        <f>1-B68/2.65</f>
        <v>0.47311084937561143</v>
      </c>
      <c r="U68" s="64">
        <f t="shared" ref="U68:AE72" si="40">1-C68/2.65</f>
        <v>0.5213062779591382</v>
      </c>
      <c r="V68" s="64">
        <f t="shared" si="40"/>
        <v>0.43282443178462171</v>
      </c>
      <c r="W68" s="64">
        <f t="shared" si="40"/>
        <v>0.47549950669952934</v>
      </c>
      <c r="X68" s="64">
        <f t="shared" si="40"/>
        <v>0.51750129602975625</v>
      </c>
      <c r="Y68" s="64">
        <f t="shared" si="40"/>
        <v>0.50436946154934592</v>
      </c>
      <c r="Z68" s="64">
        <f t="shared" si="40"/>
        <v>0.41742324103906581</v>
      </c>
      <c r="AA68" s="64">
        <f t="shared" si="40"/>
        <v>0.46321468417819556</v>
      </c>
      <c r="AB68" s="64">
        <f t="shared" si="40"/>
        <v>0.47347217890912485</v>
      </c>
      <c r="AC68" s="64">
        <f t="shared" si="40"/>
        <v>0.47735064143654216</v>
      </c>
      <c r="AD68" s="64">
        <f t="shared" si="40"/>
        <v>0.4904630502517876</v>
      </c>
      <c r="AE68" s="64">
        <f t="shared" si="40"/>
        <v>0.46376431052573053</v>
      </c>
      <c r="AI68" s="60">
        <f t="shared" si="39"/>
        <v>0.4878625267628196</v>
      </c>
      <c r="AJ68" s="60">
        <f t="shared" si="37"/>
        <v>0.42996588451035644</v>
      </c>
      <c r="AK68" s="60">
        <f t="shared" si="37"/>
        <v>0.43120320019302405</v>
      </c>
      <c r="AL68" s="60">
        <f t="shared" si="37"/>
        <v>0.49933550167429641</v>
      </c>
      <c r="AM68" s="60">
        <f t="shared" si="37"/>
        <v>0.41328992764114525</v>
      </c>
      <c r="AN68" s="60">
        <f t="shared" si="37"/>
        <v>0.4821625331685081</v>
      </c>
      <c r="AO68" s="60">
        <f t="shared" si="37"/>
        <v>0.50829213795023576</v>
      </c>
      <c r="AP68" s="60">
        <f t="shared" si="37"/>
        <v>0.50810445523432546</v>
      </c>
      <c r="AQ68" s="60" t="e">
        <f t="shared" si="37"/>
        <v>#VALUE!</v>
      </c>
      <c r="AR68" s="60">
        <f t="shared" si="37"/>
        <v>0.45730500012795006</v>
      </c>
      <c r="AS68" s="60">
        <f t="shared" si="37"/>
        <v>0.45944597333166703</v>
      </c>
      <c r="AT68" s="60">
        <f t="shared" si="37"/>
        <v>0.44178989561270243</v>
      </c>
    </row>
    <row r="69" spans="1:46" x14ac:dyDescent="0.25">
      <c r="A69" s="15">
        <v>2</v>
      </c>
      <c r="B69" s="10">
        <v>1.5175583946040812</v>
      </c>
      <c r="C69" s="10">
        <v>1.456387927209005</v>
      </c>
      <c r="D69" s="10">
        <v>1.5726175896923127</v>
      </c>
      <c r="E69" s="10">
        <v>1.3735443328570403</v>
      </c>
      <c r="F69" s="10">
        <v>1.2146328776859296</v>
      </c>
      <c r="G69" s="10">
        <v>1.6035417948615416</v>
      </c>
      <c r="H69" s="10">
        <v>1.6303514873119838</v>
      </c>
      <c r="I69" s="10">
        <v>1.3277709137445484</v>
      </c>
      <c r="J69" s="10">
        <v>1.6191466929704497</v>
      </c>
      <c r="K69" s="10">
        <v>1.5341569475386778</v>
      </c>
      <c r="L69" s="10">
        <v>1.5547492319544176</v>
      </c>
      <c r="M69" s="10">
        <v>1.5423627750622302</v>
      </c>
      <c r="N69" s="10"/>
      <c r="O69" s="10"/>
      <c r="P69" s="10"/>
      <c r="Q69" s="10"/>
      <c r="R69" s="64"/>
      <c r="S69" s="64"/>
      <c r="T69" s="64">
        <f t="shared" ref="T69:T72" si="41">1-B69/2.65</f>
        <v>0.4273364548663845</v>
      </c>
      <c r="U69" s="64">
        <f t="shared" si="40"/>
        <v>0.45041965010980944</v>
      </c>
      <c r="V69" s="64">
        <f t="shared" si="40"/>
        <v>0.40655940011610836</v>
      </c>
      <c r="W69" s="64">
        <f t="shared" si="40"/>
        <v>0.48168138382753201</v>
      </c>
      <c r="X69" s="64">
        <f t="shared" si="40"/>
        <v>0.54164797068455484</v>
      </c>
      <c r="Y69" s="64">
        <f t="shared" si="40"/>
        <v>0.39488988873149378</v>
      </c>
      <c r="Z69" s="64">
        <f t="shared" si="40"/>
        <v>0.3847730236558552</v>
      </c>
      <c r="AA69" s="64">
        <f t="shared" si="40"/>
        <v>0.49895437217186855</v>
      </c>
      <c r="AB69" s="64">
        <f t="shared" si="40"/>
        <v>0.38900124793567936</v>
      </c>
      <c r="AC69" s="64">
        <f t="shared" si="40"/>
        <v>0.42107284998540462</v>
      </c>
      <c r="AD69" s="64">
        <f t="shared" si="40"/>
        <v>0.41330217662097446</v>
      </c>
      <c r="AE69" s="64">
        <f t="shared" si="40"/>
        <v>0.41797631129727164</v>
      </c>
    </row>
    <row r="70" spans="1:46" x14ac:dyDescent="0.25">
      <c r="A70" s="15">
        <v>3</v>
      </c>
      <c r="B70" s="10">
        <v>1.5849106786647507</v>
      </c>
      <c r="C70" s="10">
        <v>1.5610190843491971</v>
      </c>
      <c r="D70" s="10">
        <v>1.7291293319926879</v>
      </c>
      <c r="E70" s="10">
        <v>1.4490724423956467</v>
      </c>
      <c r="F70" s="10">
        <v>1.5982524369413778</v>
      </c>
      <c r="G70" s="10">
        <v>1.7136418736022454</v>
      </c>
      <c r="H70" s="10">
        <v>1.6110682372194973</v>
      </c>
      <c r="I70" s="10">
        <v>1.5651903907382188</v>
      </c>
      <c r="J70" s="10">
        <v>1.6019552674821222</v>
      </c>
      <c r="K70" s="10">
        <v>1.5541760981507056</v>
      </c>
      <c r="L70" s="10">
        <v>1.6971594209860337</v>
      </c>
      <c r="M70" s="10">
        <v>1.5932625520597972</v>
      </c>
      <c r="N70" s="10"/>
      <c r="O70" s="10"/>
      <c r="P70" s="10"/>
      <c r="Q70" s="10"/>
      <c r="R70" s="64"/>
      <c r="S70" s="64"/>
      <c r="T70" s="64">
        <f t="shared" si="41"/>
        <v>0.40192049861707524</v>
      </c>
      <c r="U70" s="64">
        <f t="shared" si="40"/>
        <v>0.41093619458520858</v>
      </c>
      <c r="V70" s="64">
        <f t="shared" si="40"/>
        <v>0.34749836528577815</v>
      </c>
      <c r="W70" s="64">
        <f t="shared" si="40"/>
        <v>0.45318021041673706</v>
      </c>
      <c r="X70" s="64">
        <f t="shared" si="40"/>
        <v>0.39688587285231025</v>
      </c>
      <c r="Y70" s="64">
        <f t="shared" si="40"/>
        <v>0.35334268920669987</v>
      </c>
      <c r="Z70" s="64">
        <f t="shared" si="40"/>
        <v>0.39204972180396325</v>
      </c>
      <c r="AA70" s="64">
        <f t="shared" si="40"/>
        <v>0.40936211670255895</v>
      </c>
      <c r="AB70" s="64">
        <f t="shared" si="40"/>
        <v>0.39548857830863304</v>
      </c>
      <c r="AC70" s="64">
        <f t="shared" si="40"/>
        <v>0.41351845352803562</v>
      </c>
      <c r="AD70" s="64">
        <f t="shared" si="40"/>
        <v>0.3595624826467797</v>
      </c>
      <c r="AE70" s="64">
        <f t="shared" si="40"/>
        <v>0.3987688482793218</v>
      </c>
    </row>
    <row r="71" spans="1:46" x14ac:dyDescent="0.25">
      <c r="A71" s="15">
        <v>4</v>
      </c>
      <c r="B71" s="10">
        <v>1.6611161015691513</v>
      </c>
      <c r="C71" s="10">
        <v>1.6843541440224425</v>
      </c>
      <c r="D71" s="10">
        <v>1.7383848334740779</v>
      </c>
      <c r="E71" s="10">
        <v>1.546651000227472</v>
      </c>
      <c r="F71" s="10">
        <v>1.7093753731375603</v>
      </c>
      <c r="G71" s="10">
        <v>1.7429679820949477</v>
      </c>
      <c r="H71" s="10" t="e">
        <f>NA()</f>
        <v>#N/A</v>
      </c>
      <c r="I71" s="10">
        <v>1.6121705778540232</v>
      </c>
      <c r="J71" s="10">
        <v>1.5648525995234264</v>
      </c>
      <c r="K71" s="10">
        <v>1.6102665905825742</v>
      </c>
      <c r="L71" s="10">
        <v>1.6296271907485738</v>
      </c>
      <c r="M71" s="10">
        <v>1.6243051100792503</v>
      </c>
      <c r="N71" s="10"/>
      <c r="O71" s="10"/>
      <c r="P71" s="10"/>
      <c r="Q71" s="10"/>
      <c r="R71" s="64"/>
      <c r="S71" s="64"/>
      <c r="T71" s="64">
        <f t="shared" si="41"/>
        <v>0.37316373525692403</v>
      </c>
      <c r="U71" s="64">
        <f t="shared" si="40"/>
        <v>0.36439466263304054</v>
      </c>
      <c r="V71" s="64">
        <f t="shared" si="40"/>
        <v>0.34400572321732903</v>
      </c>
      <c r="W71" s="64">
        <f t="shared" si="40"/>
        <v>0.41635811312170867</v>
      </c>
      <c r="X71" s="64">
        <f t="shared" si="40"/>
        <v>0.35495268938205271</v>
      </c>
      <c r="Y71" s="64">
        <f t="shared" si="40"/>
        <v>0.34227623317171785</v>
      </c>
      <c r="Z71" s="64"/>
      <c r="AA71" s="64">
        <f t="shared" si="40"/>
        <v>0.39163374420602892</v>
      </c>
      <c r="AB71" s="64">
        <f t="shared" si="40"/>
        <v>0.40948958508549949</v>
      </c>
      <c r="AC71" s="64">
        <f t="shared" si="40"/>
        <v>0.39235222996883989</v>
      </c>
      <c r="AD71" s="64">
        <f t="shared" si="40"/>
        <v>0.38504634311374575</v>
      </c>
      <c r="AE71" s="64">
        <f t="shared" si="40"/>
        <v>0.38705467544179228</v>
      </c>
    </row>
    <row r="72" spans="1:46" x14ac:dyDescent="0.25">
      <c r="A72" s="15">
        <v>5</v>
      </c>
      <c r="B72" s="10">
        <v>1.6674709646091144</v>
      </c>
      <c r="C72" s="10">
        <v>1.7082414117433771</v>
      </c>
      <c r="D72" s="10">
        <v>1.708561510556988</v>
      </c>
      <c r="E72" s="10">
        <v>1.6470256226674413</v>
      </c>
      <c r="F72" s="10">
        <v>1.7604386462822996</v>
      </c>
      <c r="G72" s="10">
        <v>1.8421691234882054</v>
      </c>
      <c r="H72" s="10" t="e">
        <f>NA()</f>
        <v>#N/A</v>
      </c>
      <c r="I72" s="10">
        <v>1.6599651281595174</v>
      </c>
      <c r="J72" s="10">
        <v>1.6037476056497983</v>
      </c>
      <c r="K72" s="10">
        <v>1.6313196655831845</v>
      </c>
      <c r="L72" s="10">
        <v>1.6937670787933878</v>
      </c>
      <c r="M72" s="10">
        <v>1.6038992667397254</v>
      </c>
      <c r="N72" s="10"/>
      <c r="O72" s="10"/>
      <c r="P72" s="10"/>
      <c r="Q72" s="10"/>
      <c r="R72" s="64"/>
      <c r="S72" s="64"/>
      <c r="T72" s="64">
        <f t="shared" si="41"/>
        <v>0.37076567373240965</v>
      </c>
      <c r="U72" s="64">
        <f t="shared" si="40"/>
        <v>0.35538059934212185</v>
      </c>
      <c r="V72" s="64">
        <f t="shared" si="40"/>
        <v>0.35525980733698559</v>
      </c>
      <c r="W72" s="64">
        <f t="shared" si="40"/>
        <v>0.37848089710662591</v>
      </c>
      <c r="X72" s="64">
        <f t="shared" si="40"/>
        <v>0.33568352970479254</v>
      </c>
      <c r="Y72" s="64">
        <f t="shared" si="40"/>
        <v>0.30484184019312999</v>
      </c>
      <c r="Z72" s="64"/>
      <c r="AA72" s="64">
        <f t="shared" si="40"/>
        <v>0.37359806484546509</v>
      </c>
      <c r="AB72" s="64">
        <f t="shared" si="40"/>
        <v>0.39481222428309493</v>
      </c>
      <c r="AC72" s="64">
        <f t="shared" si="40"/>
        <v>0.38440767336483606</v>
      </c>
      <c r="AD72" s="64">
        <f t="shared" si="40"/>
        <v>0.36084261177608001</v>
      </c>
      <c r="AE72" s="64">
        <f t="shared" si="40"/>
        <v>0.3947549936831225</v>
      </c>
    </row>
    <row r="73" spans="1:46" x14ac:dyDescent="0.25">
      <c r="A73" s="86" t="s">
        <v>217</v>
      </c>
      <c r="C73" s="64"/>
      <c r="D73" s="64"/>
      <c r="E73" s="15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64"/>
      <c r="S73" s="64"/>
      <c r="T73" s="64"/>
      <c r="U73" s="64"/>
      <c r="V73" s="64"/>
      <c r="W73" s="64"/>
      <c r="X73" s="64"/>
      <c r="Y73" s="64"/>
      <c r="Z73" s="64"/>
    </row>
    <row r="74" spans="1:46" x14ac:dyDescent="0.25"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  <c r="M74">
        <v>12</v>
      </c>
      <c r="N74" s="69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46" x14ac:dyDescent="0.25">
      <c r="A75" s="15">
        <v>1</v>
      </c>
      <c r="B75" s="10">
        <v>1.0139864580366289</v>
      </c>
      <c r="C75" s="65">
        <v>1.307557329339353</v>
      </c>
      <c r="D75" s="65">
        <v>1.0965112433435376</v>
      </c>
      <c r="E75" s="65">
        <v>1.0607013811478612</v>
      </c>
      <c r="F75" s="65">
        <v>0.99783149448436126</v>
      </c>
      <c r="G75" s="65">
        <v>1.0527804754152801</v>
      </c>
      <c r="H75" s="65">
        <v>1.0390202042937915</v>
      </c>
      <c r="I75" s="65">
        <v>1.2338560646043213</v>
      </c>
      <c r="J75" s="65">
        <v>1.1240502062975173</v>
      </c>
      <c r="K75" s="65">
        <v>1.2634765679019795</v>
      </c>
      <c r="L75" s="65">
        <v>0.9843475340279646</v>
      </c>
      <c r="M75" s="65">
        <v>1.0328124246847674</v>
      </c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46" x14ac:dyDescent="0.25">
      <c r="A76" s="15">
        <v>2</v>
      </c>
      <c r="B76" s="65">
        <v>1.3500907510522218</v>
      </c>
      <c r="C76" s="65">
        <v>1.3712561479981229</v>
      </c>
      <c r="D76" s="65">
        <v>1.4659570232800021</v>
      </c>
      <c r="E76" s="65">
        <v>1.2507846980188413</v>
      </c>
      <c r="F76" s="65">
        <v>1.2580240374442015</v>
      </c>
      <c r="G76" s="65">
        <v>1.3853479919177181</v>
      </c>
      <c r="H76" s="65">
        <v>1.2564030148756731</v>
      </c>
      <c r="I76" s="65">
        <v>1.4613150041064884</v>
      </c>
      <c r="J76" s="65">
        <v>1.3688798762783483</v>
      </c>
      <c r="K76" s="65">
        <v>1.2907207994798631</v>
      </c>
      <c r="L76" s="65">
        <v>1.3216491732589477</v>
      </c>
      <c r="M76" s="65">
        <v>1.4141027217980939</v>
      </c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46" x14ac:dyDescent="0.25">
      <c r="A77" s="15">
        <v>3</v>
      </c>
      <c r="B77" s="65">
        <v>1.3571643040785279</v>
      </c>
      <c r="C77" s="65">
        <v>1.5105904060475555</v>
      </c>
      <c r="D77" s="65">
        <v>1.5073115194884863</v>
      </c>
      <c r="E77" s="72">
        <v>1.3267609205631146</v>
      </c>
      <c r="F77" s="65">
        <v>1.5547816917509649</v>
      </c>
      <c r="G77" s="65">
        <v>1.3722692871034534</v>
      </c>
      <c r="H77" s="65">
        <v>1.3030258344318753</v>
      </c>
      <c r="I77" s="65">
        <v>1.3035231936290375</v>
      </c>
      <c r="J77" s="65" t="e">
        <v>#VALUE!</v>
      </c>
      <c r="K77" s="65">
        <v>1.4381417496609323</v>
      </c>
      <c r="L77" s="65">
        <v>1.4324681706710825</v>
      </c>
      <c r="M77" s="65">
        <v>1.4792567766263385</v>
      </c>
    </row>
    <row r="78" spans="1:46" x14ac:dyDescent="0.25">
      <c r="A78" s="60">
        <v>4</v>
      </c>
      <c r="B78" s="85">
        <f>MIN((C62+1/2.65)^-1,B71)</f>
        <v>1.6098052455003906</v>
      </c>
      <c r="C78" s="85">
        <f t="shared" ref="C78:M78" si="42">MIN((D62+1/2.65)^-1,C71)</f>
        <v>1.6539561686165074</v>
      </c>
      <c r="D78" s="85">
        <f t="shared" si="42"/>
        <v>1.7250934354355003</v>
      </c>
      <c r="E78" s="85">
        <f t="shared" si="42"/>
        <v>1.4019358769499597</v>
      </c>
      <c r="F78" s="85">
        <f t="shared" si="42"/>
        <v>1.6501998189141092</v>
      </c>
      <c r="G78" s="85">
        <f t="shared" si="42"/>
        <v>1.6823975521390628</v>
      </c>
      <c r="H78" s="85" t="e">
        <f t="shared" si="42"/>
        <v>#N/A</v>
      </c>
      <c r="I78" s="85">
        <f t="shared" si="42"/>
        <v>1.5074894810659183</v>
      </c>
      <c r="J78" s="85">
        <f t="shared" si="42"/>
        <v>1.5173069554897247</v>
      </c>
      <c r="K78" s="85">
        <f t="shared" si="42"/>
        <v>1.4883661061510649</v>
      </c>
      <c r="L78" s="85">
        <f t="shared" si="42"/>
        <v>1.5473503434739939</v>
      </c>
      <c r="M78" s="85">
        <f t="shared" si="42"/>
        <v>1.5830089197974146</v>
      </c>
    </row>
    <row r="79" spans="1:46" x14ac:dyDescent="0.25">
      <c r="A79" s="60">
        <v>5</v>
      </c>
      <c r="B79" s="85">
        <f>MIN((C63+1/2.65)^-1,B72)</f>
        <v>1.6640714741544349</v>
      </c>
      <c r="C79" s="85">
        <f t="shared" ref="C79:M79" si="43">MIN((D63+1/2.65)^-1,C72)</f>
        <v>1.6907016454517225</v>
      </c>
      <c r="D79" s="85">
        <f t="shared" si="43"/>
        <v>1.708561510556988</v>
      </c>
      <c r="E79" s="85">
        <f t="shared" si="43"/>
        <v>1.5892820693622318</v>
      </c>
      <c r="F79" s="85">
        <f t="shared" si="43"/>
        <v>1.7250149775134695</v>
      </c>
      <c r="G79" s="85">
        <f t="shared" si="43"/>
        <v>1.7260423188753846</v>
      </c>
      <c r="H79" s="85" t="e">
        <f t="shared" si="43"/>
        <v>#N/A</v>
      </c>
      <c r="I79" s="85">
        <f t="shared" si="43"/>
        <v>1.6517606721897669</v>
      </c>
      <c r="J79" s="85">
        <f t="shared" si="43"/>
        <v>1.6037476056497983</v>
      </c>
      <c r="K79" s="85">
        <f t="shared" si="43"/>
        <v>1.6313196655831845</v>
      </c>
      <c r="L79" s="85">
        <f t="shared" si="43"/>
        <v>1.6696019366514416</v>
      </c>
      <c r="M79" s="85">
        <f t="shared" si="43"/>
        <v>1.6038992667397254</v>
      </c>
    </row>
    <row r="81" spans="2:8" x14ac:dyDescent="0.25">
      <c r="B81" s="87" t="s">
        <v>218</v>
      </c>
      <c r="H81" s="66"/>
    </row>
    <row r="82" spans="2:8" x14ac:dyDescent="0.25">
      <c r="H82" s="66"/>
    </row>
    <row r="83" spans="2:8" x14ac:dyDescent="0.25">
      <c r="H83" s="66"/>
    </row>
    <row r="84" spans="2:8" x14ac:dyDescent="0.25">
      <c r="H84" s="66"/>
    </row>
    <row r="85" spans="2:8" x14ac:dyDescent="0.25">
      <c r="H85" s="66"/>
    </row>
    <row r="86" spans="2:8" x14ac:dyDescent="0.25">
      <c r="H86" s="66"/>
    </row>
    <row r="87" spans="2:8" x14ac:dyDescent="0.25">
      <c r="H87" s="66"/>
    </row>
    <row r="88" spans="2:8" x14ac:dyDescent="0.25">
      <c r="H88" s="66"/>
    </row>
    <row r="89" spans="2:8" x14ac:dyDescent="0.25">
      <c r="H89" s="66"/>
    </row>
    <row r="90" spans="2:8" x14ac:dyDescent="0.25">
      <c r="H90" s="66"/>
    </row>
    <row r="91" spans="2:8" x14ac:dyDescent="0.25">
      <c r="H91" s="66"/>
    </row>
    <row r="92" spans="2:8" x14ac:dyDescent="0.25">
      <c r="H92" s="66"/>
    </row>
    <row r="93" spans="2:8" x14ac:dyDescent="0.25">
      <c r="H93" s="66"/>
    </row>
    <row r="107" spans="2:5" x14ac:dyDescent="0.25">
      <c r="B107" s="60" t="s">
        <v>1</v>
      </c>
      <c r="C107" s="60" t="s">
        <v>134</v>
      </c>
      <c r="D107" s="60" t="s">
        <v>179</v>
      </c>
      <c r="E107" s="60" t="s">
        <v>178</v>
      </c>
    </row>
    <row r="108" spans="2:5" x14ac:dyDescent="0.25">
      <c r="B108" s="60">
        <v>1</v>
      </c>
      <c r="C108" s="60">
        <v>1</v>
      </c>
      <c r="D108" s="60">
        <v>1.3962562491546295</v>
      </c>
      <c r="E108" s="10">
        <v>1.0139864580366289</v>
      </c>
    </row>
    <row r="109" spans="2:5" x14ac:dyDescent="0.25">
      <c r="B109" s="60">
        <v>1</v>
      </c>
      <c r="C109" s="60">
        <v>2</v>
      </c>
      <c r="D109" s="60">
        <v>1.5175583946040812</v>
      </c>
      <c r="E109" s="65">
        <v>1.3500907510522218</v>
      </c>
    </row>
    <row r="110" spans="2:5" x14ac:dyDescent="0.25">
      <c r="B110" s="60">
        <v>1</v>
      </c>
      <c r="C110" s="60">
        <v>3</v>
      </c>
      <c r="D110" s="60">
        <v>1.5849106786647507</v>
      </c>
      <c r="E110" s="65">
        <v>1.3571643040785279</v>
      </c>
    </row>
    <row r="111" spans="2:5" x14ac:dyDescent="0.25">
      <c r="B111" s="60">
        <v>1</v>
      </c>
      <c r="C111" s="60">
        <v>4</v>
      </c>
      <c r="D111" s="60">
        <v>1.6611161015691513</v>
      </c>
      <c r="E111" s="65"/>
    </row>
    <row r="112" spans="2:5" x14ac:dyDescent="0.25">
      <c r="B112" s="60">
        <v>1</v>
      </c>
      <c r="C112" s="60">
        <v>5</v>
      </c>
      <c r="D112" s="60">
        <v>1.6674709646091144</v>
      </c>
      <c r="E112" s="65"/>
    </row>
    <row r="113" spans="2:5" x14ac:dyDescent="0.25">
      <c r="B113" s="60">
        <v>2</v>
      </c>
      <c r="C113" s="60">
        <v>1</v>
      </c>
      <c r="D113" s="60">
        <v>1.2685383634082836</v>
      </c>
      <c r="E113" s="65">
        <v>1.307557329339353</v>
      </c>
    </row>
    <row r="114" spans="2:5" x14ac:dyDescent="0.25">
      <c r="B114" s="60">
        <v>2</v>
      </c>
      <c r="C114" s="60">
        <v>2</v>
      </c>
      <c r="D114" s="60">
        <v>1.456387927209005</v>
      </c>
      <c r="E114" s="65">
        <v>1.3712561479981229</v>
      </c>
    </row>
    <row r="115" spans="2:5" x14ac:dyDescent="0.25">
      <c r="B115" s="60">
        <v>2</v>
      </c>
      <c r="C115" s="60">
        <v>3</v>
      </c>
      <c r="D115" s="60">
        <v>1.5610190843491971</v>
      </c>
      <c r="E115" s="65">
        <v>1.5105904060475555</v>
      </c>
    </row>
    <row r="116" spans="2:5" x14ac:dyDescent="0.25">
      <c r="B116" s="60">
        <v>2</v>
      </c>
      <c r="C116" s="60">
        <v>4</v>
      </c>
      <c r="D116" s="60">
        <v>1.6843541440224425</v>
      </c>
      <c r="E116" s="65"/>
    </row>
    <row r="117" spans="2:5" x14ac:dyDescent="0.25">
      <c r="B117" s="60">
        <v>2</v>
      </c>
      <c r="C117" s="60">
        <v>5</v>
      </c>
      <c r="D117" s="60">
        <v>1.7082414117433771</v>
      </c>
      <c r="E117" s="65"/>
    </row>
    <row r="118" spans="2:5" x14ac:dyDescent="0.25">
      <c r="B118" s="60">
        <v>3</v>
      </c>
      <c r="C118" s="60">
        <v>1</v>
      </c>
      <c r="D118" s="60">
        <v>1.5030152557707523</v>
      </c>
      <c r="E118" s="65">
        <v>1.0965112433435376</v>
      </c>
    </row>
    <row r="119" spans="2:5" x14ac:dyDescent="0.25">
      <c r="B119" s="60">
        <v>3</v>
      </c>
      <c r="C119" s="60">
        <v>2</v>
      </c>
      <c r="D119" s="60">
        <v>1.5726175896923127</v>
      </c>
      <c r="E119" s="65">
        <v>1.4659570232800021</v>
      </c>
    </row>
    <row r="120" spans="2:5" x14ac:dyDescent="0.25">
      <c r="B120" s="60">
        <v>3</v>
      </c>
      <c r="C120" s="60">
        <v>3</v>
      </c>
      <c r="D120" s="60">
        <v>1.7291293319926879</v>
      </c>
      <c r="E120" s="65">
        <v>1.5073115194884863</v>
      </c>
    </row>
    <row r="121" spans="2:5" x14ac:dyDescent="0.25">
      <c r="B121" s="60">
        <v>3</v>
      </c>
      <c r="C121" s="60">
        <v>4</v>
      </c>
      <c r="D121" s="60">
        <v>1.7383848334740779</v>
      </c>
      <c r="E121" s="65"/>
    </row>
    <row r="122" spans="2:5" x14ac:dyDescent="0.25">
      <c r="B122" s="60">
        <v>3</v>
      </c>
      <c r="C122" s="60">
        <v>5</v>
      </c>
      <c r="D122" s="60">
        <v>1.708561510556988</v>
      </c>
      <c r="E122" s="65"/>
    </row>
    <row r="123" spans="2:5" x14ac:dyDescent="0.25">
      <c r="B123" s="60">
        <v>4</v>
      </c>
      <c r="C123" s="60">
        <v>1</v>
      </c>
      <c r="D123" s="60">
        <v>1.3899263072462471</v>
      </c>
      <c r="E123" s="65">
        <v>1.0607013811478612</v>
      </c>
    </row>
    <row r="124" spans="2:5" x14ac:dyDescent="0.25">
      <c r="B124" s="60">
        <v>4</v>
      </c>
      <c r="C124" s="60">
        <v>2</v>
      </c>
      <c r="D124" s="60">
        <v>1.3735443328570403</v>
      </c>
      <c r="E124" s="65">
        <v>1.2507846980188413</v>
      </c>
    </row>
    <row r="125" spans="2:5" x14ac:dyDescent="0.25">
      <c r="B125" s="60">
        <v>4</v>
      </c>
      <c r="C125" s="60">
        <v>3</v>
      </c>
      <c r="D125" s="60">
        <v>1.4490724423956467</v>
      </c>
      <c r="E125" s="72">
        <v>1.3267609205631146</v>
      </c>
    </row>
    <row r="126" spans="2:5" x14ac:dyDescent="0.25">
      <c r="B126" s="60">
        <v>4</v>
      </c>
      <c r="C126" s="60">
        <v>4</v>
      </c>
      <c r="D126" s="60">
        <v>1.546651000227472</v>
      </c>
      <c r="E126" s="72"/>
    </row>
    <row r="127" spans="2:5" x14ac:dyDescent="0.25">
      <c r="B127" s="60">
        <v>4</v>
      </c>
      <c r="C127" s="60">
        <v>5</v>
      </c>
      <c r="D127" s="60">
        <v>1.6470256226674413</v>
      </c>
      <c r="E127" s="72"/>
    </row>
    <row r="128" spans="2:5" x14ac:dyDescent="0.25">
      <c r="B128" s="60">
        <v>5</v>
      </c>
      <c r="C128" s="60">
        <v>1</v>
      </c>
      <c r="D128" s="60">
        <v>1.2786215655211459</v>
      </c>
      <c r="E128" s="65">
        <v>0.99783149448436126</v>
      </c>
    </row>
    <row r="129" spans="2:27" x14ac:dyDescent="0.25">
      <c r="B129" s="60">
        <v>5</v>
      </c>
      <c r="C129" s="60">
        <v>2</v>
      </c>
      <c r="D129" s="60">
        <v>1.2146328776859296</v>
      </c>
      <c r="E129" s="65">
        <v>1.2580240374442015</v>
      </c>
    </row>
    <row r="130" spans="2:27" x14ac:dyDescent="0.25">
      <c r="B130" s="60">
        <v>5</v>
      </c>
      <c r="C130" s="60">
        <v>3</v>
      </c>
      <c r="D130" s="60">
        <v>1.5982524369413778</v>
      </c>
      <c r="E130" s="65">
        <v>1.5547816917509649</v>
      </c>
    </row>
    <row r="131" spans="2:27" x14ac:dyDescent="0.25">
      <c r="B131" s="60">
        <v>5</v>
      </c>
      <c r="C131" s="60">
        <v>4</v>
      </c>
      <c r="D131" s="60">
        <v>1.7093753731375603</v>
      </c>
      <c r="E131" s="65"/>
    </row>
    <row r="132" spans="2:27" x14ac:dyDescent="0.25">
      <c r="B132" s="60">
        <v>5</v>
      </c>
      <c r="C132" s="60">
        <v>5</v>
      </c>
      <c r="D132" s="60">
        <v>1.7604386462822996</v>
      </c>
      <c r="E132" s="65"/>
    </row>
    <row r="133" spans="2:27" x14ac:dyDescent="0.25">
      <c r="B133" s="60">
        <v>6</v>
      </c>
      <c r="C133" s="60">
        <v>1</v>
      </c>
      <c r="D133" s="60">
        <v>1.3134209268942334</v>
      </c>
      <c r="E133" s="65">
        <v>1.0527804754152801</v>
      </c>
    </row>
    <row r="134" spans="2:27" x14ac:dyDescent="0.25">
      <c r="B134" s="60">
        <v>6</v>
      </c>
      <c r="C134" s="60">
        <v>2</v>
      </c>
      <c r="D134" s="60">
        <v>1.6035417948615416</v>
      </c>
      <c r="E134" s="65">
        <v>1.3853479919177181</v>
      </c>
    </row>
    <row r="135" spans="2:27" x14ac:dyDescent="0.25">
      <c r="B135" s="60">
        <v>6</v>
      </c>
      <c r="C135" s="60">
        <v>3</v>
      </c>
      <c r="D135" s="60">
        <v>1.7136418736022454</v>
      </c>
      <c r="E135" s="65">
        <v>1.3722692871034534</v>
      </c>
    </row>
    <row r="136" spans="2:27" x14ac:dyDescent="0.25">
      <c r="B136" s="60">
        <v>6</v>
      </c>
      <c r="C136" s="60">
        <v>4</v>
      </c>
      <c r="D136" s="60">
        <v>1.7429679820949477</v>
      </c>
      <c r="E136" s="65"/>
    </row>
    <row r="137" spans="2:27" x14ac:dyDescent="0.25">
      <c r="B137" s="60">
        <v>6</v>
      </c>
      <c r="C137" s="60">
        <v>5</v>
      </c>
      <c r="D137" s="60">
        <v>1.8421691234882054</v>
      </c>
      <c r="E137" s="65"/>
    </row>
    <row r="138" spans="2:27" x14ac:dyDescent="0.25">
      <c r="B138" s="60">
        <v>7</v>
      </c>
      <c r="C138" s="60">
        <v>1</v>
      </c>
      <c r="D138" s="60">
        <v>1.5438284112464755</v>
      </c>
      <c r="E138" s="65">
        <v>1.0390202042937915</v>
      </c>
    </row>
    <row r="139" spans="2:27" x14ac:dyDescent="0.25">
      <c r="B139" s="60">
        <v>7</v>
      </c>
      <c r="C139" s="60">
        <v>2</v>
      </c>
      <c r="D139" s="60">
        <v>1.6303514873119838</v>
      </c>
      <c r="E139" s="65">
        <v>1.2564030148756731</v>
      </c>
    </row>
    <row r="140" spans="2:27" x14ac:dyDescent="0.25">
      <c r="B140" s="60">
        <v>7</v>
      </c>
      <c r="C140" s="60">
        <v>3</v>
      </c>
      <c r="D140" s="60">
        <v>1.6110682372194973</v>
      </c>
      <c r="E140" s="65">
        <v>1.3030258344318753</v>
      </c>
    </row>
    <row r="141" spans="2:27" x14ac:dyDescent="0.25">
      <c r="B141" s="60">
        <v>7</v>
      </c>
      <c r="C141" s="60">
        <v>4</v>
      </c>
      <c r="E141" s="65"/>
    </row>
    <row r="142" spans="2:27" x14ac:dyDescent="0.25">
      <c r="B142" s="60">
        <v>7</v>
      </c>
      <c r="C142" s="60">
        <v>5</v>
      </c>
      <c r="E142" s="65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spans="2:27" x14ac:dyDescent="0.25">
      <c r="B143" s="60">
        <v>8</v>
      </c>
      <c r="C143" s="60">
        <v>1</v>
      </c>
      <c r="D143" s="60">
        <v>1.4224810869277817</v>
      </c>
      <c r="E143" s="65">
        <v>1.2338560646043213</v>
      </c>
      <c r="N143" s="64"/>
      <c r="O143" s="64"/>
      <c r="P143" s="64"/>
      <c r="Q143" s="64"/>
      <c r="R143" s="68"/>
      <c r="S143" s="64"/>
      <c r="T143" s="64"/>
      <c r="U143" s="64"/>
      <c r="V143" s="64"/>
      <c r="W143" s="64"/>
      <c r="X143" s="64"/>
      <c r="Y143" s="64"/>
      <c r="Z143" s="64"/>
      <c r="AA143" s="64"/>
    </row>
    <row r="144" spans="2:27" x14ac:dyDescent="0.25">
      <c r="B144" s="60">
        <v>8</v>
      </c>
      <c r="C144" s="60">
        <v>2</v>
      </c>
      <c r="D144" s="60">
        <v>1.3277709137445484</v>
      </c>
      <c r="E144" s="65">
        <v>1.4613150041064884</v>
      </c>
      <c r="N144" s="64"/>
      <c r="O144" s="64"/>
      <c r="P144" s="64"/>
      <c r="Q144" s="64"/>
      <c r="R144" s="70"/>
      <c r="S144" s="64"/>
      <c r="T144" s="64"/>
      <c r="U144" s="64"/>
      <c r="V144" s="64"/>
      <c r="W144" s="64"/>
      <c r="X144" s="64"/>
      <c r="Y144" s="64"/>
      <c r="Z144" s="64"/>
      <c r="AA144" s="64"/>
    </row>
    <row r="145" spans="2:27" x14ac:dyDescent="0.25">
      <c r="B145" s="60">
        <v>8</v>
      </c>
      <c r="C145" s="60">
        <v>3</v>
      </c>
      <c r="D145" s="60">
        <v>1.5651903907382188</v>
      </c>
      <c r="E145" s="65">
        <v>1.3035231936290375</v>
      </c>
      <c r="N145" s="64"/>
      <c r="O145" s="64"/>
      <c r="P145" s="64"/>
      <c r="Q145" s="64"/>
      <c r="R145" s="70"/>
      <c r="S145" s="64"/>
      <c r="T145" s="64"/>
      <c r="U145" s="64"/>
      <c r="V145" s="64"/>
      <c r="W145" s="64"/>
      <c r="X145" s="64"/>
      <c r="Y145" s="64"/>
      <c r="Z145" s="64"/>
      <c r="AA145" s="64"/>
    </row>
    <row r="146" spans="2:27" x14ac:dyDescent="0.25">
      <c r="B146" s="60">
        <v>8</v>
      </c>
      <c r="C146" s="60">
        <v>4</v>
      </c>
      <c r="D146" s="60">
        <v>1.6121705778540232</v>
      </c>
      <c r="E146" s="65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spans="2:27" x14ac:dyDescent="0.25">
      <c r="B147" s="60">
        <v>8</v>
      </c>
      <c r="C147" s="60">
        <v>5</v>
      </c>
      <c r="D147" s="60">
        <v>1.6599651281595174</v>
      </c>
      <c r="E147" s="65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spans="2:27" x14ac:dyDescent="0.25">
      <c r="B148" s="60">
        <v>9</v>
      </c>
      <c r="C148" s="60">
        <v>1</v>
      </c>
      <c r="D148" s="60">
        <v>1.3952987258908192</v>
      </c>
      <c r="E148" s="65">
        <v>1.1240502062975173</v>
      </c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spans="2:27" x14ac:dyDescent="0.25">
      <c r="B149" s="60">
        <v>9</v>
      </c>
      <c r="C149" s="60">
        <v>2</v>
      </c>
      <c r="D149" s="60">
        <v>1.6191466929704497</v>
      </c>
      <c r="E149" s="65">
        <v>1.3688798762783483</v>
      </c>
      <c r="N149" s="64"/>
      <c r="O149" s="68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spans="2:27" x14ac:dyDescent="0.25">
      <c r="B150" s="60">
        <v>9</v>
      </c>
      <c r="C150" s="60">
        <v>3</v>
      </c>
      <c r="D150" s="60">
        <v>1.6019552674821222</v>
      </c>
      <c r="E150" s="65" t="e">
        <v>#VALUE!</v>
      </c>
      <c r="N150" s="64"/>
      <c r="O150" s="68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spans="2:27" x14ac:dyDescent="0.25">
      <c r="B151" s="60">
        <v>9</v>
      </c>
      <c r="C151" s="60">
        <v>4</v>
      </c>
      <c r="D151" s="60">
        <v>1.5648525995234264</v>
      </c>
      <c r="E151" s="65"/>
      <c r="N151" s="64"/>
      <c r="O151" s="68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spans="2:27" x14ac:dyDescent="0.25">
      <c r="B152" s="60">
        <v>9</v>
      </c>
      <c r="C152" s="60">
        <v>5</v>
      </c>
      <c r="D152" s="60">
        <v>1.6037476056497983</v>
      </c>
      <c r="E152" s="65"/>
      <c r="N152" s="64"/>
      <c r="O152" s="70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spans="2:27" x14ac:dyDescent="0.25">
      <c r="B153" s="60">
        <v>10</v>
      </c>
      <c r="C153" s="60">
        <v>1</v>
      </c>
      <c r="D153" s="60">
        <v>1.3850208001931632</v>
      </c>
      <c r="E153" s="65">
        <v>1.2634765679019795</v>
      </c>
      <c r="N153" s="64"/>
      <c r="O153" s="70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spans="2:27" x14ac:dyDescent="0.25">
      <c r="B154" s="60">
        <v>10</v>
      </c>
      <c r="C154" s="60">
        <v>2</v>
      </c>
      <c r="D154" s="60">
        <v>1.5341569475386778</v>
      </c>
      <c r="E154" s="65">
        <v>1.2907207994798631</v>
      </c>
      <c r="N154" s="64"/>
      <c r="O154" s="70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spans="2:27" x14ac:dyDescent="0.25">
      <c r="B155" s="60">
        <v>10</v>
      </c>
      <c r="C155" s="60">
        <v>3</v>
      </c>
      <c r="D155" s="60">
        <v>1.5541760981507056</v>
      </c>
      <c r="E155" s="65">
        <v>1.4381417496609323</v>
      </c>
      <c r="N155" s="64"/>
      <c r="O155" s="70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spans="2:27" x14ac:dyDescent="0.25">
      <c r="B156" s="60">
        <v>10</v>
      </c>
      <c r="C156" s="60">
        <v>4</v>
      </c>
      <c r="D156" s="60">
        <v>1.6102665905825742</v>
      </c>
      <c r="E156" s="65"/>
      <c r="N156" s="64"/>
      <c r="O156" s="70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spans="2:27" x14ac:dyDescent="0.25">
      <c r="B157" s="60">
        <v>10</v>
      </c>
      <c r="C157" s="60">
        <v>5</v>
      </c>
      <c r="D157" s="60">
        <v>1.6313196655831845</v>
      </c>
      <c r="E157" s="65"/>
      <c r="N157" s="64"/>
      <c r="O157" s="70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spans="2:27" x14ac:dyDescent="0.25">
      <c r="B158" s="60">
        <v>11</v>
      </c>
      <c r="C158" s="60">
        <v>1</v>
      </c>
      <c r="D158" s="60">
        <v>1.3502729168327627</v>
      </c>
      <c r="E158" s="65">
        <v>0.9843475340279646</v>
      </c>
      <c r="N158" s="64"/>
      <c r="O158" s="70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spans="2:27" x14ac:dyDescent="0.25">
      <c r="B159" s="60">
        <v>11</v>
      </c>
      <c r="C159" s="60">
        <v>2</v>
      </c>
      <c r="D159" s="60">
        <v>1.5547492319544176</v>
      </c>
      <c r="E159" s="65">
        <v>1.3216491732589477</v>
      </c>
      <c r="N159" s="64"/>
      <c r="O159" s="70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spans="2:27" x14ac:dyDescent="0.25">
      <c r="B160" s="60">
        <v>11</v>
      </c>
      <c r="C160" s="60">
        <v>3</v>
      </c>
      <c r="D160" s="60">
        <v>1.6971594209860337</v>
      </c>
      <c r="E160" s="65">
        <v>1.4324681706710825</v>
      </c>
      <c r="N160" s="64"/>
      <c r="O160" s="68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spans="2:27" x14ac:dyDescent="0.25">
      <c r="B161" s="60">
        <v>11</v>
      </c>
      <c r="C161" s="60">
        <v>4</v>
      </c>
      <c r="D161" s="60">
        <v>1.6296271907485738</v>
      </c>
      <c r="E161" s="65"/>
      <c r="N161" s="64"/>
      <c r="O161" s="68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spans="2:27" x14ac:dyDescent="0.25">
      <c r="B162" s="60">
        <v>11</v>
      </c>
      <c r="C162" s="60">
        <v>5</v>
      </c>
      <c r="D162" s="60">
        <v>1.6937670787933878</v>
      </c>
      <c r="E162" s="65"/>
      <c r="N162" s="64"/>
      <c r="O162" s="68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spans="2:27" x14ac:dyDescent="0.25">
      <c r="B163" s="60">
        <v>12</v>
      </c>
      <c r="C163" s="60">
        <v>1</v>
      </c>
      <c r="D163" s="60">
        <v>1.421024577106814</v>
      </c>
      <c r="E163" s="65">
        <v>1.0328124246847674</v>
      </c>
      <c r="N163" s="64"/>
      <c r="O163" s="70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spans="2:27" x14ac:dyDescent="0.25">
      <c r="B164" s="60">
        <v>12</v>
      </c>
      <c r="C164" s="60">
        <v>2</v>
      </c>
      <c r="D164" s="60">
        <v>1.5423627750622302</v>
      </c>
      <c r="E164" s="65">
        <v>1.4141027217980939</v>
      </c>
      <c r="N164" s="64"/>
      <c r="O164" s="70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spans="2:27" x14ac:dyDescent="0.25">
      <c r="B165" s="60">
        <v>12</v>
      </c>
      <c r="C165" s="60">
        <v>3</v>
      </c>
      <c r="D165" s="60">
        <v>1.5932625520597972</v>
      </c>
      <c r="E165" s="65">
        <v>1.4792567766263385</v>
      </c>
      <c r="N165" s="64"/>
      <c r="O165" s="70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spans="2:27" x14ac:dyDescent="0.25">
      <c r="B166" s="60">
        <v>12</v>
      </c>
      <c r="C166" s="60">
        <v>4</v>
      </c>
      <c r="D166" s="60">
        <v>1.6243051100792503</v>
      </c>
      <c r="N166" s="64"/>
      <c r="O166" s="70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spans="2:27" x14ac:dyDescent="0.25">
      <c r="B167" s="60">
        <v>12</v>
      </c>
      <c r="C167" s="60">
        <v>5</v>
      </c>
      <c r="D167" s="60">
        <v>1.6038992667397254</v>
      </c>
      <c r="N167" s="64"/>
      <c r="O167" s="70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spans="2:27" x14ac:dyDescent="0.25">
      <c r="N168" s="64"/>
      <c r="O168" s="70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spans="2:27" x14ac:dyDescent="0.25">
      <c r="N169" s="64"/>
      <c r="O169" s="70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spans="2:27" x14ac:dyDescent="0.25">
      <c r="N170" s="64"/>
      <c r="O170" s="70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spans="2:27" x14ac:dyDescent="0.25">
      <c r="N171" s="64"/>
      <c r="O171" s="68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spans="2:27" x14ac:dyDescent="0.25">
      <c r="N172" s="64"/>
      <c r="O172" s="68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spans="2:27" x14ac:dyDescent="0.25">
      <c r="N173" s="64"/>
      <c r="O173" s="68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spans="2:27" x14ac:dyDescent="0.25">
      <c r="N174" s="64"/>
      <c r="O174" s="70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spans="2:27" x14ac:dyDescent="0.25">
      <c r="N175" s="64"/>
      <c r="O175" s="70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spans="2:27" x14ac:dyDescent="0.25">
      <c r="N176" s="64"/>
      <c r="O176" s="70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spans="14:27" x14ac:dyDescent="0.25">
      <c r="N177" s="64"/>
      <c r="O177" s="70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spans="14:27" x14ac:dyDescent="0.25">
      <c r="N178" s="64"/>
      <c r="O178" s="70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spans="14:27" x14ac:dyDescent="0.25">
      <c r="N179" s="64"/>
      <c r="O179" s="70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spans="14:27" x14ac:dyDescent="0.25">
      <c r="N180" s="64"/>
      <c r="O180" s="70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spans="14:27" x14ac:dyDescent="0.25">
      <c r="N181" s="64"/>
      <c r="O181" s="70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spans="14:27" x14ac:dyDescent="0.25">
      <c r="N182" s="64"/>
      <c r="O182" s="68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spans="14:27" x14ac:dyDescent="0.25">
      <c r="N183" s="64"/>
      <c r="O183" s="68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spans="14:27" x14ac:dyDescent="0.25">
      <c r="N184" s="64"/>
      <c r="O184" s="68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spans="14:27" x14ac:dyDescent="0.25">
      <c r="N185" s="64"/>
      <c r="O185" s="70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spans="14:27" x14ac:dyDescent="0.25">
      <c r="N186" s="64"/>
      <c r="O186" s="70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spans="14:27" x14ac:dyDescent="0.25">
      <c r="N187" s="64"/>
      <c r="O187" s="70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spans="14:27" x14ac:dyDescent="0.25">
      <c r="N188" s="64"/>
      <c r="O188" s="70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spans="14:27" x14ac:dyDescent="0.25">
      <c r="N189" s="64"/>
      <c r="O189" s="70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spans="14:27" x14ac:dyDescent="0.25">
      <c r="N190" s="64"/>
      <c r="O190" s="70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spans="14:27" x14ac:dyDescent="0.25">
      <c r="N191" s="64"/>
      <c r="O191" s="70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spans="14:27" x14ac:dyDescent="0.25">
      <c r="N192" s="64"/>
      <c r="O192" s="70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spans="14:27" x14ac:dyDescent="0.25">
      <c r="N193" s="64"/>
      <c r="O193" s="68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spans="14:27" x14ac:dyDescent="0.25">
      <c r="N194" s="64"/>
      <c r="O194" s="68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spans="14:27" x14ac:dyDescent="0.25">
      <c r="N195" s="64"/>
      <c r="O195" s="68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spans="14:27" x14ac:dyDescent="0.25">
      <c r="N196" s="64"/>
      <c r="O196" s="70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spans="14:27" x14ac:dyDescent="0.25">
      <c r="N197" s="64"/>
      <c r="O197" s="70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spans="14:27" x14ac:dyDescent="0.25">
      <c r="N198" s="64"/>
      <c r="O198" s="70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spans="14:27" x14ac:dyDescent="0.25">
      <c r="N199" s="64"/>
      <c r="O199" s="70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spans="14:27" x14ac:dyDescent="0.25">
      <c r="N200" s="64"/>
      <c r="O200" s="70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spans="14:27" x14ac:dyDescent="0.25">
      <c r="N201" s="64"/>
      <c r="O201" s="70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spans="14:27" x14ac:dyDescent="0.25">
      <c r="N202" s="64"/>
      <c r="O202" s="70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spans="14:27" x14ac:dyDescent="0.25">
      <c r="N203" s="64"/>
      <c r="O203" s="70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11" spans="2:16" x14ac:dyDescent="0.25">
      <c r="B211" s="63"/>
    </row>
    <row r="215" spans="2:16" x14ac:dyDescent="0.25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x14ac:dyDescent="0.25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2:16" x14ac:dyDescent="0.25">
      <c r="C217" s="15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</row>
    <row r="218" spans="2:16" x14ac:dyDescent="0.25">
      <c r="C218" s="15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</row>
    <row r="219" spans="2:16" x14ac:dyDescent="0.25">
      <c r="C219" s="15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</row>
    <row r="220" spans="2:16" x14ac:dyDescent="0.25">
      <c r="C220" s="15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</row>
    <row r="221" spans="2:16" x14ac:dyDescent="0.25">
      <c r="C221" s="15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</row>
    <row r="222" spans="2:16" x14ac:dyDescent="0.25">
      <c r="C222" s="15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</row>
    <row r="223" spans="2:16" x14ac:dyDescent="0.25">
      <c r="C223"/>
      <c r="D223"/>
      <c r="E223"/>
    </row>
    <row r="224" spans="2:16" x14ac:dyDescent="0.25">
      <c r="C224"/>
      <c r="D224"/>
      <c r="E224"/>
    </row>
    <row r="225" spans="3:5" x14ac:dyDescent="0.25">
      <c r="C225"/>
      <c r="D225"/>
      <c r="E225"/>
    </row>
    <row r="226" spans="3:5" x14ac:dyDescent="0.25">
      <c r="C226"/>
      <c r="D226"/>
      <c r="E226"/>
    </row>
    <row r="227" spans="3:5" x14ac:dyDescent="0.25">
      <c r="C227"/>
      <c r="D227"/>
      <c r="E227"/>
    </row>
    <row r="228" spans="3:5" x14ac:dyDescent="0.25">
      <c r="C228"/>
      <c r="D228"/>
      <c r="E228"/>
    </row>
    <row r="229" spans="3:5" x14ac:dyDescent="0.25">
      <c r="C229"/>
      <c r="D229"/>
      <c r="E229"/>
    </row>
    <row r="230" spans="3:5" x14ac:dyDescent="0.25">
      <c r="C230"/>
      <c r="D230"/>
      <c r="E230"/>
    </row>
    <row r="231" spans="3:5" x14ac:dyDescent="0.25">
      <c r="C231"/>
      <c r="D231"/>
      <c r="E231"/>
    </row>
    <row r="232" spans="3:5" x14ac:dyDescent="0.25">
      <c r="C232"/>
      <c r="D232"/>
      <c r="E2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topLeftCell="A13" workbookViewId="0">
      <selection activeCell="K40" sqref="K40"/>
    </sheetView>
  </sheetViews>
  <sheetFormatPr defaultRowHeight="15" x14ac:dyDescent="0.25"/>
  <cols>
    <col min="1" max="9" width="9.140625" style="60"/>
    <col min="10" max="10" width="13.85546875" style="60" customWidth="1"/>
    <col min="11" max="11" width="17" style="60" customWidth="1"/>
    <col min="12" max="12" width="9" style="60" customWidth="1"/>
    <col min="13" max="13" width="10" style="60" customWidth="1"/>
    <col min="14" max="14" width="11.7109375" style="60" bestFit="1" customWidth="1"/>
    <col min="15" max="16384" width="9.140625" style="60"/>
  </cols>
  <sheetData>
    <row r="1" spans="1:14" x14ac:dyDescent="0.25">
      <c r="A1" s="60" t="s">
        <v>165</v>
      </c>
      <c r="B1" s="60" t="s">
        <v>166</v>
      </c>
      <c r="C1" s="60" t="s">
        <v>1</v>
      </c>
      <c r="D1" s="60" t="s">
        <v>167</v>
      </c>
      <c r="E1" s="60" t="s">
        <v>168</v>
      </c>
      <c r="F1" s="60" t="s">
        <v>169</v>
      </c>
    </row>
    <row r="2" spans="1:14" x14ac:dyDescent="0.25">
      <c r="A2" s="60" t="s">
        <v>170</v>
      </c>
      <c r="B2" s="60" t="s">
        <v>171</v>
      </c>
      <c r="C2" s="60">
        <v>1</v>
      </c>
      <c r="D2" s="60">
        <v>39.1</v>
      </c>
      <c r="E2" s="60">
        <v>466413.66</v>
      </c>
      <c r="F2" s="60">
        <v>5182371.3600000003</v>
      </c>
      <c r="J2" s="14" t="s">
        <v>165</v>
      </c>
      <c r="K2" t="s">
        <v>172</v>
      </c>
    </row>
    <row r="3" spans="1:14" x14ac:dyDescent="0.25">
      <c r="A3" s="60" t="s">
        <v>170</v>
      </c>
      <c r="B3" s="60" t="s">
        <v>171</v>
      </c>
      <c r="C3" s="60">
        <v>2</v>
      </c>
      <c r="D3" s="60">
        <v>41.246499999999997</v>
      </c>
      <c r="E3" s="60">
        <v>466493.66</v>
      </c>
      <c r="F3" s="60">
        <v>5182421.3600000003</v>
      </c>
    </row>
    <row r="4" spans="1:14" x14ac:dyDescent="0.25">
      <c r="A4" s="60" t="s">
        <v>170</v>
      </c>
      <c r="B4" s="60" t="s">
        <v>171</v>
      </c>
      <c r="C4" s="60">
        <v>3</v>
      </c>
      <c r="D4" s="60">
        <v>17.642600000000002</v>
      </c>
      <c r="E4" s="60">
        <v>466373.66</v>
      </c>
      <c r="F4" s="60">
        <v>5182241.3600000003</v>
      </c>
      <c r="J4" s="14" t="s">
        <v>173</v>
      </c>
      <c r="K4" s="14" t="s">
        <v>36</v>
      </c>
      <c r="L4"/>
      <c r="M4"/>
      <c r="N4"/>
    </row>
    <row r="5" spans="1:14" x14ac:dyDescent="0.25">
      <c r="A5" s="60" t="s">
        <v>170</v>
      </c>
      <c r="B5" s="60" t="s">
        <v>171</v>
      </c>
      <c r="C5" s="60">
        <v>4</v>
      </c>
      <c r="D5" s="60">
        <v>30.5152</v>
      </c>
      <c r="E5" s="60">
        <v>466233.66</v>
      </c>
      <c r="F5" s="60">
        <v>5182211.3600000003</v>
      </c>
      <c r="J5" s="14" t="s">
        <v>37</v>
      </c>
      <c r="K5" t="s">
        <v>174</v>
      </c>
      <c r="L5" t="s">
        <v>175</v>
      </c>
      <c r="M5" t="s">
        <v>171</v>
      </c>
      <c r="N5" t="s">
        <v>89</v>
      </c>
    </row>
    <row r="6" spans="1:14" x14ac:dyDescent="0.25">
      <c r="A6" s="60" t="s">
        <v>170</v>
      </c>
      <c r="B6" s="60" t="s">
        <v>171</v>
      </c>
      <c r="C6" s="60">
        <v>5</v>
      </c>
      <c r="D6" s="60">
        <v>17.4221</v>
      </c>
      <c r="E6" s="60">
        <v>466273.66</v>
      </c>
      <c r="F6" s="60">
        <v>5182151.3600000003</v>
      </c>
      <c r="J6" s="15">
        <v>1</v>
      </c>
      <c r="K6" s="10">
        <v>29.648299999999999</v>
      </c>
      <c r="L6" s="10">
        <v>16.190899999999999</v>
      </c>
      <c r="M6" s="10">
        <v>45.839199999999998</v>
      </c>
      <c r="N6" s="10">
        <v>91.678399999999996</v>
      </c>
    </row>
    <row r="7" spans="1:14" x14ac:dyDescent="0.25">
      <c r="A7" s="60" t="s">
        <v>170</v>
      </c>
      <c r="B7" s="60" t="s">
        <v>171</v>
      </c>
      <c r="C7" s="60">
        <v>6</v>
      </c>
      <c r="D7" s="60">
        <v>20.7699</v>
      </c>
      <c r="E7" s="60">
        <v>466363.66</v>
      </c>
      <c r="F7" s="60">
        <v>5182131.3600000003</v>
      </c>
      <c r="J7" s="15">
        <v>2</v>
      </c>
      <c r="K7" s="10">
        <v>24.362200000000001</v>
      </c>
      <c r="L7" s="10">
        <v>11.252000000000001</v>
      </c>
      <c r="M7" s="10">
        <v>35.614199999999997</v>
      </c>
      <c r="N7" s="10">
        <v>71.228399999999993</v>
      </c>
    </row>
    <row r="8" spans="1:14" x14ac:dyDescent="0.25">
      <c r="A8" s="60" t="s">
        <v>170</v>
      </c>
      <c r="B8" s="60" t="s">
        <v>171</v>
      </c>
      <c r="C8" s="60">
        <v>7</v>
      </c>
      <c r="D8" s="60">
        <v>26.6892</v>
      </c>
      <c r="E8" s="60">
        <v>466393.66</v>
      </c>
      <c r="F8" s="60">
        <v>5182061.3600000003</v>
      </c>
      <c r="J8" s="15">
        <v>3</v>
      </c>
      <c r="K8" s="10">
        <v>27.241299999999999</v>
      </c>
      <c r="L8" s="10">
        <v>18.1721</v>
      </c>
      <c r="M8" s="10">
        <v>45.413400000000003</v>
      </c>
      <c r="N8" s="10">
        <v>90.826799999999992</v>
      </c>
    </row>
    <row r="9" spans="1:14" x14ac:dyDescent="0.25">
      <c r="A9" s="60" t="s">
        <v>170</v>
      </c>
      <c r="B9" s="60" t="s">
        <v>171</v>
      </c>
      <c r="C9" s="60">
        <v>8</v>
      </c>
      <c r="D9" s="60">
        <v>32.1006</v>
      </c>
      <c r="E9" s="60">
        <v>466423.66</v>
      </c>
      <c r="F9" s="60">
        <v>5182161.3600000003</v>
      </c>
      <c r="J9" s="15">
        <v>4</v>
      </c>
      <c r="K9" s="10">
        <v>21.991599999999998</v>
      </c>
      <c r="L9" s="10">
        <v>17.0519</v>
      </c>
      <c r="M9" s="10">
        <v>39.043500000000002</v>
      </c>
      <c r="N9" s="10">
        <v>78.086999999999989</v>
      </c>
    </row>
    <row r="10" spans="1:14" x14ac:dyDescent="0.25">
      <c r="A10" s="60" t="s">
        <v>170</v>
      </c>
      <c r="B10" s="60" t="s">
        <v>171</v>
      </c>
      <c r="C10" s="60">
        <v>9</v>
      </c>
      <c r="D10" s="60">
        <v>29.983699999999999</v>
      </c>
      <c r="E10" s="60">
        <v>466463.66</v>
      </c>
      <c r="F10" s="60">
        <v>5182181.3600000003</v>
      </c>
      <c r="J10" s="15">
        <v>5</v>
      </c>
      <c r="K10" s="10">
        <v>26.814299999999999</v>
      </c>
      <c r="L10" s="10">
        <v>15.047700000000001</v>
      </c>
      <c r="M10" s="10">
        <v>41.862000000000002</v>
      </c>
      <c r="N10" s="10">
        <v>83.724000000000004</v>
      </c>
    </row>
    <row r="11" spans="1:14" x14ac:dyDescent="0.25">
      <c r="A11" s="60" t="s">
        <v>170</v>
      </c>
      <c r="B11" s="60" t="s">
        <v>171</v>
      </c>
      <c r="C11" s="60">
        <v>10</v>
      </c>
      <c r="D11" s="60">
        <v>23.362400000000001</v>
      </c>
      <c r="E11" s="60">
        <v>466493.66</v>
      </c>
      <c r="F11" s="60">
        <v>5182251.3600000003</v>
      </c>
      <c r="J11" s="15">
        <v>6</v>
      </c>
      <c r="K11" s="10">
        <v>26.421199999999999</v>
      </c>
      <c r="L11" s="10">
        <v>9.6127000000000002</v>
      </c>
      <c r="M11" s="10">
        <v>36.033799999999999</v>
      </c>
      <c r="N11" s="10">
        <v>72.067700000000002</v>
      </c>
    </row>
    <row r="12" spans="1:14" x14ac:dyDescent="0.25">
      <c r="A12" s="60" t="s">
        <v>170</v>
      </c>
      <c r="B12" s="60" t="s">
        <v>171</v>
      </c>
      <c r="C12" s="60">
        <v>11</v>
      </c>
      <c r="D12" s="60">
        <v>23.506699999999999</v>
      </c>
      <c r="E12" s="60">
        <v>466493.66</v>
      </c>
      <c r="F12" s="60">
        <v>5182281.3600000003</v>
      </c>
      <c r="J12" s="15">
        <v>7</v>
      </c>
      <c r="K12" s="10">
        <v>21.622499999999999</v>
      </c>
      <c r="L12" s="10">
        <v>14.155099999999999</v>
      </c>
      <c r="M12" s="10">
        <v>35.777500000000003</v>
      </c>
      <c r="N12" s="10">
        <v>71.55510000000001</v>
      </c>
    </row>
    <row r="13" spans="1:14" x14ac:dyDescent="0.25">
      <c r="A13" s="60" t="s">
        <v>170</v>
      </c>
      <c r="B13" s="60" t="s">
        <v>171</v>
      </c>
      <c r="C13" s="60">
        <v>12</v>
      </c>
      <c r="D13" s="60">
        <v>17.7301</v>
      </c>
      <c r="E13" s="60">
        <v>466553.66</v>
      </c>
      <c r="F13" s="60">
        <v>5182171.3600000003</v>
      </c>
      <c r="J13" s="15">
        <v>8</v>
      </c>
      <c r="K13" s="10">
        <v>18.3277</v>
      </c>
      <c r="L13" s="10">
        <v>17.592099999999999</v>
      </c>
      <c r="M13" s="10">
        <v>35.919800000000002</v>
      </c>
      <c r="N13" s="10">
        <v>71.83959999999999</v>
      </c>
    </row>
    <row r="14" spans="1:14" x14ac:dyDescent="0.25">
      <c r="A14" s="60" t="s">
        <v>170</v>
      </c>
      <c r="B14" s="60" t="s">
        <v>171</v>
      </c>
      <c r="C14" s="60">
        <v>13</v>
      </c>
      <c r="D14" s="60">
        <v>18.890499999999999</v>
      </c>
      <c r="E14" s="60">
        <v>466323.66</v>
      </c>
      <c r="F14" s="60">
        <v>5182201.3600000003</v>
      </c>
      <c r="J14" s="15">
        <v>9</v>
      </c>
      <c r="K14" s="10">
        <v>31.9575</v>
      </c>
      <c r="L14" s="10">
        <v>6.0487000000000002</v>
      </c>
      <c r="M14" s="10">
        <v>38.0062</v>
      </c>
      <c r="N14" s="10">
        <v>76.0124</v>
      </c>
    </row>
    <row r="15" spans="1:14" x14ac:dyDescent="0.25">
      <c r="A15" s="60" t="s">
        <v>170</v>
      </c>
      <c r="B15" s="60" t="s">
        <v>171</v>
      </c>
      <c r="C15" s="60">
        <v>14</v>
      </c>
      <c r="D15" s="60">
        <v>23.834599999999998</v>
      </c>
      <c r="E15" s="60">
        <v>466603.66</v>
      </c>
      <c r="F15" s="60">
        <v>5182231.3600000003</v>
      </c>
      <c r="J15" s="15">
        <v>10</v>
      </c>
      <c r="K15" s="10">
        <v>32.304699999999997</v>
      </c>
      <c r="L15" s="10">
        <v>10.9008</v>
      </c>
      <c r="M15" s="10">
        <v>43.205500000000001</v>
      </c>
      <c r="N15" s="10">
        <v>86.411000000000001</v>
      </c>
    </row>
    <row r="16" spans="1:14" x14ac:dyDescent="0.25">
      <c r="A16" s="60" t="s">
        <v>170</v>
      </c>
      <c r="B16" s="60" t="s">
        <v>171</v>
      </c>
      <c r="C16" s="60">
        <v>15</v>
      </c>
      <c r="D16" s="60">
        <v>18.323</v>
      </c>
      <c r="E16" s="60">
        <v>466483.66</v>
      </c>
      <c r="F16" s="60">
        <v>5182081.3600000003</v>
      </c>
      <c r="J16" s="15">
        <v>11</v>
      </c>
      <c r="K16" s="10">
        <v>32.730899999999998</v>
      </c>
      <c r="L16" s="10">
        <v>11.085100000000001</v>
      </c>
      <c r="M16" s="10">
        <v>43.816000000000003</v>
      </c>
      <c r="N16" s="10">
        <v>87.632000000000005</v>
      </c>
    </row>
    <row r="17" spans="1:14" x14ac:dyDescent="0.25">
      <c r="A17" s="60" t="s">
        <v>170</v>
      </c>
      <c r="B17" s="60" t="s">
        <v>171</v>
      </c>
      <c r="C17" s="60">
        <v>16</v>
      </c>
      <c r="D17" s="60">
        <v>24.743400000000001</v>
      </c>
      <c r="E17" s="60">
        <v>466153.66</v>
      </c>
      <c r="F17" s="60">
        <v>5182151.3600000003</v>
      </c>
      <c r="J17" s="15">
        <v>12</v>
      </c>
      <c r="K17" s="10">
        <v>25.585799999999999</v>
      </c>
      <c r="L17" s="10">
        <v>15.028700000000001</v>
      </c>
      <c r="M17" s="10">
        <v>40.614600000000003</v>
      </c>
      <c r="N17" s="10">
        <v>81.229100000000003</v>
      </c>
    </row>
    <row r="18" spans="1:14" x14ac:dyDescent="0.25">
      <c r="A18" s="60" t="s">
        <v>170</v>
      </c>
      <c r="B18" s="60" t="s">
        <v>171</v>
      </c>
      <c r="C18" s="60">
        <v>17</v>
      </c>
      <c r="D18" s="60">
        <v>0</v>
      </c>
      <c r="E18" s="60">
        <v>466193.66</v>
      </c>
      <c r="F18" s="60">
        <v>5182091.3600000003</v>
      </c>
      <c r="J18" s="15">
        <v>13</v>
      </c>
      <c r="K18" s="10">
        <v>25.491800000000001</v>
      </c>
      <c r="L18" s="10">
        <v>15.529500000000001</v>
      </c>
      <c r="M18" s="10">
        <v>41.0212</v>
      </c>
      <c r="N18" s="10">
        <v>82.042500000000004</v>
      </c>
    </row>
    <row r="19" spans="1:14" x14ac:dyDescent="0.25">
      <c r="A19" s="60" t="s">
        <v>170</v>
      </c>
      <c r="B19" s="60" t="s">
        <v>171</v>
      </c>
      <c r="C19" s="60">
        <v>18</v>
      </c>
      <c r="D19" s="60">
        <v>32.672199999999997</v>
      </c>
      <c r="E19" s="60">
        <v>466533.66</v>
      </c>
      <c r="F19" s="60">
        <v>5182351.3600000003</v>
      </c>
      <c r="J19" s="15">
        <v>14</v>
      </c>
      <c r="K19" s="10">
        <v>0</v>
      </c>
      <c r="L19" s="10">
        <v>0</v>
      </c>
      <c r="M19" s="10">
        <v>0</v>
      </c>
      <c r="N19" s="10">
        <v>0</v>
      </c>
    </row>
    <row r="20" spans="1:14" x14ac:dyDescent="0.25">
      <c r="A20" s="60" t="s">
        <v>170</v>
      </c>
      <c r="B20" s="60" t="s">
        <v>171</v>
      </c>
      <c r="C20" s="60">
        <v>19</v>
      </c>
      <c r="D20" s="60">
        <v>34.330199999999998</v>
      </c>
      <c r="E20" s="60">
        <v>466303.66</v>
      </c>
      <c r="F20" s="60">
        <v>5182261.3600000003</v>
      </c>
      <c r="J20" s="15">
        <v>15</v>
      </c>
      <c r="K20" s="10">
        <v>30.375599999999999</v>
      </c>
      <c r="L20" s="10">
        <v>8.5992999999999995</v>
      </c>
      <c r="M20" s="10">
        <v>38.974899999999998</v>
      </c>
      <c r="N20" s="10">
        <v>77.949799999999996</v>
      </c>
    </row>
    <row r="21" spans="1:14" x14ac:dyDescent="0.25">
      <c r="A21" s="60" t="s">
        <v>170</v>
      </c>
      <c r="B21" s="60" t="s">
        <v>171</v>
      </c>
      <c r="C21" s="60">
        <v>20</v>
      </c>
      <c r="D21" s="60">
        <v>25.3886</v>
      </c>
      <c r="E21" s="60">
        <v>466313.66</v>
      </c>
      <c r="F21" s="60">
        <v>5182341.3600000003</v>
      </c>
      <c r="J21" s="15">
        <v>16</v>
      </c>
      <c r="K21" s="10">
        <v>31.3032</v>
      </c>
      <c r="L21" s="10">
        <v>12.897500000000001</v>
      </c>
      <c r="M21" s="10">
        <v>44.200699999999998</v>
      </c>
      <c r="N21" s="10">
        <v>88.401399999999995</v>
      </c>
    </row>
    <row r="22" spans="1:14" x14ac:dyDescent="0.25">
      <c r="A22" s="60" t="s">
        <v>170</v>
      </c>
      <c r="B22" s="60" t="s">
        <v>171</v>
      </c>
      <c r="C22" s="60">
        <v>21</v>
      </c>
      <c r="D22" s="60">
        <v>26.181699999999999</v>
      </c>
      <c r="E22" s="60">
        <v>466213.66</v>
      </c>
      <c r="F22" s="60">
        <v>5182281.3600000003</v>
      </c>
      <c r="J22" s="15">
        <v>17</v>
      </c>
      <c r="K22" s="10">
        <v>36.760899999999999</v>
      </c>
      <c r="L22" s="10">
        <v>3.9129999999999998</v>
      </c>
      <c r="M22" s="10">
        <v>40.673900000000003</v>
      </c>
      <c r="N22" s="10">
        <v>81.347800000000007</v>
      </c>
    </row>
    <row r="23" spans="1:14" x14ac:dyDescent="0.25">
      <c r="A23" s="60" t="s">
        <v>170</v>
      </c>
      <c r="B23" s="60" t="s">
        <v>171</v>
      </c>
      <c r="C23" s="60">
        <v>22</v>
      </c>
      <c r="D23" s="60">
        <v>20.462199999999999</v>
      </c>
      <c r="E23" s="60">
        <v>466153.66</v>
      </c>
      <c r="F23" s="60">
        <v>5182231.3600000003</v>
      </c>
      <c r="J23" s="15">
        <v>18</v>
      </c>
      <c r="K23" s="10">
        <v>31.488800000000001</v>
      </c>
      <c r="L23" s="10">
        <v>10.8759</v>
      </c>
      <c r="M23" s="10">
        <v>42.364699999999999</v>
      </c>
      <c r="N23" s="10">
        <v>84.729399999999998</v>
      </c>
    </row>
    <row r="24" spans="1:14" x14ac:dyDescent="0.25">
      <c r="A24" s="60" t="s">
        <v>170</v>
      </c>
      <c r="B24" s="60" t="s">
        <v>171</v>
      </c>
      <c r="C24" s="60">
        <v>23</v>
      </c>
      <c r="D24" s="60">
        <v>0</v>
      </c>
      <c r="E24" s="60">
        <v>466593.66</v>
      </c>
      <c r="F24" s="60">
        <v>5182311.3600000003</v>
      </c>
      <c r="J24" s="15">
        <v>19</v>
      </c>
      <c r="K24" s="10">
        <v>26.391300000000001</v>
      </c>
      <c r="L24" s="10">
        <v>21.922899999999998</v>
      </c>
      <c r="M24" s="10">
        <v>48.3142</v>
      </c>
      <c r="N24" s="10">
        <v>96.628399999999999</v>
      </c>
    </row>
    <row r="25" spans="1:14" x14ac:dyDescent="0.25">
      <c r="A25" s="60" t="s">
        <v>170</v>
      </c>
      <c r="B25" s="60" t="s">
        <v>171</v>
      </c>
      <c r="C25" s="60">
        <v>24</v>
      </c>
      <c r="D25" s="60">
        <v>27.546600000000002</v>
      </c>
      <c r="E25" s="60">
        <v>466283.66</v>
      </c>
      <c r="F25" s="60">
        <v>5182051.3600000003</v>
      </c>
      <c r="J25" s="15">
        <v>20</v>
      </c>
      <c r="K25" s="10">
        <v>32.297800000000002</v>
      </c>
      <c r="L25" s="10">
        <v>5.4473000000000003</v>
      </c>
      <c r="M25" s="10">
        <v>37.745100000000001</v>
      </c>
      <c r="N25" s="10">
        <v>75.490200000000002</v>
      </c>
    </row>
    <row r="26" spans="1:14" x14ac:dyDescent="0.25">
      <c r="A26" s="60" t="s">
        <v>170</v>
      </c>
      <c r="B26" s="60" t="s">
        <v>171</v>
      </c>
      <c r="C26" s="60">
        <v>25</v>
      </c>
      <c r="D26" s="60">
        <v>21.829899999999999</v>
      </c>
      <c r="E26" s="60">
        <v>466413.66</v>
      </c>
      <c r="F26" s="60">
        <v>5182441.3600000003</v>
      </c>
      <c r="J26" s="15">
        <v>21</v>
      </c>
      <c r="K26" s="10">
        <v>25.7288</v>
      </c>
      <c r="L26" s="10">
        <v>9.3633000000000006</v>
      </c>
      <c r="M26" s="10">
        <v>35.092100000000002</v>
      </c>
      <c r="N26" s="10">
        <v>70.184200000000004</v>
      </c>
    </row>
    <row r="27" spans="1:14" x14ac:dyDescent="0.25">
      <c r="A27" s="60" t="s">
        <v>170</v>
      </c>
      <c r="B27" s="60" t="s">
        <v>171</v>
      </c>
      <c r="C27" s="60">
        <v>26</v>
      </c>
      <c r="D27" s="60">
        <v>21.5472</v>
      </c>
      <c r="E27" s="60">
        <v>466493.66</v>
      </c>
      <c r="F27" s="60">
        <v>5182501.3600000003</v>
      </c>
      <c r="J27" s="15">
        <v>22</v>
      </c>
      <c r="K27" s="10">
        <v>23.814599999999999</v>
      </c>
      <c r="L27" s="10">
        <v>19.058800000000002</v>
      </c>
      <c r="M27" s="10">
        <v>42.873399999999997</v>
      </c>
      <c r="N27" s="10">
        <v>85.746800000000007</v>
      </c>
    </row>
    <row r="28" spans="1:14" x14ac:dyDescent="0.25">
      <c r="A28" s="60" t="s">
        <v>170</v>
      </c>
      <c r="B28" s="60" t="s">
        <v>171</v>
      </c>
      <c r="C28" s="60">
        <v>27</v>
      </c>
      <c r="D28" s="60">
        <v>27.835100000000001</v>
      </c>
      <c r="E28" s="60">
        <v>466423.66</v>
      </c>
      <c r="F28" s="60">
        <v>5182291.3600000003</v>
      </c>
      <c r="J28" s="15">
        <v>23</v>
      </c>
      <c r="K28" s="10">
        <v>28.9361</v>
      </c>
      <c r="L28" s="10">
        <v>3.8948999999999998</v>
      </c>
      <c r="M28" s="10">
        <v>32.831000000000003</v>
      </c>
      <c r="N28" s="10">
        <v>65.662000000000006</v>
      </c>
    </row>
    <row r="29" spans="1:14" x14ac:dyDescent="0.25">
      <c r="A29" s="60" t="s">
        <v>170</v>
      </c>
      <c r="B29" s="60" t="s">
        <v>171</v>
      </c>
      <c r="C29" s="60">
        <v>28</v>
      </c>
      <c r="D29" s="60">
        <v>19.1861</v>
      </c>
      <c r="E29" s="60">
        <v>466613.66</v>
      </c>
      <c r="F29" s="60">
        <v>5182171.3600000003</v>
      </c>
      <c r="J29" s="15">
        <v>24</v>
      </c>
      <c r="K29" s="10">
        <v>32.074399999999997</v>
      </c>
      <c r="L29" s="10">
        <v>14.484400000000001</v>
      </c>
      <c r="M29" s="10">
        <v>46.558700000000002</v>
      </c>
      <c r="N29" s="10">
        <v>93.117500000000007</v>
      </c>
    </row>
    <row r="30" spans="1:14" x14ac:dyDescent="0.25">
      <c r="A30" s="60" t="s">
        <v>170</v>
      </c>
      <c r="B30" s="60" t="s">
        <v>171</v>
      </c>
      <c r="C30" s="60">
        <v>29</v>
      </c>
      <c r="D30" s="60">
        <v>17.707100000000001</v>
      </c>
      <c r="E30" s="60">
        <v>466643.66</v>
      </c>
      <c r="F30" s="60">
        <v>5182271.3600000003</v>
      </c>
      <c r="J30" s="15">
        <v>25</v>
      </c>
      <c r="K30" s="10">
        <v>23.0778</v>
      </c>
      <c r="L30" s="10">
        <v>13.3634</v>
      </c>
      <c r="M30" s="10">
        <v>36.441299999999998</v>
      </c>
      <c r="N30" s="10">
        <v>72.882499999999993</v>
      </c>
    </row>
    <row r="31" spans="1:14" x14ac:dyDescent="0.25">
      <c r="A31" s="60" t="s">
        <v>170</v>
      </c>
      <c r="B31" s="60" t="s">
        <v>171</v>
      </c>
      <c r="C31" s="60">
        <v>30</v>
      </c>
      <c r="D31" s="60">
        <v>26.211600000000001</v>
      </c>
      <c r="E31" s="60">
        <v>466333.66</v>
      </c>
      <c r="F31" s="60">
        <v>5182021.3600000003</v>
      </c>
      <c r="J31" s="15">
        <v>26</v>
      </c>
      <c r="K31" s="10">
        <v>30.371600000000001</v>
      </c>
      <c r="L31" s="10">
        <v>16.0959</v>
      </c>
      <c r="M31" s="10">
        <v>46.467500000000001</v>
      </c>
      <c r="N31" s="10">
        <v>92.935000000000002</v>
      </c>
    </row>
    <row r="32" spans="1:14" x14ac:dyDescent="0.25">
      <c r="A32" s="60" t="s">
        <v>170</v>
      </c>
      <c r="B32" s="60" t="s">
        <v>171</v>
      </c>
      <c r="C32" s="60">
        <v>31</v>
      </c>
      <c r="D32" s="60">
        <v>19.756799999999998</v>
      </c>
      <c r="E32" s="60">
        <v>466463.66</v>
      </c>
      <c r="F32" s="60">
        <v>5182341.3600000003</v>
      </c>
      <c r="J32" s="15">
        <v>27</v>
      </c>
      <c r="K32" s="10">
        <v>33.239899999999999</v>
      </c>
      <c r="L32" s="10">
        <v>16.722899999999999</v>
      </c>
      <c r="M32" s="10">
        <v>49.962800000000001</v>
      </c>
      <c r="N32" s="10">
        <v>99.925600000000003</v>
      </c>
    </row>
    <row r="33" spans="1:14" x14ac:dyDescent="0.25">
      <c r="A33" s="60" t="s">
        <v>170</v>
      </c>
      <c r="B33" s="60" t="s">
        <v>171</v>
      </c>
      <c r="C33" s="60">
        <v>32</v>
      </c>
      <c r="D33" s="60">
        <v>24.7454</v>
      </c>
      <c r="E33" s="60">
        <v>466123.66</v>
      </c>
      <c r="F33" s="60">
        <v>5182111.3600000003</v>
      </c>
      <c r="J33" s="15">
        <v>28</v>
      </c>
      <c r="K33" s="10">
        <v>29.880199999999999</v>
      </c>
      <c r="L33" s="10">
        <v>4.6623999999999999</v>
      </c>
      <c r="M33" s="10">
        <v>34.5426</v>
      </c>
      <c r="N33" s="10">
        <v>69.0852</v>
      </c>
    </row>
    <row r="34" spans="1:14" x14ac:dyDescent="0.25">
      <c r="A34" s="60" t="s">
        <v>170</v>
      </c>
      <c r="B34" s="60" t="s">
        <v>171</v>
      </c>
      <c r="C34" s="60">
        <v>33</v>
      </c>
      <c r="D34" s="60">
        <v>35.6096</v>
      </c>
      <c r="E34" s="60">
        <v>466333.66</v>
      </c>
      <c r="F34" s="60">
        <v>5182081.3600000003</v>
      </c>
      <c r="J34" s="15">
        <v>29</v>
      </c>
      <c r="K34" s="10">
        <v>32.983600000000003</v>
      </c>
      <c r="L34" s="10">
        <v>15.311199999999999</v>
      </c>
      <c r="M34" s="10">
        <v>48.294800000000002</v>
      </c>
      <c r="N34" s="10">
        <v>96.589600000000004</v>
      </c>
    </row>
    <row r="35" spans="1:14" x14ac:dyDescent="0.25">
      <c r="A35" s="60" t="s">
        <v>170</v>
      </c>
      <c r="B35" s="60" t="s">
        <v>171</v>
      </c>
      <c r="C35" s="60">
        <v>34</v>
      </c>
      <c r="D35" s="60">
        <v>24.832100000000001</v>
      </c>
      <c r="E35" s="60">
        <v>466543.66</v>
      </c>
      <c r="F35" s="60">
        <v>5182241.3600000003</v>
      </c>
      <c r="J35" s="15">
        <v>30</v>
      </c>
      <c r="K35" s="10">
        <v>0</v>
      </c>
      <c r="L35" s="10">
        <v>0</v>
      </c>
      <c r="M35" s="10">
        <v>0</v>
      </c>
      <c r="N35" s="10">
        <v>0</v>
      </c>
    </row>
    <row r="36" spans="1:14" x14ac:dyDescent="0.25">
      <c r="A36" s="60" t="s">
        <v>170</v>
      </c>
      <c r="B36" s="60" t="s">
        <v>171</v>
      </c>
      <c r="C36" s="60">
        <v>35</v>
      </c>
      <c r="D36" s="60">
        <v>38.491100000000003</v>
      </c>
      <c r="E36" s="60">
        <v>466363.66</v>
      </c>
      <c r="F36" s="60">
        <v>5182331.3600000003</v>
      </c>
      <c r="J36" s="15">
        <v>31</v>
      </c>
      <c r="K36" s="10">
        <v>35.426499999999997</v>
      </c>
      <c r="L36" s="10">
        <v>19.3719</v>
      </c>
      <c r="M36" s="10">
        <v>54.798400000000001</v>
      </c>
      <c r="N36" s="10">
        <v>109.5968</v>
      </c>
    </row>
    <row r="37" spans="1:14" x14ac:dyDescent="0.25">
      <c r="A37" s="60" t="s">
        <v>170</v>
      </c>
      <c r="B37" s="60" t="s">
        <v>171</v>
      </c>
      <c r="C37" s="60">
        <v>36</v>
      </c>
      <c r="D37" s="60">
        <v>23.8154</v>
      </c>
      <c r="E37" s="60">
        <v>466353.66</v>
      </c>
      <c r="F37" s="60">
        <v>5182391.3600000003</v>
      </c>
      <c r="J37" s="15">
        <v>32</v>
      </c>
      <c r="K37" s="10">
        <v>47.238500000000002</v>
      </c>
      <c r="L37" s="10">
        <v>11.193199999999999</v>
      </c>
      <c r="M37" s="10">
        <v>58.431600000000003</v>
      </c>
      <c r="N37" s="10">
        <v>116.86330000000001</v>
      </c>
    </row>
    <row r="38" spans="1:14" x14ac:dyDescent="0.25">
      <c r="A38" s="60" t="s">
        <v>170</v>
      </c>
      <c r="B38" s="60" t="s">
        <v>175</v>
      </c>
      <c r="C38" s="60">
        <v>1</v>
      </c>
      <c r="D38" s="60">
        <v>6.7</v>
      </c>
      <c r="E38" s="60">
        <v>466413.66</v>
      </c>
      <c r="F38" s="60">
        <v>5182371.3600000003</v>
      </c>
      <c r="J38" s="15">
        <v>33</v>
      </c>
      <c r="K38" s="10">
        <v>29.876899999999999</v>
      </c>
      <c r="L38" s="10">
        <v>8.7454000000000001</v>
      </c>
      <c r="M38" s="10">
        <v>38.622300000000003</v>
      </c>
      <c r="N38" s="10">
        <v>77.244599999999991</v>
      </c>
    </row>
    <row r="39" spans="1:14" x14ac:dyDescent="0.25">
      <c r="A39" s="60" t="s">
        <v>170</v>
      </c>
      <c r="B39" s="60" t="s">
        <v>175</v>
      </c>
      <c r="C39" s="60">
        <v>2</v>
      </c>
      <c r="D39" s="60">
        <v>5.4</v>
      </c>
      <c r="E39" s="60">
        <v>466493.66</v>
      </c>
      <c r="F39" s="60">
        <v>5182421.3600000003</v>
      </c>
      <c r="J39" s="15">
        <v>34</v>
      </c>
      <c r="K39" s="10">
        <v>33.232799999999997</v>
      </c>
      <c r="L39" s="10">
        <v>5.3996000000000004</v>
      </c>
      <c r="M39" s="10">
        <v>38.632399999999997</v>
      </c>
      <c r="N39" s="10">
        <v>77.264799999999994</v>
      </c>
    </row>
    <row r="40" spans="1:14" x14ac:dyDescent="0.25">
      <c r="A40" s="60" t="s">
        <v>170</v>
      </c>
      <c r="B40" s="60" t="s">
        <v>175</v>
      </c>
      <c r="C40" s="60">
        <v>3</v>
      </c>
      <c r="D40" s="60">
        <v>4.4000000000000004</v>
      </c>
      <c r="E40" s="60">
        <v>466373.66</v>
      </c>
      <c r="F40" s="60">
        <v>5182241.3600000003</v>
      </c>
      <c r="J40" s="15">
        <v>35</v>
      </c>
      <c r="K40" s="10">
        <v>34.008600000000001</v>
      </c>
      <c r="L40" s="10">
        <v>11.1813</v>
      </c>
      <c r="M40" s="10">
        <v>45.189900000000002</v>
      </c>
      <c r="N40" s="10">
        <v>90.379800000000003</v>
      </c>
    </row>
    <row r="41" spans="1:14" x14ac:dyDescent="0.25">
      <c r="A41" s="60" t="s">
        <v>170</v>
      </c>
      <c r="B41" s="60" t="s">
        <v>175</v>
      </c>
      <c r="C41" s="60">
        <v>4</v>
      </c>
      <c r="D41" s="60">
        <v>8.4</v>
      </c>
      <c r="E41" s="60">
        <v>466233.66</v>
      </c>
      <c r="F41" s="60">
        <v>5182211.3600000003</v>
      </c>
      <c r="J41" s="15">
        <v>36</v>
      </c>
      <c r="K41" s="10">
        <v>29.4312</v>
      </c>
      <c r="L41" s="10">
        <v>9.7843999999999998</v>
      </c>
      <c r="M41" s="10">
        <v>39.215600000000002</v>
      </c>
      <c r="N41" s="10">
        <v>78.431200000000004</v>
      </c>
    </row>
    <row r="42" spans="1:14" x14ac:dyDescent="0.25">
      <c r="A42" s="60" t="s">
        <v>170</v>
      </c>
      <c r="B42" s="60" t="s">
        <v>175</v>
      </c>
      <c r="C42" s="60">
        <v>5</v>
      </c>
      <c r="D42" s="60">
        <v>4.0999999999999996</v>
      </c>
      <c r="E42" s="60">
        <v>466273.66</v>
      </c>
      <c r="F42" s="60">
        <v>5182151.3600000003</v>
      </c>
      <c r="J42" s="15" t="s">
        <v>89</v>
      </c>
      <c r="K42" s="10">
        <v>1002.4389000000002</v>
      </c>
      <c r="L42" s="10">
        <v>419.95620000000008</v>
      </c>
      <c r="M42" s="10">
        <v>1422.3947999999998</v>
      </c>
      <c r="N42" s="10">
        <v>2844.7898999999993</v>
      </c>
    </row>
    <row r="43" spans="1:14" x14ac:dyDescent="0.25">
      <c r="A43" s="60" t="s">
        <v>170</v>
      </c>
      <c r="B43" s="60" t="s">
        <v>175</v>
      </c>
      <c r="C43" s="60">
        <v>6</v>
      </c>
      <c r="D43" s="60">
        <v>3.2</v>
      </c>
      <c r="E43" s="60">
        <v>466363.66</v>
      </c>
      <c r="F43" s="60">
        <v>5182131.3600000003</v>
      </c>
    </row>
    <row r="44" spans="1:14" x14ac:dyDescent="0.25">
      <c r="A44" s="60" t="s">
        <v>170</v>
      </c>
      <c r="B44" s="60" t="s">
        <v>175</v>
      </c>
      <c r="C44" s="60">
        <v>7</v>
      </c>
      <c r="D44" s="60">
        <v>9</v>
      </c>
      <c r="E44" s="60">
        <v>466393.66</v>
      </c>
      <c r="F44" s="60">
        <v>5182061.3600000003</v>
      </c>
    </row>
    <row r="45" spans="1:14" x14ac:dyDescent="0.25">
      <c r="A45" s="60" t="s">
        <v>170</v>
      </c>
      <c r="B45" s="60" t="s">
        <v>175</v>
      </c>
      <c r="C45" s="60">
        <v>8</v>
      </c>
      <c r="D45" s="60">
        <v>25</v>
      </c>
      <c r="E45" s="60">
        <v>466423.66</v>
      </c>
      <c r="F45" s="60">
        <v>5182161.3600000003</v>
      </c>
    </row>
    <row r="46" spans="1:14" x14ac:dyDescent="0.25">
      <c r="A46" s="60" t="s">
        <v>170</v>
      </c>
      <c r="B46" s="60" t="s">
        <v>175</v>
      </c>
      <c r="C46" s="60">
        <v>9</v>
      </c>
      <c r="D46" s="60">
        <v>11.4</v>
      </c>
      <c r="E46" s="60">
        <v>466463.66</v>
      </c>
      <c r="F46" s="60">
        <v>5182181.3600000003</v>
      </c>
    </row>
    <row r="47" spans="1:14" x14ac:dyDescent="0.25">
      <c r="A47" s="60" t="s">
        <v>170</v>
      </c>
      <c r="B47" s="60" t="s">
        <v>175</v>
      </c>
      <c r="C47" s="60">
        <v>10</v>
      </c>
      <c r="D47" s="60">
        <v>2.1</v>
      </c>
      <c r="E47" s="60">
        <v>466493.66</v>
      </c>
      <c r="F47" s="60">
        <v>5182251.3600000003</v>
      </c>
    </row>
    <row r="48" spans="1:14" x14ac:dyDescent="0.25">
      <c r="A48" s="60" t="s">
        <v>170</v>
      </c>
      <c r="B48" s="60" t="s">
        <v>175</v>
      </c>
      <c r="C48" s="60">
        <v>11</v>
      </c>
      <c r="D48" s="60">
        <v>6.3</v>
      </c>
      <c r="E48" s="60">
        <v>466493.66</v>
      </c>
      <c r="F48" s="60">
        <v>5182281.3600000003</v>
      </c>
    </row>
    <row r="49" spans="1:6" x14ac:dyDescent="0.25">
      <c r="A49" s="60" t="s">
        <v>170</v>
      </c>
      <c r="B49" s="60" t="s">
        <v>175</v>
      </c>
      <c r="C49" s="60">
        <v>12</v>
      </c>
      <c r="D49" s="60">
        <v>1</v>
      </c>
      <c r="E49" s="60">
        <v>466553.66</v>
      </c>
      <c r="F49" s="60">
        <v>5182171.3600000003</v>
      </c>
    </row>
    <row r="50" spans="1:6" x14ac:dyDescent="0.25">
      <c r="A50" s="60" t="s">
        <v>170</v>
      </c>
      <c r="B50" s="60" t="s">
        <v>175</v>
      </c>
      <c r="C50" s="60">
        <v>13</v>
      </c>
      <c r="D50" s="60">
        <v>3.3</v>
      </c>
      <c r="E50" s="60">
        <v>466323.66</v>
      </c>
      <c r="F50" s="60">
        <v>5182201.3600000003</v>
      </c>
    </row>
    <row r="51" spans="1:6" x14ac:dyDescent="0.25">
      <c r="A51" s="60" t="s">
        <v>170</v>
      </c>
      <c r="B51" s="60" t="s">
        <v>175</v>
      </c>
      <c r="C51" s="60">
        <v>14</v>
      </c>
      <c r="D51" s="60">
        <v>3.9</v>
      </c>
      <c r="E51" s="60">
        <v>466603.66</v>
      </c>
      <c r="F51" s="60">
        <v>5182231.3600000003</v>
      </c>
    </row>
    <row r="52" spans="1:6" x14ac:dyDescent="0.25">
      <c r="A52" s="60" t="s">
        <v>170</v>
      </c>
      <c r="B52" s="60" t="s">
        <v>175</v>
      </c>
      <c r="C52" s="60">
        <v>15</v>
      </c>
      <c r="D52" s="60">
        <v>2.4</v>
      </c>
      <c r="E52" s="60">
        <v>466483.66</v>
      </c>
      <c r="F52" s="60">
        <v>5182081.3600000003</v>
      </c>
    </row>
    <row r="53" spans="1:6" x14ac:dyDescent="0.25">
      <c r="A53" s="60" t="s">
        <v>170</v>
      </c>
      <c r="B53" s="60" t="s">
        <v>175</v>
      </c>
      <c r="C53" s="60">
        <v>16</v>
      </c>
      <c r="D53" s="60">
        <v>6</v>
      </c>
      <c r="E53" s="60">
        <v>466153.66</v>
      </c>
      <c r="F53" s="60">
        <v>5182151.3600000003</v>
      </c>
    </row>
    <row r="54" spans="1:6" x14ac:dyDescent="0.25">
      <c r="A54" s="60" t="s">
        <v>170</v>
      </c>
      <c r="B54" s="60" t="s">
        <v>175</v>
      </c>
      <c r="C54" s="60">
        <v>17</v>
      </c>
      <c r="D54" s="60">
        <v>0</v>
      </c>
      <c r="E54" s="60">
        <v>466193.66</v>
      </c>
      <c r="F54" s="60">
        <v>5182091.3600000003</v>
      </c>
    </row>
    <row r="55" spans="1:6" x14ac:dyDescent="0.25">
      <c r="A55" s="60" t="s">
        <v>170</v>
      </c>
      <c r="B55" s="60" t="s">
        <v>175</v>
      </c>
      <c r="C55" s="60">
        <v>18</v>
      </c>
      <c r="D55" s="60">
        <v>11.4</v>
      </c>
      <c r="E55" s="60">
        <v>466533.66</v>
      </c>
      <c r="F55" s="60">
        <v>5182351.3600000003</v>
      </c>
    </row>
    <row r="56" spans="1:6" x14ac:dyDescent="0.25">
      <c r="A56" s="60" t="s">
        <v>170</v>
      </c>
      <c r="B56" s="60" t="s">
        <v>175</v>
      </c>
      <c r="C56" s="60">
        <v>19</v>
      </c>
      <c r="D56" s="60">
        <v>8</v>
      </c>
      <c r="E56" s="60">
        <v>466303.66</v>
      </c>
      <c r="F56" s="60">
        <v>5182261.3600000003</v>
      </c>
    </row>
    <row r="57" spans="1:6" x14ac:dyDescent="0.25">
      <c r="A57" s="60" t="s">
        <v>170</v>
      </c>
      <c r="B57" s="60" t="s">
        <v>175</v>
      </c>
      <c r="C57" s="60">
        <v>20</v>
      </c>
      <c r="D57" s="60">
        <v>6.3</v>
      </c>
      <c r="E57" s="60">
        <v>466313.66</v>
      </c>
      <c r="F57" s="60">
        <v>5182341.3600000003</v>
      </c>
    </row>
    <row r="58" spans="1:6" x14ac:dyDescent="0.25">
      <c r="A58" s="60" t="s">
        <v>170</v>
      </c>
      <c r="B58" s="60" t="s">
        <v>175</v>
      </c>
      <c r="C58" s="60">
        <v>21</v>
      </c>
      <c r="D58" s="60">
        <v>6.3</v>
      </c>
      <c r="E58" s="60">
        <v>466213.66</v>
      </c>
      <c r="F58" s="60">
        <v>5182281.3600000003</v>
      </c>
    </row>
    <row r="59" spans="1:6" x14ac:dyDescent="0.25">
      <c r="A59" s="60" t="s">
        <v>170</v>
      </c>
      <c r="B59" s="60" t="s">
        <v>175</v>
      </c>
      <c r="C59" s="60">
        <v>22</v>
      </c>
      <c r="D59" s="60">
        <v>6.2</v>
      </c>
      <c r="E59" s="60">
        <v>466153.66</v>
      </c>
      <c r="F59" s="60">
        <v>5182231.3600000003</v>
      </c>
    </row>
    <row r="60" spans="1:6" x14ac:dyDescent="0.25">
      <c r="A60" s="60" t="s">
        <v>170</v>
      </c>
      <c r="B60" s="60" t="s">
        <v>175</v>
      </c>
      <c r="C60" s="60">
        <v>23</v>
      </c>
      <c r="D60" s="60">
        <v>0</v>
      </c>
      <c r="E60" s="60">
        <v>466593.66</v>
      </c>
      <c r="F60" s="60">
        <v>5182311.3600000003</v>
      </c>
    </row>
    <row r="61" spans="1:6" x14ac:dyDescent="0.25">
      <c r="A61" s="60" t="s">
        <v>170</v>
      </c>
      <c r="B61" s="60" t="s">
        <v>175</v>
      </c>
      <c r="C61" s="60">
        <v>24</v>
      </c>
      <c r="D61" s="60">
        <v>8.5</v>
      </c>
      <c r="E61" s="60">
        <v>466283.66</v>
      </c>
      <c r="F61" s="60">
        <v>5182051.3600000003</v>
      </c>
    </row>
    <row r="62" spans="1:6" x14ac:dyDescent="0.25">
      <c r="A62" s="60" t="s">
        <v>170</v>
      </c>
      <c r="B62" s="60" t="s">
        <v>175</v>
      </c>
      <c r="C62" s="60">
        <v>25</v>
      </c>
      <c r="D62" s="60">
        <v>3.5</v>
      </c>
      <c r="E62" s="60">
        <v>466413.66</v>
      </c>
      <c r="F62" s="60">
        <v>5182441.3600000003</v>
      </c>
    </row>
    <row r="63" spans="1:6" x14ac:dyDescent="0.25">
      <c r="A63" s="60" t="s">
        <v>170</v>
      </c>
      <c r="B63" s="60" t="s">
        <v>175</v>
      </c>
      <c r="C63" s="60">
        <v>26</v>
      </c>
      <c r="D63" s="60">
        <v>4.4000000000000004</v>
      </c>
      <c r="E63" s="60">
        <v>466493.66</v>
      </c>
      <c r="F63" s="60">
        <v>5182501.3600000003</v>
      </c>
    </row>
    <row r="64" spans="1:6" x14ac:dyDescent="0.25">
      <c r="A64" s="60" t="s">
        <v>170</v>
      </c>
      <c r="B64" s="60" t="s">
        <v>175</v>
      </c>
      <c r="C64" s="60">
        <v>27</v>
      </c>
      <c r="D64" s="60">
        <v>7.6</v>
      </c>
      <c r="E64" s="60">
        <v>466423.66</v>
      </c>
      <c r="F64" s="60">
        <v>5182291.3600000003</v>
      </c>
    </row>
    <row r="65" spans="1:6" x14ac:dyDescent="0.25">
      <c r="A65" s="60" t="s">
        <v>170</v>
      </c>
      <c r="B65" s="60" t="s">
        <v>175</v>
      </c>
      <c r="C65" s="60">
        <v>28</v>
      </c>
      <c r="D65" s="60">
        <v>5.0999999999999996</v>
      </c>
      <c r="E65" s="60">
        <v>466613.66</v>
      </c>
      <c r="F65" s="60">
        <v>5182171.3600000003</v>
      </c>
    </row>
    <row r="66" spans="1:6" x14ac:dyDescent="0.25">
      <c r="A66" s="60" t="s">
        <v>170</v>
      </c>
      <c r="B66" s="60" t="s">
        <v>175</v>
      </c>
      <c r="C66" s="60">
        <v>29</v>
      </c>
      <c r="D66" s="60">
        <v>5.6</v>
      </c>
      <c r="E66" s="60">
        <v>466643.66</v>
      </c>
      <c r="F66" s="60">
        <v>5182271.3600000003</v>
      </c>
    </row>
    <row r="67" spans="1:6" x14ac:dyDescent="0.25">
      <c r="A67" s="60" t="s">
        <v>170</v>
      </c>
      <c r="B67" s="60" t="s">
        <v>175</v>
      </c>
      <c r="C67" s="60">
        <v>30</v>
      </c>
      <c r="D67" s="60">
        <v>6.7</v>
      </c>
      <c r="E67" s="60">
        <v>466333.66</v>
      </c>
      <c r="F67" s="60">
        <v>5182021.3600000003</v>
      </c>
    </row>
    <row r="68" spans="1:6" x14ac:dyDescent="0.25">
      <c r="A68" s="60" t="s">
        <v>170</v>
      </c>
      <c r="B68" s="60" t="s">
        <v>175</v>
      </c>
      <c r="C68" s="60">
        <v>31</v>
      </c>
      <c r="D68" s="60">
        <v>3.1</v>
      </c>
      <c r="E68" s="60">
        <v>466463.66</v>
      </c>
      <c r="F68" s="60">
        <v>5182341.3600000003</v>
      </c>
    </row>
    <row r="69" spans="1:6" x14ac:dyDescent="0.25">
      <c r="A69" s="60" t="s">
        <v>170</v>
      </c>
      <c r="B69" s="60" t="s">
        <v>175</v>
      </c>
      <c r="C69" s="60">
        <v>32</v>
      </c>
      <c r="D69" s="60">
        <v>5.3</v>
      </c>
      <c r="E69" s="60">
        <v>466123.66</v>
      </c>
      <c r="F69" s="60">
        <v>5182111.3600000003</v>
      </c>
    </row>
    <row r="70" spans="1:6" x14ac:dyDescent="0.25">
      <c r="A70" s="60" t="s">
        <v>170</v>
      </c>
      <c r="B70" s="60" t="s">
        <v>175</v>
      </c>
      <c r="C70" s="60">
        <v>33</v>
      </c>
      <c r="D70" s="60">
        <v>10.7</v>
      </c>
      <c r="E70" s="60">
        <v>466333.66</v>
      </c>
      <c r="F70" s="60">
        <v>5182081.3600000003</v>
      </c>
    </row>
    <row r="71" spans="1:6" x14ac:dyDescent="0.25">
      <c r="A71" s="60" t="s">
        <v>170</v>
      </c>
      <c r="B71" s="60" t="s">
        <v>175</v>
      </c>
      <c r="C71" s="60">
        <v>34</v>
      </c>
      <c r="D71" s="60">
        <v>3.5</v>
      </c>
      <c r="E71" s="60">
        <v>466543.66</v>
      </c>
      <c r="F71" s="60">
        <v>5182241.3600000003</v>
      </c>
    </row>
    <row r="72" spans="1:6" x14ac:dyDescent="0.25">
      <c r="A72" s="60" t="s">
        <v>170</v>
      </c>
      <c r="B72" s="60" t="s">
        <v>175</v>
      </c>
      <c r="C72" s="60">
        <v>35</v>
      </c>
      <c r="D72" s="60">
        <v>13.7</v>
      </c>
      <c r="E72" s="60">
        <v>466363.66</v>
      </c>
      <c r="F72" s="60">
        <v>5182331.3600000003</v>
      </c>
    </row>
    <row r="73" spans="1:6" x14ac:dyDescent="0.25">
      <c r="A73" s="60" t="s">
        <v>170</v>
      </c>
      <c r="B73" s="60" t="s">
        <v>175</v>
      </c>
      <c r="C73" s="60">
        <v>36</v>
      </c>
      <c r="D73" s="60">
        <v>4.4000000000000004</v>
      </c>
      <c r="E73" s="60">
        <v>466353.66</v>
      </c>
      <c r="F73" s="60">
        <v>5182391.3600000003</v>
      </c>
    </row>
    <row r="74" spans="1:6" x14ac:dyDescent="0.25">
      <c r="A74" s="60" t="s">
        <v>170</v>
      </c>
      <c r="B74" s="60" t="s">
        <v>174</v>
      </c>
      <c r="C74" s="60">
        <v>1</v>
      </c>
      <c r="D74" s="60">
        <v>32.4</v>
      </c>
      <c r="E74" s="60">
        <v>466413.66</v>
      </c>
      <c r="F74" s="60">
        <v>5182371.3600000003</v>
      </c>
    </row>
    <row r="75" spans="1:6" x14ac:dyDescent="0.25">
      <c r="A75" s="60" t="s">
        <v>170</v>
      </c>
      <c r="B75" s="60" t="s">
        <v>174</v>
      </c>
      <c r="C75" s="60">
        <v>2</v>
      </c>
      <c r="D75" s="60">
        <v>35.846499999999999</v>
      </c>
      <c r="E75" s="60">
        <v>466493.66</v>
      </c>
      <c r="F75" s="60">
        <v>5182421.3600000003</v>
      </c>
    </row>
    <row r="76" spans="1:6" x14ac:dyDescent="0.25">
      <c r="A76" s="60" t="s">
        <v>170</v>
      </c>
      <c r="B76" s="60" t="s">
        <v>174</v>
      </c>
      <c r="C76" s="60">
        <v>3</v>
      </c>
      <c r="D76" s="60">
        <v>13.242599999999999</v>
      </c>
      <c r="E76" s="60">
        <v>466373.66</v>
      </c>
      <c r="F76" s="60">
        <v>5182241.3600000003</v>
      </c>
    </row>
    <row r="77" spans="1:6" x14ac:dyDescent="0.25">
      <c r="A77" s="60" t="s">
        <v>170</v>
      </c>
      <c r="B77" s="60" t="s">
        <v>174</v>
      </c>
      <c r="C77" s="60">
        <v>4</v>
      </c>
      <c r="D77" s="60">
        <v>22.115200000000002</v>
      </c>
      <c r="E77" s="60">
        <v>466233.66</v>
      </c>
      <c r="F77" s="60">
        <v>5182211.3600000003</v>
      </c>
    </row>
    <row r="78" spans="1:6" x14ac:dyDescent="0.25">
      <c r="A78" s="60" t="s">
        <v>170</v>
      </c>
      <c r="B78" s="60" t="s">
        <v>174</v>
      </c>
      <c r="C78" s="60">
        <v>5</v>
      </c>
      <c r="D78" s="60">
        <v>13.322100000000001</v>
      </c>
      <c r="E78" s="60">
        <v>466273.66</v>
      </c>
      <c r="F78" s="60">
        <v>5182151.3600000003</v>
      </c>
    </row>
    <row r="79" spans="1:6" x14ac:dyDescent="0.25">
      <c r="A79" s="60" t="s">
        <v>170</v>
      </c>
      <c r="B79" s="60" t="s">
        <v>174</v>
      </c>
      <c r="C79" s="60">
        <v>6</v>
      </c>
      <c r="D79" s="60">
        <v>17.569900000000001</v>
      </c>
      <c r="E79" s="60">
        <v>466363.66</v>
      </c>
      <c r="F79" s="60">
        <v>5182131.3600000003</v>
      </c>
    </row>
    <row r="80" spans="1:6" x14ac:dyDescent="0.25">
      <c r="A80" s="60" t="s">
        <v>170</v>
      </c>
      <c r="B80" s="60" t="s">
        <v>174</v>
      </c>
      <c r="C80" s="60">
        <v>7</v>
      </c>
      <c r="D80" s="60">
        <v>17.6892</v>
      </c>
      <c r="E80" s="60">
        <v>466393.66</v>
      </c>
      <c r="F80" s="60">
        <v>5182061.3600000003</v>
      </c>
    </row>
    <row r="81" spans="1:6" x14ac:dyDescent="0.25">
      <c r="A81" s="60" t="s">
        <v>170</v>
      </c>
      <c r="B81" s="60" t="s">
        <v>174</v>
      </c>
      <c r="C81" s="60">
        <v>8</v>
      </c>
      <c r="D81" s="60">
        <v>7.1006</v>
      </c>
      <c r="E81" s="60">
        <v>466423.66</v>
      </c>
      <c r="F81" s="60">
        <v>5182161.3600000003</v>
      </c>
    </row>
    <row r="82" spans="1:6" x14ac:dyDescent="0.25">
      <c r="A82" s="60" t="s">
        <v>170</v>
      </c>
      <c r="B82" s="60" t="s">
        <v>174</v>
      </c>
      <c r="C82" s="60">
        <v>9</v>
      </c>
      <c r="D82" s="60">
        <v>18.5837</v>
      </c>
      <c r="E82" s="60">
        <v>466463.66</v>
      </c>
      <c r="F82" s="60">
        <v>5182181.3600000003</v>
      </c>
    </row>
    <row r="83" spans="1:6" x14ac:dyDescent="0.25">
      <c r="A83" s="60" t="s">
        <v>170</v>
      </c>
      <c r="B83" s="60" t="s">
        <v>174</v>
      </c>
      <c r="C83" s="60">
        <v>10</v>
      </c>
      <c r="D83" s="60">
        <v>21.2624</v>
      </c>
      <c r="E83" s="60">
        <v>466493.66</v>
      </c>
      <c r="F83" s="60">
        <v>5182251.3600000003</v>
      </c>
    </row>
    <row r="84" spans="1:6" x14ac:dyDescent="0.25">
      <c r="A84" s="60" t="s">
        <v>170</v>
      </c>
      <c r="B84" s="60" t="s">
        <v>174</v>
      </c>
      <c r="C84" s="60">
        <v>11</v>
      </c>
      <c r="D84" s="60">
        <v>17.206700000000001</v>
      </c>
      <c r="E84" s="60">
        <v>466493.66</v>
      </c>
      <c r="F84" s="60">
        <v>5182281.3600000003</v>
      </c>
    </row>
    <row r="85" spans="1:6" x14ac:dyDescent="0.25">
      <c r="A85" s="60" t="s">
        <v>170</v>
      </c>
      <c r="B85" s="60" t="s">
        <v>174</v>
      </c>
      <c r="C85" s="60">
        <v>12</v>
      </c>
      <c r="D85" s="60">
        <v>16.7301</v>
      </c>
      <c r="E85" s="60">
        <v>466553.66</v>
      </c>
      <c r="F85" s="60">
        <v>5182171.3600000003</v>
      </c>
    </row>
    <row r="86" spans="1:6" x14ac:dyDescent="0.25">
      <c r="A86" s="60" t="s">
        <v>170</v>
      </c>
      <c r="B86" s="60" t="s">
        <v>174</v>
      </c>
      <c r="C86" s="60">
        <v>13</v>
      </c>
      <c r="D86" s="60">
        <v>15.5905</v>
      </c>
      <c r="E86" s="60">
        <v>466323.66</v>
      </c>
      <c r="F86" s="60">
        <v>5182201.3600000003</v>
      </c>
    </row>
    <row r="87" spans="1:6" x14ac:dyDescent="0.25">
      <c r="A87" s="60" t="s">
        <v>170</v>
      </c>
      <c r="B87" s="60" t="s">
        <v>174</v>
      </c>
      <c r="C87" s="60">
        <v>14</v>
      </c>
      <c r="D87" s="60">
        <v>19.9346</v>
      </c>
      <c r="E87" s="60">
        <v>466603.66</v>
      </c>
      <c r="F87" s="60">
        <v>5182231.3600000003</v>
      </c>
    </row>
    <row r="88" spans="1:6" x14ac:dyDescent="0.25">
      <c r="A88" s="60" t="s">
        <v>170</v>
      </c>
      <c r="B88" s="60" t="s">
        <v>174</v>
      </c>
      <c r="C88" s="60">
        <v>15</v>
      </c>
      <c r="D88" s="60">
        <v>15.923</v>
      </c>
      <c r="E88" s="60">
        <v>466483.66</v>
      </c>
      <c r="F88" s="60">
        <v>5182081.3600000003</v>
      </c>
    </row>
    <row r="89" spans="1:6" x14ac:dyDescent="0.25">
      <c r="A89" s="60" t="s">
        <v>170</v>
      </c>
      <c r="B89" s="60" t="s">
        <v>174</v>
      </c>
      <c r="C89" s="60">
        <v>16</v>
      </c>
      <c r="D89" s="60">
        <v>18.743400000000001</v>
      </c>
      <c r="E89" s="60">
        <v>466153.66</v>
      </c>
      <c r="F89" s="60">
        <v>5182151.3600000003</v>
      </c>
    </row>
    <row r="90" spans="1:6" x14ac:dyDescent="0.25">
      <c r="A90" s="60" t="s">
        <v>170</v>
      </c>
      <c r="B90" s="60" t="s">
        <v>174</v>
      </c>
      <c r="C90" s="60">
        <v>17</v>
      </c>
      <c r="D90" s="60">
        <v>0</v>
      </c>
      <c r="E90" s="60">
        <v>466193.66</v>
      </c>
      <c r="F90" s="60">
        <v>5182091.3600000003</v>
      </c>
    </row>
    <row r="91" spans="1:6" x14ac:dyDescent="0.25">
      <c r="A91" s="60" t="s">
        <v>170</v>
      </c>
      <c r="B91" s="60" t="s">
        <v>174</v>
      </c>
      <c r="C91" s="60">
        <v>18</v>
      </c>
      <c r="D91" s="60">
        <v>21.272200000000002</v>
      </c>
      <c r="E91" s="60">
        <v>466533.66</v>
      </c>
      <c r="F91" s="60">
        <v>5182351.3600000003</v>
      </c>
    </row>
    <row r="92" spans="1:6" x14ac:dyDescent="0.25">
      <c r="A92" s="60" t="s">
        <v>170</v>
      </c>
      <c r="B92" s="60" t="s">
        <v>174</v>
      </c>
      <c r="C92" s="60">
        <v>19</v>
      </c>
      <c r="D92" s="60">
        <v>26.330200000000001</v>
      </c>
      <c r="E92" s="60">
        <v>466303.66</v>
      </c>
      <c r="F92" s="60">
        <v>5182261.3600000003</v>
      </c>
    </row>
    <row r="93" spans="1:6" x14ac:dyDescent="0.25">
      <c r="A93" s="60" t="s">
        <v>170</v>
      </c>
      <c r="B93" s="60" t="s">
        <v>174</v>
      </c>
      <c r="C93" s="60">
        <v>20</v>
      </c>
      <c r="D93" s="60">
        <v>19.0886</v>
      </c>
      <c r="E93" s="60">
        <v>466313.66</v>
      </c>
      <c r="F93" s="60">
        <v>5182341.3600000003</v>
      </c>
    </row>
    <row r="94" spans="1:6" x14ac:dyDescent="0.25">
      <c r="A94" s="60" t="s">
        <v>170</v>
      </c>
      <c r="B94" s="60" t="s">
        <v>174</v>
      </c>
      <c r="C94" s="60">
        <v>21</v>
      </c>
      <c r="D94" s="60">
        <v>19.881699999999999</v>
      </c>
      <c r="E94" s="60">
        <v>466213.66</v>
      </c>
      <c r="F94" s="60">
        <v>5182281.3600000003</v>
      </c>
    </row>
    <row r="95" spans="1:6" x14ac:dyDescent="0.25">
      <c r="A95" s="60" t="s">
        <v>170</v>
      </c>
      <c r="B95" s="60" t="s">
        <v>174</v>
      </c>
      <c r="C95" s="60">
        <v>22</v>
      </c>
      <c r="D95" s="60">
        <v>14.2622</v>
      </c>
      <c r="E95" s="60">
        <v>466153.66</v>
      </c>
      <c r="F95" s="60">
        <v>5182231.3600000003</v>
      </c>
    </row>
    <row r="96" spans="1:6" x14ac:dyDescent="0.25">
      <c r="A96" s="60" t="s">
        <v>170</v>
      </c>
      <c r="B96" s="60" t="s">
        <v>174</v>
      </c>
      <c r="C96" s="60">
        <v>23</v>
      </c>
      <c r="D96" s="60">
        <v>0</v>
      </c>
      <c r="E96" s="60">
        <v>466593.66</v>
      </c>
      <c r="F96" s="60">
        <v>5182311.3600000003</v>
      </c>
    </row>
    <row r="97" spans="1:6" x14ac:dyDescent="0.25">
      <c r="A97" s="60" t="s">
        <v>170</v>
      </c>
      <c r="B97" s="60" t="s">
        <v>174</v>
      </c>
      <c r="C97" s="60">
        <v>24</v>
      </c>
      <c r="D97" s="60">
        <v>19.046600000000002</v>
      </c>
      <c r="E97" s="60">
        <v>466283.66</v>
      </c>
      <c r="F97" s="60">
        <v>5182051.3600000003</v>
      </c>
    </row>
    <row r="98" spans="1:6" x14ac:dyDescent="0.25">
      <c r="A98" s="60" t="s">
        <v>170</v>
      </c>
      <c r="B98" s="60" t="s">
        <v>174</v>
      </c>
      <c r="C98" s="60">
        <v>25</v>
      </c>
      <c r="D98" s="60">
        <v>18.329899999999999</v>
      </c>
      <c r="E98" s="60">
        <v>466413.66</v>
      </c>
      <c r="F98" s="60">
        <v>5182441.3600000003</v>
      </c>
    </row>
    <row r="99" spans="1:6" x14ac:dyDescent="0.25">
      <c r="A99" s="60" t="s">
        <v>170</v>
      </c>
      <c r="B99" s="60" t="s">
        <v>174</v>
      </c>
      <c r="C99" s="60">
        <v>26</v>
      </c>
      <c r="D99" s="60">
        <v>17.147200000000002</v>
      </c>
      <c r="E99" s="60">
        <v>466493.66</v>
      </c>
      <c r="F99" s="60">
        <v>5182501.3600000003</v>
      </c>
    </row>
    <row r="100" spans="1:6" x14ac:dyDescent="0.25">
      <c r="A100" s="60" t="s">
        <v>170</v>
      </c>
      <c r="B100" s="60" t="s">
        <v>174</v>
      </c>
      <c r="C100" s="60">
        <v>27</v>
      </c>
      <c r="D100" s="60">
        <v>20.235099999999999</v>
      </c>
      <c r="E100" s="60">
        <v>466423.66</v>
      </c>
      <c r="F100" s="60">
        <v>5182291.3600000003</v>
      </c>
    </row>
    <row r="101" spans="1:6" x14ac:dyDescent="0.25">
      <c r="A101" s="60" t="s">
        <v>170</v>
      </c>
      <c r="B101" s="60" t="s">
        <v>174</v>
      </c>
      <c r="C101" s="60">
        <v>28</v>
      </c>
      <c r="D101" s="60">
        <v>14.0861</v>
      </c>
      <c r="E101" s="60">
        <v>466613.66</v>
      </c>
      <c r="F101" s="60">
        <v>5182171.3600000003</v>
      </c>
    </row>
    <row r="102" spans="1:6" x14ac:dyDescent="0.25">
      <c r="A102" s="60" t="s">
        <v>170</v>
      </c>
      <c r="B102" s="60" t="s">
        <v>174</v>
      </c>
      <c r="C102" s="60">
        <v>29</v>
      </c>
      <c r="D102" s="60">
        <v>12.107100000000001</v>
      </c>
      <c r="E102" s="60">
        <v>466643.66</v>
      </c>
      <c r="F102" s="60">
        <v>5182271.3600000003</v>
      </c>
    </row>
    <row r="103" spans="1:6" x14ac:dyDescent="0.25">
      <c r="A103" s="60" t="s">
        <v>170</v>
      </c>
      <c r="B103" s="60" t="s">
        <v>174</v>
      </c>
      <c r="C103" s="60">
        <v>30</v>
      </c>
      <c r="D103" s="60">
        <v>19.511600000000001</v>
      </c>
      <c r="E103" s="60">
        <v>466333.66</v>
      </c>
      <c r="F103" s="60">
        <v>5182021.3600000003</v>
      </c>
    </row>
    <row r="104" spans="1:6" x14ac:dyDescent="0.25">
      <c r="A104" s="60" t="s">
        <v>170</v>
      </c>
      <c r="B104" s="60" t="s">
        <v>174</v>
      </c>
      <c r="C104" s="60">
        <v>31</v>
      </c>
      <c r="D104" s="60">
        <v>16.6568</v>
      </c>
      <c r="E104" s="60">
        <v>466463.66</v>
      </c>
      <c r="F104" s="60">
        <v>5182341.3600000003</v>
      </c>
    </row>
    <row r="105" spans="1:6" x14ac:dyDescent="0.25">
      <c r="A105" s="60" t="s">
        <v>170</v>
      </c>
      <c r="B105" s="60" t="s">
        <v>174</v>
      </c>
      <c r="C105" s="60">
        <v>32</v>
      </c>
      <c r="D105" s="60">
        <v>19.445399999999999</v>
      </c>
      <c r="E105" s="60">
        <v>466123.66</v>
      </c>
      <c r="F105" s="60">
        <v>5182111.3600000003</v>
      </c>
    </row>
    <row r="106" spans="1:6" x14ac:dyDescent="0.25">
      <c r="A106" s="60" t="s">
        <v>170</v>
      </c>
      <c r="B106" s="60" t="s">
        <v>174</v>
      </c>
      <c r="C106" s="60">
        <v>33</v>
      </c>
      <c r="D106" s="60">
        <v>24.909600000000001</v>
      </c>
      <c r="E106" s="60">
        <v>466333.66</v>
      </c>
      <c r="F106" s="60">
        <v>5182081.3600000003</v>
      </c>
    </row>
    <row r="107" spans="1:6" x14ac:dyDescent="0.25">
      <c r="A107" s="60" t="s">
        <v>170</v>
      </c>
      <c r="B107" s="60" t="s">
        <v>174</v>
      </c>
      <c r="C107" s="60">
        <v>34</v>
      </c>
      <c r="D107" s="60">
        <v>21.332100000000001</v>
      </c>
      <c r="E107" s="60">
        <v>466543.66</v>
      </c>
      <c r="F107" s="60">
        <v>5182241.3600000003</v>
      </c>
    </row>
    <row r="108" spans="1:6" x14ac:dyDescent="0.25">
      <c r="A108" s="60" t="s">
        <v>170</v>
      </c>
      <c r="B108" s="60" t="s">
        <v>174</v>
      </c>
      <c r="C108" s="60">
        <v>35</v>
      </c>
      <c r="D108" s="60">
        <v>24.7911</v>
      </c>
      <c r="E108" s="60">
        <v>466363.66</v>
      </c>
      <c r="F108" s="60">
        <v>5182331.3600000003</v>
      </c>
    </row>
    <row r="109" spans="1:6" x14ac:dyDescent="0.25">
      <c r="A109" s="60" t="s">
        <v>170</v>
      </c>
      <c r="B109" s="60" t="s">
        <v>174</v>
      </c>
      <c r="C109" s="60">
        <v>36</v>
      </c>
      <c r="D109" s="60">
        <v>19.415400000000002</v>
      </c>
      <c r="E109" s="60">
        <v>466353.66</v>
      </c>
      <c r="F109" s="60">
        <v>5182391.3600000003</v>
      </c>
    </row>
    <row r="110" spans="1:6" x14ac:dyDescent="0.25">
      <c r="A110" s="60" t="s">
        <v>176</v>
      </c>
      <c r="B110" s="60" t="s">
        <v>171</v>
      </c>
      <c r="C110" s="60">
        <v>1</v>
      </c>
      <c r="D110" s="60">
        <v>35.808900000000001</v>
      </c>
      <c r="E110" s="60">
        <v>517227.65</v>
      </c>
      <c r="F110" s="60">
        <v>5169180.78</v>
      </c>
    </row>
    <row r="111" spans="1:6" x14ac:dyDescent="0.25">
      <c r="A111" s="60" t="s">
        <v>176</v>
      </c>
      <c r="B111" s="60" t="s">
        <v>171</v>
      </c>
      <c r="C111" s="60">
        <v>2</v>
      </c>
      <c r="D111" s="60">
        <v>48.008800000000001</v>
      </c>
      <c r="E111" s="60">
        <v>517437.65</v>
      </c>
      <c r="F111" s="60">
        <v>5169220.78</v>
      </c>
    </row>
    <row r="112" spans="1:6" x14ac:dyDescent="0.25">
      <c r="A112" s="60" t="s">
        <v>176</v>
      </c>
      <c r="B112" s="60" t="s">
        <v>171</v>
      </c>
      <c r="C112" s="60">
        <v>3</v>
      </c>
      <c r="D112" s="60">
        <v>40.240699999999997</v>
      </c>
      <c r="E112" s="60">
        <v>517327.65</v>
      </c>
      <c r="F112" s="60">
        <v>5169270.78</v>
      </c>
    </row>
    <row r="113" spans="1:6" x14ac:dyDescent="0.25">
      <c r="A113" s="60" t="s">
        <v>176</v>
      </c>
      <c r="B113" s="60" t="s">
        <v>171</v>
      </c>
      <c r="C113" s="60">
        <v>4</v>
      </c>
      <c r="D113" s="60">
        <v>29.3383</v>
      </c>
      <c r="E113" s="60">
        <v>516947.65</v>
      </c>
      <c r="F113" s="60">
        <v>5169210.78</v>
      </c>
    </row>
    <row r="114" spans="1:6" x14ac:dyDescent="0.25">
      <c r="A114" s="60" t="s">
        <v>176</v>
      </c>
      <c r="B114" s="60" t="s">
        <v>171</v>
      </c>
      <c r="C114" s="60">
        <v>5</v>
      </c>
      <c r="D114" s="60">
        <v>41.069099999999999</v>
      </c>
      <c r="E114" s="60">
        <v>517147.65</v>
      </c>
      <c r="F114" s="60">
        <v>5169230.78</v>
      </c>
    </row>
    <row r="115" spans="1:6" x14ac:dyDescent="0.25">
      <c r="A115" s="60" t="s">
        <v>176</v>
      </c>
      <c r="B115" s="60" t="s">
        <v>171</v>
      </c>
      <c r="C115" s="60">
        <v>6</v>
      </c>
      <c r="D115" s="60">
        <v>31.454799999999999</v>
      </c>
      <c r="E115" s="60">
        <v>517057.65</v>
      </c>
      <c r="F115" s="60">
        <v>5169320.78</v>
      </c>
    </row>
    <row r="116" spans="1:6" x14ac:dyDescent="0.25">
      <c r="A116" s="60" t="s">
        <v>176</v>
      </c>
      <c r="B116" s="60" t="s">
        <v>171</v>
      </c>
      <c r="C116" s="60">
        <v>7</v>
      </c>
      <c r="D116" s="60">
        <v>51.566200000000002</v>
      </c>
      <c r="E116" s="60">
        <v>517097.65</v>
      </c>
      <c r="F116" s="60">
        <v>5169400.78</v>
      </c>
    </row>
    <row r="117" spans="1:6" x14ac:dyDescent="0.25">
      <c r="A117" s="60" t="s">
        <v>176</v>
      </c>
      <c r="B117" s="60" t="s">
        <v>171</v>
      </c>
      <c r="C117" s="60">
        <v>8</v>
      </c>
      <c r="D117" s="60">
        <v>32.517600000000002</v>
      </c>
      <c r="E117" s="60">
        <v>517087.65</v>
      </c>
      <c r="F117" s="60">
        <v>5169460.78</v>
      </c>
    </row>
    <row r="118" spans="1:6" x14ac:dyDescent="0.25">
      <c r="A118" s="60" t="s">
        <v>176</v>
      </c>
      <c r="B118" s="60" t="s">
        <v>171</v>
      </c>
      <c r="C118" s="60">
        <v>9</v>
      </c>
      <c r="D118" s="60">
        <v>48.796399999999998</v>
      </c>
      <c r="E118" s="60">
        <v>517257.65</v>
      </c>
      <c r="F118" s="60">
        <v>5169450.78</v>
      </c>
    </row>
    <row r="119" spans="1:6" x14ac:dyDescent="0.25">
      <c r="A119" s="60" t="s">
        <v>176</v>
      </c>
      <c r="B119" s="60" t="s">
        <v>171</v>
      </c>
      <c r="C119" s="60">
        <v>10</v>
      </c>
      <c r="D119" s="60">
        <v>26.0611</v>
      </c>
      <c r="E119" s="60">
        <v>517237.65</v>
      </c>
      <c r="F119" s="60">
        <v>5169520.78</v>
      </c>
    </row>
    <row r="120" spans="1:6" x14ac:dyDescent="0.25">
      <c r="A120" s="60" t="s">
        <v>176</v>
      </c>
      <c r="B120" s="60" t="s">
        <v>171</v>
      </c>
      <c r="C120" s="60">
        <v>11</v>
      </c>
      <c r="D120" s="60">
        <v>52.778599999999997</v>
      </c>
      <c r="E120" s="60">
        <v>517217.65</v>
      </c>
      <c r="F120" s="60">
        <v>5169370.78</v>
      </c>
    </row>
    <row r="121" spans="1:6" x14ac:dyDescent="0.25">
      <c r="A121" s="60" t="s">
        <v>176</v>
      </c>
      <c r="B121" s="60" t="s">
        <v>171</v>
      </c>
      <c r="C121" s="60">
        <v>12</v>
      </c>
      <c r="D121" s="60">
        <v>43.019500000000001</v>
      </c>
      <c r="E121" s="60">
        <v>517127.65</v>
      </c>
      <c r="F121" s="60">
        <v>5169250.78</v>
      </c>
    </row>
    <row r="122" spans="1:6" x14ac:dyDescent="0.25">
      <c r="A122" s="60" t="s">
        <v>176</v>
      </c>
      <c r="B122" s="60" t="s">
        <v>171</v>
      </c>
      <c r="C122" s="60">
        <v>13</v>
      </c>
      <c r="D122" s="60">
        <v>34.019500000000001</v>
      </c>
      <c r="E122" s="60">
        <v>517457.65</v>
      </c>
      <c r="F122" s="60">
        <v>5169080.78</v>
      </c>
    </row>
    <row r="123" spans="1:6" x14ac:dyDescent="0.25">
      <c r="A123" s="60" t="s">
        <v>176</v>
      </c>
      <c r="B123" s="60" t="s">
        <v>171</v>
      </c>
      <c r="C123" s="60">
        <v>14</v>
      </c>
      <c r="D123" s="60">
        <v>26.783899999999999</v>
      </c>
      <c r="E123" s="60">
        <v>517037.65</v>
      </c>
      <c r="F123" s="60">
        <v>5169220.78</v>
      </c>
    </row>
    <row r="124" spans="1:6" x14ac:dyDescent="0.25">
      <c r="A124" s="60" t="s">
        <v>176</v>
      </c>
      <c r="B124" s="60" t="s">
        <v>171</v>
      </c>
      <c r="C124" s="60">
        <v>15</v>
      </c>
      <c r="D124" s="60">
        <v>31.480399999999999</v>
      </c>
      <c r="E124" s="60">
        <v>516887.65</v>
      </c>
      <c r="F124" s="60">
        <v>5169320.78</v>
      </c>
    </row>
    <row r="125" spans="1:6" x14ac:dyDescent="0.25">
      <c r="A125" s="60" t="s">
        <v>176</v>
      </c>
      <c r="B125" s="60" t="s">
        <v>171</v>
      </c>
      <c r="C125" s="60">
        <v>16</v>
      </c>
      <c r="D125" s="60">
        <v>21.636199999999999</v>
      </c>
      <c r="E125" s="60">
        <v>517327.65</v>
      </c>
      <c r="F125" s="60">
        <v>5169530.78</v>
      </c>
    </row>
    <row r="126" spans="1:6" x14ac:dyDescent="0.25">
      <c r="A126" s="60" t="s">
        <v>176</v>
      </c>
      <c r="B126" s="60" t="s">
        <v>171</v>
      </c>
      <c r="C126" s="60">
        <v>17</v>
      </c>
      <c r="D126" s="60">
        <v>38.939500000000002</v>
      </c>
      <c r="E126" s="60">
        <v>517397.65</v>
      </c>
      <c r="F126" s="60">
        <v>5169360.78</v>
      </c>
    </row>
    <row r="127" spans="1:6" x14ac:dyDescent="0.25">
      <c r="A127" s="60" t="s">
        <v>176</v>
      </c>
      <c r="B127" s="60" t="s">
        <v>171</v>
      </c>
      <c r="C127" s="60">
        <v>18</v>
      </c>
      <c r="D127" s="60">
        <v>0</v>
      </c>
      <c r="E127" s="60">
        <v>516847.65</v>
      </c>
      <c r="F127" s="60">
        <v>5169190.78</v>
      </c>
    </row>
    <row r="128" spans="1:6" x14ac:dyDescent="0.25">
      <c r="A128" s="60" t="s">
        <v>176</v>
      </c>
      <c r="B128" s="60" t="s">
        <v>171</v>
      </c>
      <c r="C128" s="60">
        <v>19</v>
      </c>
      <c r="D128" s="60">
        <v>26.643799999999999</v>
      </c>
      <c r="E128" s="60">
        <v>517147.65</v>
      </c>
      <c r="F128" s="60">
        <v>5169560.78</v>
      </c>
    </row>
    <row r="129" spans="1:6" x14ac:dyDescent="0.25">
      <c r="A129" s="60" t="s">
        <v>176</v>
      </c>
      <c r="B129" s="60" t="s">
        <v>171</v>
      </c>
      <c r="C129" s="60">
        <v>20</v>
      </c>
      <c r="D129" s="60">
        <v>32.430300000000003</v>
      </c>
      <c r="E129" s="60">
        <v>517347.65</v>
      </c>
      <c r="F129" s="60">
        <v>5169170.78</v>
      </c>
    </row>
    <row r="130" spans="1:6" x14ac:dyDescent="0.25">
      <c r="A130" s="60" t="s">
        <v>176</v>
      </c>
      <c r="B130" s="60" t="s">
        <v>171</v>
      </c>
      <c r="C130" s="60">
        <v>21</v>
      </c>
      <c r="D130" s="60">
        <v>38.531700000000001</v>
      </c>
      <c r="E130" s="60">
        <v>516957.65</v>
      </c>
      <c r="F130" s="60">
        <v>5169460.78</v>
      </c>
    </row>
    <row r="131" spans="1:6" x14ac:dyDescent="0.25">
      <c r="A131" s="60" t="s">
        <v>176</v>
      </c>
      <c r="B131" s="60" t="s">
        <v>171</v>
      </c>
      <c r="C131" s="60">
        <v>22</v>
      </c>
      <c r="D131" s="60">
        <v>32.148099999999999</v>
      </c>
      <c r="E131" s="60">
        <v>517237.65</v>
      </c>
      <c r="F131" s="60">
        <v>5169280.78</v>
      </c>
    </row>
    <row r="132" spans="1:6" x14ac:dyDescent="0.25">
      <c r="A132" s="60" t="s">
        <v>176</v>
      </c>
      <c r="B132" s="60" t="s">
        <v>171</v>
      </c>
      <c r="C132" s="60">
        <v>23</v>
      </c>
      <c r="D132" s="60">
        <v>32.960500000000003</v>
      </c>
      <c r="E132" s="60">
        <v>517367.65</v>
      </c>
      <c r="F132" s="60">
        <v>5169070.78</v>
      </c>
    </row>
    <row r="133" spans="1:6" x14ac:dyDescent="0.25">
      <c r="A133" s="60" t="s">
        <v>176</v>
      </c>
      <c r="B133" s="60" t="s">
        <v>171</v>
      </c>
      <c r="C133" s="60">
        <v>24</v>
      </c>
      <c r="D133" s="60">
        <v>43.013399999999997</v>
      </c>
      <c r="E133" s="60">
        <v>516877.65</v>
      </c>
      <c r="F133" s="60">
        <v>5169420.78</v>
      </c>
    </row>
    <row r="134" spans="1:6" x14ac:dyDescent="0.25">
      <c r="A134" s="60" t="s">
        <v>176</v>
      </c>
      <c r="B134" s="60" t="s">
        <v>171</v>
      </c>
      <c r="C134" s="60">
        <v>25</v>
      </c>
      <c r="D134" s="60">
        <v>34.8459</v>
      </c>
      <c r="E134" s="60">
        <v>516977.65</v>
      </c>
      <c r="F134" s="60">
        <v>5169290.78</v>
      </c>
    </row>
    <row r="135" spans="1:6" x14ac:dyDescent="0.25">
      <c r="A135" s="60" t="s">
        <v>176</v>
      </c>
      <c r="B135" s="60" t="s">
        <v>171</v>
      </c>
      <c r="C135" s="60">
        <v>26</v>
      </c>
      <c r="D135" s="60">
        <v>51.701500000000003</v>
      </c>
      <c r="E135" s="60">
        <v>517317.65</v>
      </c>
      <c r="F135" s="60">
        <v>5169390.78</v>
      </c>
    </row>
    <row r="136" spans="1:6" x14ac:dyDescent="0.25">
      <c r="A136" s="60" t="s">
        <v>176</v>
      </c>
      <c r="B136" s="60" t="s">
        <v>171</v>
      </c>
      <c r="C136" s="60">
        <v>27</v>
      </c>
      <c r="D136" s="60">
        <v>28.8186</v>
      </c>
      <c r="E136" s="60">
        <v>517177.65</v>
      </c>
      <c r="F136" s="60">
        <v>5169460.78</v>
      </c>
    </row>
    <row r="137" spans="1:6" x14ac:dyDescent="0.25">
      <c r="A137" s="60" t="s">
        <v>176</v>
      </c>
      <c r="B137" s="60" t="s">
        <v>171</v>
      </c>
      <c r="C137" s="60">
        <v>28</v>
      </c>
      <c r="D137" s="60">
        <v>51.4499</v>
      </c>
      <c r="E137" s="60">
        <v>517457.65</v>
      </c>
      <c r="F137" s="60">
        <v>5169310.78</v>
      </c>
    </row>
    <row r="138" spans="1:6" x14ac:dyDescent="0.25">
      <c r="A138" s="60" t="s">
        <v>176</v>
      </c>
      <c r="B138" s="60" t="s">
        <v>171</v>
      </c>
      <c r="C138" s="60">
        <v>29</v>
      </c>
      <c r="D138" s="60">
        <v>0</v>
      </c>
      <c r="E138" s="60">
        <v>517287.65</v>
      </c>
      <c r="F138" s="60">
        <v>5169080.78</v>
      </c>
    </row>
    <row r="139" spans="1:6" x14ac:dyDescent="0.25">
      <c r="A139" s="60" t="s">
        <v>176</v>
      </c>
      <c r="B139" s="60" t="s">
        <v>171</v>
      </c>
      <c r="C139" s="60">
        <v>30</v>
      </c>
      <c r="D139" s="60">
        <v>41.438299999999998</v>
      </c>
      <c r="E139" s="60">
        <v>516997.65</v>
      </c>
      <c r="F139" s="60">
        <v>5169380.78</v>
      </c>
    </row>
    <row r="140" spans="1:6" x14ac:dyDescent="0.25">
      <c r="A140" s="60" t="s">
        <v>176</v>
      </c>
      <c r="B140" s="60" t="s">
        <v>171</v>
      </c>
      <c r="C140" s="60">
        <v>31</v>
      </c>
      <c r="D140" s="60">
        <v>29.916699999999999</v>
      </c>
      <c r="E140" s="60">
        <v>517287.65</v>
      </c>
      <c r="F140" s="60">
        <v>5169590.78</v>
      </c>
    </row>
    <row r="141" spans="1:6" x14ac:dyDescent="0.25">
      <c r="A141" s="60" t="s">
        <v>176</v>
      </c>
      <c r="B141" s="60" t="s">
        <v>171</v>
      </c>
      <c r="C141" s="60">
        <v>32</v>
      </c>
      <c r="D141" s="60">
        <v>41.851399999999998</v>
      </c>
      <c r="E141" s="60">
        <v>517147.65</v>
      </c>
      <c r="F141" s="60">
        <v>5169330.78</v>
      </c>
    </row>
    <row r="142" spans="1:6" x14ac:dyDescent="0.25">
      <c r="A142" s="60" t="s">
        <v>176</v>
      </c>
      <c r="B142" s="60" t="s">
        <v>171</v>
      </c>
      <c r="C142" s="60">
        <v>33</v>
      </c>
      <c r="D142" s="60">
        <v>52.823900000000002</v>
      </c>
      <c r="E142" s="60">
        <v>517387.65</v>
      </c>
      <c r="F142" s="60">
        <v>5169440.78</v>
      </c>
    </row>
    <row r="143" spans="1:6" x14ac:dyDescent="0.25">
      <c r="A143" s="60" t="s">
        <v>176</v>
      </c>
      <c r="B143" s="60" t="s">
        <v>171</v>
      </c>
      <c r="C143" s="60">
        <v>34</v>
      </c>
      <c r="D143" s="60">
        <v>41.371299999999998</v>
      </c>
      <c r="E143" s="60">
        <v>517467.65</v>
      </c>
      <c r="F143" s="60">
        <v>5169160.78</v>
      </c>
    </row>
    <row r="144" spans="1:6" x14ac:dyDescent="0.25">
      <c r="A144" s="60" t="s">
        <v>176</v>
      </c>
      <c r="B144" s="60" t="s">
        <v>171</v>
      </c>
      <c r="C144" s="60">
        <v>35</v>
      </c>
      <c r="D144" s="60">
        <v>31.747399999999999</v>
      </c>
      <c r="E144" s="60">
        <v>517077.65</v>
      </c>
      <c r="F144" s="60">
        <v>5169530.78</v>
      </c>
    </row>
    <row r="145" spans="1:6" x14ac:dyDescent="0.25">
      <c r="A145" s="60" t="s">
        <v>176</v>
      </c>
      <c r="B145" s="60" t="s">
        <v>171</v>
      </c>
      <c r="C145" s="60">
        <v>36</v>
      </c>
      <c r="D145" s="60">
        <v>33.048999999999999</v>
      </c>
      <c r="E145" s="60">
        <v>517317.65</v>
      </c>
      <c r="F145" s="60">
        <v>5169020.78</v>
      </c>
    </row>
    <row r="146" spans="1:6" x14ac:dyDescent="0.25">
      <c r="A146" s="60" t="s">
        <v>176</v>
      </c>
      <c r="B146" s="60" t="s">
        <v>175</v>
      </c>
      <c r="C146" s="60">
        <v>1</v>
      </c>
      <c r="D146" s="60">
        <v>6.6</v>
      </c>
      <c r="E146" s="60">
        <v>517227.65</v>
      </c>
      <c r="F146" s="60">
        <v>5169180.78</v>
      </c>
    </row>
    <row r="147" spans="1:6" x14ac:dyDescent="0.25">
      <c r="A147" s="60" t="s">
        <v>176</v>
      </c>
      <c r="B147" s="60" t="s">
        <v>175</v>
      </c>
      <c r="C147" s="60">
        <v>2</v>
      </c>
      <c r="D147" s="60">
        <v>10.4</v>
      </c>
      <c r="E147" s="60">
        <v>517437.65</v>
      </c>
      <c r="F147" s="60">
        <v>5169220.78</v>
      </c>
    </row>
    <row r="148" spans="1:6" x14ac:dyDescent="0.25">
      <c r="A148" s="60" t="s">
        <v>176</v>
      </c>
      <c r="B148" s="60" t="s">
        <v>175</v>
      </c>
      <c r="C148" s="60">
        <v>3</v>
      </c>
      <c r="D148" s="60">
        <v>6.4</v>
      </c>
      <c r="E148" s="60">
        <v>517327.65</v>
      </c>
      <c r="F148" s="60">
        <v>5169270.78</v>
      </c>
    </row>
    <row r="149" spans="1:6" x14ac:dyDescent="0.25">
      <c r="A149" s="60" t="s">
        <v>176</v>
      </c>
      <c r="B149" s="60" t="s">
        <v>175</v>
      </c>
      <c r="C149" s="60">
        <v>4</v>
      </c>
      <c r="D149" s="60">
        <v>9.6999999999999993</v>
      </c>
      <c r="E149" s="60">
        <v>516947.65</v>
      </c>
      <c r="F149" s="60">
        <v>5169210.78</v>
      </c>
    </row>
    <row r="150" spans="1:6" x14ac:dyDescent="0.25">
      <c r="A150" s="60" t="s">
        <v>176</v>
      </c>
      <c r="B150" s="60" t="s">
        <v>175</v>
      </c>
      <c r="C150" s="60">
        <v>5</v>
      </c>
      <c r="D150" s="60">
        <v>14</v>
      </c>
      <c r="E150" s="60">
        <v>517147.65</v>
      </c>
      <c r="F150" s="60">
        <v>5169230.78</v>
      </c>
    </row>
    <row r="151" spans="1:6" x14ac:dyDescent="0.25">
      <c r="A151" s="60" t="s">
        <v>176</v>
      </c>
      <c r="B151" s="60" t="s">
        <v>175</v>
      </c>
      <c r="C151" s="60">
        <v>6</v>
      </c>
      <c r="D151" s="60">
        <v>11.3</v>
      </c>
      <c r="E151" s="60">
        <v>517057.65</v>
      </c>
      <c r="F151" s="60">
        <v>5169320.78</v>
      </c>
    </row>
    <row r="152" spans="1:6" x14ac:dyDescent="0.25">
      <c r="A152" s="60" t="s">
        <v>176</v>
      </c>
      <c r="B152" s="60" t="s">
        <v>175</v>
      </c>
      <c r="C152" s="60">
        <v>7</v>
      </c>
      <c r="D152" s="60">
        <v>13</v>
      </c>
      <c r="E152" s="60">
        <v>517097.65</v>
      </c>
      <c r="F152" s="60">
        <v>5169400.78</v>
      </c>
    </row>
    <row r="153" spans="1:6" x14ac:dyDescent="0.25">
      <c r="A153" s="60" t="s">
        <v>176</v>
      </c>
      <c r="B153" s="60" t="s">
        <v>175</v>
      </c>
      <c r="C153" s="60">
        <v>8</v>
      </c>
      <c r="D153" s="60">
        <v>6.4</v>
      </c>
      <c r="E153" s="60">
        <v>517087.65</v>
      </c>
      <c r="F153" s="60">
        <v>5169460.78</v>
      </c>
    </row>
    <row r="154" spans="1:6" x14ac:dyDescent="0.25">
      <c r="A154" s="60" t="s">
        <v>176</v>
      </c>
      <c r="B154" s="60" t="s">
        <v>175</v>
      </c>
      <c r="C154" s="60">
        <v>9</v>
      </c>
      <c r="D154" s="60">
        <v>15.2</v>
      </c>
      <c r="E154" s="60">
        <v>517257.65</v>
      </c>
      <c r="F154" s="60">
        <v>5169450.78</v>
      </c>
    </row>
    <row r="155" spans="1:6" x14ac:dyDescent="0.25">
      <c r="A155" s="60" t="s">
        <v>176</v>
      </c>
      <c r="B155" s="60" t="s">
        <v>175</v>
      </c>
      <c r="C155" s="60">
        <v>10</v>
      </c>
      <c r="D155" s="60">
        <v>4.8</v>
      </c>
      <c r="E155" s="60">
        <v>517237.65</v>
      </c>
      <c r="F155" s="60">
        <v>5169520.78</v>
      </c>
    </row>
    <row r="156" spans="1:6" x14ac:dyDescent="0.25">
      <c r="A156" s="60" t="s">
        <v>176</v>
      </c>
      <c r="B156" s="60" t="s">
        <v>175</v>
      </c>
      <c r="C156" s="60">
        <v>11</v>
      </c>
      <c r="D156" s="60">
        <v>18.600000000000001</v>
      </c>
      <c r="E156" s="60">
        <v>517217.65</v>
      </c>
      <c r="F156" s="60">
        <v>5169370.78</v>
      </c>
    </row>
    <row r="157" spans="1:6" x14ac:dyDescent="0.25">
      <c r="A157" s="60" t="s">
        <v>176</v>
      </c>
      <c r="B157" s="60" t="s">
        <v>175</v>
      </c>
      <c r="C157" s="60">
        <v>12</v>
      </c>
      <c r="D157" s="60">
        <v>11.2</v>
      </c>
      <c r="E157" s="60">
        <v>517127.65</v>
      </c>
      <c r="F157" s="60">
        <v>5169250.78</v>
      </c>
    </row>
    <row r="158" spans="1:6" x14ac:dyDescent="0.25">
      <c r="A158" s="60" t="s">
        <v>176</v>
      </c>
      <c r="B158" s="60" t="s">
        <v>175</v>
      </c>
      <c r="C158" s="60">
        <v>13</v>
      </c>
      <c r="D158" s="60">
        <v>5.8</v>
      </c>
      <c r="E158" s="60">
        <v>517457.65</v>
      </c>
      <c r="F158" s="60">
        <v>5169080.78</v>
      </c>
    </row>
    <row r="159" spans="1:6" x14ac:dyDescent="0.25">
      <c r="A159" s="60" t="s">
        <v>176</v>
      </c>
      <c r="B159" s="60" t="s">
        <v>175</v>
      </c>
      <c r="C159" s="60">
        <v>14</v>
      </c>
      <c r="D159" s="60">
        <v>8</v>
      </c>
      <c r="E159" s="60">
        <v>517037.65</v>
      </c>
      <c r="F159" s="60">
        <v>5169220.78</v>
      </c>
    </row>
    <row r="160" spans="1:6" x14ac:dyDescent="0.25">
      <c r="A160" s="60" t="s">
        <v>176</v>
      </c>
      <c r="B160" s="60" t="s">
        <v>175</v>
      </c>
      <c r="C160" s="60">
        <v>15</v>
      </c>
      <c r="D160" s="60">
        <v>6.7</v>
      </c>
      <c r="E160" s="60">
        <v>516887.65</v>
      </c>
      <c r="F160" s="60">
        <v>5169320.78</v>
      </c>
    </row>
    <row r="161" spans="1:6" x14ac:dyDescent="0.25">
      <c r="A161" s="60" t="s">
        <v>176</v>
      </c>
      <c r="B161" s="60" t="s">
        <v>175</v>
      </c>
      <c r="C161" s="60">
        <v>16</v>
      </c>
      <c r="D161" s="60">
        <v>3</v>
      </c>
      <c r="E161" s="60">
        <v>517327.65</v>
      </c>
      <c r="F161" s="60">
        <v>5169530.78</v>
      </c>
    </row>
    <row r="162" spans="1:6" x14ac:dyDescent="0.25">
      <c r="A162" s="60" t="s">
        <v>176</v>
      </c>
      <c r="B162" s="60" t="s">
        <v>175</v>
      </c>
      <c r="C162" s="60">
        <v>17</v>
      </c>
      <c r="D162" s="60">
        <v>11.8</v>
      </c>
      <c r="E162" s="60">
        <v>517397.65</v>
      </c>
      <c r="F162" s="60">
        <v>5169360.78</v>
      </c>
    </row>
    <row r="163" spans="1:6" x14ac:dyDescent="0.25">
      <c r="A163" s="60" t="s">
        <v>176</v>
      </c>
      <c r="B163" s="60" t="s">
        <v>175</v>
      </c>
      <c r="C163" s="60">
        <v>18</v>
      </c>
      <c r="D163" s="60">
        <v>0</v>
      </c>
      <c r="E163" s="60">
        <v>516847.65</v>
      </c>
      <c r="F163" s="60">
        <v>5169190.78</v>
      </c>
    </row>
    <row r="164" spans="1:6" x14ac:dyDescent="0.25">
      <c r="A164" s="60" t="s">
        <v>176</v>
      </c>
      <c r="B164" s="60" t="s">
        <v>175</v>
      </c>
      <c r="C164" s="60">
        <v>19</v>
      </c>
      <c r="D164" s="60">
        <v>3.8</v>
      </c>
      <c r="E164" s="60">
        <v>517147.65</v>
      </c>
      <c r="F164" s="60">
        <v>5169560.78</v>
      </c>
    </row>
    <row r="165" spans="1:6" x14ac:dyDescent="0.25">
      <c r="A165" s="60" t="s">
        <v>176</v>
      </c>
      <c r="B165" s="60" t="s">
        <v>175</v>
      </c>
      <c r="C165" s="60">
        <v>20</v>
      </c>
      <c r="D165" s="60">
        <v>5.6</v>
      </c>
      <c r="E165" s="60">
        <v>517347.65</v>
      </c>
      <c r="F165" s="60">
        <v>5169170.78</v>
      </c>
    </row>
    <row r="166" spans="1:6" x14ac:dyDescent="0.25">
      <c r="A166" s="60" t="s">
        <v>176</v>
      </c>
      <c r="B166" s="60" t="s">
        <v>175</v>
      </c>
      <c r="C166" s="60">
        <v>21</v>
      </c>
      <c r="D166" s="60">
        <v>6.9</v>
      </c>
      <c r="E166" s="60">
        <v>516957.65</v>
      </c>
      <c r="F166" s="60">
        <v>5169460.78</v>
      </c>
    </row>
    <row r="167" spans="1:6" x14ac:dyDescent="0.25">
      <c r="A167" s="60" t="s">
        <v>176</v>
      </c>
      <c r="B167" s="60" t="s">
        <v>175</v>
      </c>
      <c r="C167" s="60">
        <v>22</v>
      </c>
      <c r="D167" s="60">
        <v>9.3000000000000007</v>
      </c>
      <c r="E167" s="60">
        <v>517237.65</v>
      </c>
      <c r="F167" s="60">
        <v>5169280.78</v>
      </c>
    </row>
    <row r="168" spans="1:6" x14ac:dyDescent="0.25">
      <c r="A168" s="60" t="s">
        <v>176</v>
      </c>
      <c r="B168" s="60" t="s">
        <v>175</v>
      </c>
      <c r="C168" s="60">
        <v>23</v>
      </c>
      <c r="D168" s="60">
        <v>7.3</v>
      </c>
      <c r="E168" s="60">
        <v>517367.65</v>
      </c>
      <c r="F168" s="60">
        <v>5169070.78</v>
      </c>
    </row>
    <row r="169" spans="1:6" x14ac:dyDescent="0.25">
      <c r="A169" s="60" t="s">
        <v>176</v>
      </c>
      <c r="B169" s="60" t="s">
        <v>175</v>
      </c>
      <c r="C169" s="60">
        <v>24</v>
      </c>
      <c r="D169" s="60">
        <v>13.2</v>
      </c>
      <c r="E169" s="60">
        <v>516877.65</v>
      </c>
      <c r="F169" s="60">
        <v>5169420.78</v>
      </c>
    </row>
    <row r="170" spans="1:6" x14ac:dyDescent="0.25">
      <c r="A170" s="60" t="s">
        <v>176</v>
      </c>
      <c r="B170" s="60" t="s">
        <v>175</v>
      </c>
      <c r="C170" s="60">
        <v>25</v>
      </c>
      <c r="D170" s="60">
        <v>12.1</v>
      </c>
      <c r="E170" s="60">
        <v>516977.65</v>
      </c>
      <c r="F170" s="60">
        <v>5169290.78</v>
      </c>
    </row>
    <row r="171" spans="1:6" x14ac:dyDescent="0.25">
      <c r="A171" s="60" t="s">
        <v>176</v>
      </c>
      <c r="B171" s="60" t="s">
        <v>175</v>
      </c>
      <c r="C171" s="60">
        <v>26</v>
      </c>
      <c r="D171" s="60">
        <v>21.7</v>
      </c>
      <c r="E171" s="60">
        <v>517317.65</v>
      </c>
      <c r="F171" s="60">
        <v>5169390.78</v>
      </c>
    </row>
    <row r="172" spans="1:6" x14ac:dyDescent="0.25">
      <c r="A172" s="60" t="s">
        <v>176</v>
      </c>
      <c r="B172" s="60" t="s">
        <v>175</v>
      </c>
      <c r="C172" s="60">
        <v>27</v>
      </c>
      <c r="D172" s="60">
        <v>9.8000000000000007</v>
      </c>
      <c r="E172" s="60">
        <v>517177.65</v>
      </c>
      <c r="F172" s="60">
        <v>5169460.78</v>
      </c>
    </row>
    <row r="173" spans="1:6" x14ac:dyDescent="0.25">
      <c r="A173" s="60" t="s">
        <v>176</v>
      </c>
      <c r="B173" s="60" t="s">
        <v>175</v>
      </c>
      <c r="C173" s="60">
        <v>28</v>
      </c>
      <c r="D173" s="60">
        <v>7.1</v>
      </c>
      <c r="E173" s="60">
        <v>517457.65</v>
      </c>
      <c r="F173" s="60">
        <v>5169310.78</v>
      </c>
    </row>
    <row r="174" spans="1:6" x14ac:dyDescent="0.25">
      <c r="A174" s="60" t="s">
        <v>176</v>
      </c>
      <c r="B174" s="60" t="s">
        <v>175</v>
      </c>
      <c r="C174" s="60">
        <v>29</v>
      </c>
      <c r="D174" s="60">
        <v>0</v>
      </c>
      <c r="E174" s="60">
        <v>517287.65</v>
      </c>
      <c r="F174" s="60">
        <v>5169080.78</v>
      </c>
    </row>
    <row r="175" spans="1:6" x14ac:dyDescent="0.25">
      <c r="A175" s="60" t="s">
        <v>176</v>
      </c>
      <c r="B175" s="60" t="s">
        <v>175</v>
      </c>
      <c r="C175" s="60">
        <v>30</v>
      </c>
      <c r="D175" s="60">
        <v>13.5</v>
      </c>
      <c r="E175" s="60">
        <v>516997.65</v>
      </c>
      <c r="F175" s="60">
        <v>5169380.78</v>
      </c>
    </row>
    <row r="176" spans="1:6" x14ac:dyDescent="0.25">
      <c r="A176" s="60" t="s">
        <v>176</v>
      </c>
      <c r="B176" s="60" t="s">
        <v>175</v>
      </c>
      <c r="C176" s="60">
        <v>31</v>
      </c>
      <c r="D176" s="60">
        <v>8.8000000000000007</v>
      </c>
      <c r="E176" s="60">
        <v>517287.65</v>
      </c>
      <c r="F176" s="60">
        <v>5169590.78</v>
      </c>
    </row>
    <row r="177" spans="1:6" x14ac:dyDescent="0.25">
      <c r="A177" s="60" t="s">
        <v>176</v>
      </c>
      <c r="B177" s="60" t="s">
        <v>175</v>
      </c>
      <c r="C177" s="60">
        <v>32</v>
      </c>
      <c r="D177" s="60">
        <v>14.1</v>
      </c>
      <c r="E177" s="60">
        <v>517147.65</v>
      </c>
      <c r="F177" s="60">
        <v>5169330.78</v>
      </c>
    </row>
    <row r="178" spans="1:6" x14ac:dyDescent="0.25">
      <c r="A178" s="60" t="s">
        <v>176</v>
      </c>
      <c r="B178" s="60" t="s">
        <v>175</v>
      </c>
      <c r="C178" s="60">
        <v>33</v>
      </c>
      <c r="D178" s="60">
        <v>16.399999999999999</v>
      </c>
      <c r="E178" s="60">
        <v>517387.65</v>
      </c>
      <c r="F178" s="60">
        <v>5169440.78</v>
      </c>
    </row>
    <row r="179" spans="1:6" x14ac:dyDescent="0.25">
      <c r="A179" s="60" t="s">
        <v>176</v>
      </c>
      <c r="B179" s="60" t="s">
        <v>175</v>
      </c>
      <c r="C179" s="60">
        <v>34</v>
      </c>
      <c r="D179" s="60">
        <v>9.6999999999999993</v>
      </c>
      <c r="E179" s="60">
        <v>517467.65</v>
      </c>
      <c r="F179" s="60">
        <v>5169160.78</v>
      </c>
    </row>
    <row r="180" spans="1:6" x14ac:dyDescent="0.25">
      <c r="A180" s="60" t="s">
        <v>176</v>
      </c>
      <c r="B180" s="60" t="s">
        <v>175</v>
      </c>
      <c r="C180" s="60">
        <v>35</v>
      </c>
      <c r="D180" s="60">
        <v>5.4</v>
      </c>
      <c r="E180" s="60">
        <v>517077.65</v>
      </c>
      <c r="F180" s="60">
        <v>5169530.78</v>
      </c>
    </row>
    <row r="181" spans="1:6" x14ac:dyDescent="0.25">
      <c r="A181" s="60" t="s">
        <v>176</v>
      </c>
      <c r="B181" s="60" t="s">
        <v>175</v>
      </c>
      <c r="C181" s="60">
        <v>36</v>
      </c>
      <c r="D181" s="60">
        <v>5.0999999999999996</v>
      </c>
      <c r="E181" s="60">
        <v>517317.65</v>
      </c>
      <c r="F181" s="60">
        <v>5169020.78</v>
      </c>
    </row>
    <row r="182" spans="1:6" x14ac:dyDescent="0.25">
      <c r="A182" s="60" t="s">
        <v>176</v>
      </c>
      <c r="B182" s="60" t="s">
        <v>174</v>
      </c>
      <c r="C182" s="60">
        <v>1</v>
      </c>
      <c r="D182" s="60">
        <v>29.2089</v>
      </c>
      <c r="E182" s="60">
        <v>517227.65</v>
      </c>
      <c r="F182" s="60">
        <v>5169180.78</v>
      </c>
    </row>
    <row r="183" spans="1:6" x14ac:dyDescent="0.25">
      <c r="A183" s="60" t="s">
        <v>176</v>
      </c>
      <c r="B183" s="60" t="s">
        <v>174</v>
      </c>
      <c r="C183" s="60">
        <v>2</v>
      </c>
      <c r="D183" s="60">
        <v>37.608800000000002</v>
      </c>
      <c r="E183" s="60">
        <v>517437.65</v>
      </c>
      <c r="F183" s="60">
        <v>5169220.78</v>
      </c>
    </row>
    <row r="184" spans="1:6" x14ac:dyDescent="0.25">
      <c r="A184" s="60" t="s">
        <v>176</v>
      </c>
      <c r="B184" s="60" t="s">
        <v>174</v>
      </c>
      <c r="C184" s="60">
        <v>3</v>
      </c>
      <c r="D184" s="60">
        <v>33.840699999999998</v>
      </c>
      <c r="E184" s="60">
        <v>517327.65</v>
      </c>
      <c r="F184" s="60">
        <v>5169270.78</v>
      </c>
    </row>
    <row r="185" spans="1:6" x14ac:dyDescent="0.25">
      <c r="A185" s="60" t="s">
        <v>176</v>
      </c>
      <c r="B185" s="60" t="s">
        <v>174</v>
      </c>
      <c r="C185" s="60">
        <v>4</v>
      </c>
      <c r="D185" s="60">
        <v>19.638300000000001</v>
      </c>
      <c r="E185" s="60">
        <v>516947.65</v>
      </c>
      <c r="F185" s="60">
        <v>5169210.78</v>
      </c>
    </row>
    <row r="186" spans="1:6" x14ac:dyDescent="0.25">
      <c r="A186" s="60" t="s">
        <v>176</v>
      </c>
      <c r="B186" s="60" t="s">
        <v>174</v>
      </c>
      <c r="C186" s="60">
        <v>5</v>
      </c>
      <c r="D186" s="60">
        <v>27.069099999999999</v>
      </c>
      <c r="E186" s="60">
        <v>517147.65</v>
      </c>
      <c r="F186" s="60">
        <v>5169230.78</v>
      </c>
    </row>
    <row r="187" spans="1:6" x14ac:dyDescent="0.25">
      <c r="A187" s="60" t="s">
        <v>176</v>
      </c>
      <c r="B187" s="60" t="s">
        <v>174</v>
      </c>
      <c r="C187" s="60">
        <v>6</v>
      </c>
      <c r="D187" s="60">
        <v>20.154800000000002</v>
      </c>
      <c r="E187" s="60">
        <v>517057.65</v>
      </c>
      <c r="F187" s="60">
        <v>5169320.78</v>
      </c>
    </row>
    <row r="188" spans="1:6" x14ac:dyDescent="0.25">
      <c r="A188" s="60" t="s">
        <v>176</v>
      </c>
      <c r="B188" s="60" t="s">
        <v>174</v>
      </c>
      <c r="C188" s="60">
        <v>7</v>
      </c>
      <c r="D188" s="60">
        <v>38.566200000000002</v>
      </c>
      <c r="E188" s="60">
        <v>517097.65</v>
      </c>
      <c r="F188" s="60">
        <v>5169400.78</v>
      </c>
    </row>
    <row r="189" spans="1:6" x14ac:dyDescent="0.25">
      <c r="A189" s="60" t="s">
        <v>176</v>
      </c>
      <c r="B189" s="60" t="s">
        <v>174</v>
      </c>
      <c r="C189" s="60">
        <v>8</v>
      </c>
      <c r="D189" s="60">
        <v>26.117599999999999</v>
      </c>
      <c r="E189" s="60">
        <v>517087.65</v>
      </c>
      <c r="F189" s="60">
        <v>5169460.78</v>
      </c>
    </row>
    <row r="190" spans="1:6" x14ac:dyDescent="0.25">
      <c r="A190" s="60" t="s">
        <v>176</v>
      </c>
      <c r="B190" s="60" t="s">
        <v>174</v>
      </c>
      <c r="C190" s="60">
        <v>9</v>
      </c>
      <c r="D190" s="60">
        <v>33.596400000000003</v>
      </c>
      <c r="E190" s="60">
        <v>517257.65</v>
      </c>
      <c r="F190" s="60">
        <v>5169450.78</v>
      </c>
    </row>
    <row r="191" spans="1:6" x14ac:dyDescent="0.25">
      <c r="A191" s="60" t="s">
        <v>176</v>
      </c>
      <c r="B191" s="60" t="s">
        <v>174</v>
      </c>
      <c r="C191" s="60">
        <v>10</v>
      </c>
      <c r="D191" s="60">
        <v>21.261099999999999</v>
      </c>
      <c r="E191" s="60">
        <v>517237.65</v>
      </c>
      <c r="F191" s="60">
        <v>5169520.78</v>
      </c>
    </row>
    <row r="192" spans="1:6" x14ac:dyDescent="0.25">
      <c r="A192" s="60" t="s">
        <v>176</v>
      </c>
      <c r="B192" s="60" t="s">
        <v>174</v>
      </c>
      <c r="C192" s="60">
        <v>11</v>
      </c>
      <c r="D192" s="60">
        <v>34.178600000000003</v>
      </c>
      <c r="E192" s="60">
        <v>517217.65</v>
      </c>
      <c r="F192" s="60">
        <v>5169370.78</v>
      </c>
    </row>
    <row r="193" spans="1:6" x14ac:dyDescent="0.25">
      <c r="A193" s="60" t="s">
        <v>176</v>
      </c>
      <c r="B193" s="60" t="s">
        <v>174</v>
      </c>
      <c r="C193" s="60">
        <v>12</v>
      </c>
      <c r="D193" s="60">
        <v>31.819500000000001</v>
      </c>
      <c r="E193" s="60">
        <v>517127.65</v>
      </c>
      <c r="F193" s="60">
        <v>5169250.78</v>
      </c>
    </row>
    <row r="194" spans="1:6" x14ac:dyDescent="0.25">
      <c r="A194" s="60" t="s">
        <v>176</v>
      </c>
      <c r="B194" s="60" t="s">
        <v>174</v>
      </c>
      <c r="C194" s="60">
        <v>13</v>
      </c>
      <c r="D194" s="60">
        <v>28.2195</v>
      </c>
      <c r="E194" s="60">
        <v>517457.65</v>
      </c>
      <c r="F194" s="60">
        <v>5169080.78</v>
      </c>
    </row>
    <row r="195" spans="1:6" x14ac:dyDescent="0.25">
      <c r="A195" s="60" t="s">
        <v>176</v>
      </c>
      <c r="B195" s="60" t="s">
        <v>174</v>
      </c>
      <c r="C195" s="60">
        <v>14</v>
      </c>
      <c r="D195" s="60">
        <v>18.783899999999999</v>
      </c>
      <c r="E195" s="60">
        <v>517037.65</v>
      </c>
      <c r="F195" s="60">
        <v>5169220.78</v>
      </c>
    </row>
    <row r="196" spans="1:6" x14ac:dyDescent="0.25">
      <c r="A196" s="60" t="s">
        <v>176</v>
      </c>
      <c r="B196" s="60" t="s">
        <v>174</v>
      </c>
      <c r="C196" s="60">
        <v>15</v>
      </c>
      <c r="D196" s="60">
        <v>24.7804</v>
      </c>
      <c r="E196" s="60">
        <v>516887.65</v>
      </c>
      <c r="F196" s="60">
        <v>5169320.78</v>
      </c>
    </row>
    <row r="197" spans="1:6" x14ac:dyDescent="0.25">
      <c r="A197" s="60" t="s">
        <v>176</v>
      </c>
      <c r="B197" s="60" t="s">
        <v>174</v>
      </c>
      <c r="C197" s="60">
        <v>16</v>
      </c>
      <c r="D197" s="60">
        <v>18.636199999999999</v>
      </c>
      <c r="E197" s="60">
        <v>517327.65</v>
      </c>
      <c r="F197" s="60">
        <v>5169530.78</v>
      </c>
    </row>
    <row r="198" spans="1:6" x14ac:dyDescent="0.25">
      <c r="A198" s="60" t="s">
        <v>176</v>
      </c>
      <c r="B198" s="60" t="s">
        <v>174</v>
      </c>
      <c r="C198" s="60">
        <v>17</v>
      </c>
      <c r="D198" s="60">
        <v>27.139500000000002</v>
      </c>
      <c r="E198" s="60">
        <v>517397.65</v>
      </c>
      <c r="F198" s="60">
        <v>5169360.78</v>
      </c>
    </row>
    <row r="199" spans="1:6" x14ac:dyDescent="0.25">
      <c r="A199" s="60" t="s">
        <v>176</v>
      </c>
      <c r="B199" s="60" t="s">
        <v>174</v>
      </c>
      <c r="C199" s="60">
        <v>18</v>
      </c>
      <c r="D199" s="60">
        <v>0</v>
      </c>
      <c r="E199" s="60">
        <v>516847.65</v>
      </c>
      <c r="F199" s="60">
        <v>5169190.78</v>
      </c>
    </row>
    <row r="200" spans="1:6" x14ac:dyDescent="0.25">
      <c r="A200" s="60" t="s">
        <v>176</v>
      </c>
      <c r="B200" s="60" t="s">
        <v>174</v>
      </c>
      <c r="C200" s="60">
        <v>19</v>
      </c>
      <c r="D200" s="60">
        <v>22.843800000000002</v>
      </c>
      <c r="E200" s="60">
        <v>517147.65</v>
      </c>
      <c r="F200" s="60">
        <v>5169560.78</v>
      </c>
    </row>
    <row r="201" spans="1:6" x14ac:dyDescent="0.25">
      <c r="A201" s="60" t="s">
        <v>176</v>
      </c>
      <c r="B201" s="60" t="s">
        <v>174</v>
      </c>
      <c r="C201" s="60">
        <v>20</v>
      </c>
      <c r="D201" s="60">
        <v>26.830300000000001</v>
      </c>
      <c r="E201" s="60">
        <v>517347.65</v>
      </c>
      <c r="F201" s="60">
        <v>5169170.78</v>
      </c>
    </row>
    <row r="202" spans="1:6" x14ac:dyDescent="0.25">
      <c r="A202" s="60" t="s">
        <v>176</v>
      </c>
      <c r="B202" s="60" t="s">
        <v>174</v>
      </c>
      <c r="C202" s="60">
        <v>21</v>
      </c>
      <c r="D202" s="60">
        <v>31.631699999999999</v>
      </c>
      <c r="E202" s="60">
        <v>516957.65</v>
      </c>
      <c r="F202" s="60">
        <v>5169460.78</v>
      </c>
    </row>
    <row r="203" spans="1:6" x14ac:dyDescent="0.25">
      <c r="A203" s="60" t="s">
        <v>176</v>
      </c>
      <c r="B203" s="60" t="s">
        <v>174</v>
      </c>
      <c r="C203" s="60">
        <v>22</v>
      </c>
      <c r="D203" s="60">
        <v>22.848099999999999</v>
      </c>
      <c r="E203" s="60">
        <v>517237.65</v>
      </c>
      <c r="F203" s="60">
        <v>5169280.78</v>
      </c>
    </row>
    <row r="204" spans="1:6" x14ac:dyDescent="0.25">
      <c r="A204" s="60" t="s">
        <v>176</v>
      </c>
      <c r="B204" s="60" t="s">
        <v>174</v>
      </c>
      <c r="C204" s="60">
        <v>23</v>
      </c>
      <c r="D204" s="60">
        <v>25.660499999999999</v>
      </c>
      <c r="E204" s="60">
        <v>517367.65</v>
      </c>
      <c r="F204" s="60">
        <v>5169070.78</v>
      </c>
    </row>
    <row r="205" spans="1:6" x14ac:dyDescent="0.25">
      <c r="A205" s="60" t="s">
        <v>176</v>
      </c>
      <c r="B205" s="60" t="s">
        <v>174</v>
      </c>
      <c r="C205" s="60">
        <v>24</v>
      </c>
      <c r="D205" s="60">
        <v>29.813400000000001</v>
      </c>
      <c r="E205" s="60">
        <v>516877.65</v>
      </c>
      <c r="F205" s="60">
        <v>5169420.78</v>
      </c>
    </row>
    <row r="206" spans="1:6" x14ac:dyDescent="0.25">
      <c r="A206" s="60" t="s">
        <v>176</v>
      </c>
      <c r="B206" s="60" t="s">
        <v>174</v>
      </c>
      <c r="C206" s="60">
        <v>25</v>
      </c>
      <c r="D206" s="60">
        <v>22.745899999999999</v>
      </c>
      <c r="E206" s="60">
        <v>516977.65</v>
      </c>
      <c r="F206" s="60">
        <v>5169290.78</v>
      </c>
    </row>
    <row r="207" spans="1:6" x14ac:dyDescent="0.25">
      <c r="A207" s="60" t="s">
        <v>176</v>
      </c>
      <c r="B207" s="60" t="s">
        <v>174</v>
      </c>
      <c r="C207" s="60">
        <v>26</v>
      </c>
      <c r="D207" s="60">
        <v>30.0015</v>
      </c>
      <c r="E207" s="60">
        <v>517317.65</v>
      </c>
      <c r="F207" s="60">
        <v>5169390.78</v>
      </c>
    </row>
    <row r="208" spans="1:6" x14ac:dyDescent="0.25">
      <c r="A208" s="60" t="s">
        <v>176</v>
      </c>
      <c r="B208" s="60" t="s">
        <v>174</v>
      </c>
      <c r="C208" s="60">
        <v>27</v>
      </c>
      <c r="D208" s="60">
        <v>19.018599999999999</v>
      </c>
      <c r="E208" s="60">
        <v>517177.65</v>
      </c>
      <c r="F208" s="60">
        <v>5169460.78</v>
      </c>
    </row>
    <row r="209" spans="1:6" x14ac:dyDescent="0.25">
      <c r="A209" s="60" t="s">
        <v>176</v>
      </c>
      <c r="B209" s="60" t="s">
        <v>174</v>
      </c>
      <c r="C209" s="60">
        <v>28</v>
      </c>
      <c r="D209" s="60">
        <v>44.349899999999998</v>
      </c>
      <c r="E209" s="60">
        <v>517457.65</v>
      </c>
      <c r="F209" s="60">
        <v>5169310.78</v>
      </c>
    </row>
    <row r="210" spans="1:6" x14ac:dyDescent="0.25">
      <c r="A210" s="60" t="s">
        <v>176</v>
      </c>
      <c r="B210" s="60" t="s">
        <v>174</v>
      </c>
      <c r="C210" s="60">
        <v>29</v>
      </c>
      <c r="D210" s="60">
        <v>0</v>
      </c>
      <c r="E210" s="60">
        <v>517287.65</v>
      </c>
      <c r="F210" s="60">
        <v>5169080.78</v>
      </c>
    </row>
    <row r="211" spans="1:6" x14ac:dyDescent="0.25">
      <c r="A211" s="60" t="s">
        <v>176</v>
      </c>
      <c r="B211" s="60" t="s">
        <v>174</v>
      </c>
      <c r="C211" s="60">
        <v>30</v>
      </c>
      <c r="D211" s="60">
        <v>27.938300000000002</v>
      </c>
      <c r="E211" s="60">
        <v>516997.65</v>
      </c>
      <c r="F211" s="60">
        <v>5169380.78</v>
      </c>
    </row>
    <row r="212" spans="1:6" x14ac:dyDescent="0.25">
      <c r="A212" s="60" t="s">
        <v>176</v>
      </c>
      <c r="B212" s="60" t="s">
        <v>174</v>
      </c>
      <c r="C212" s="60">
        <v>31</v>
      </c>
      <c r="D212" s="60">
        <v>21.116700000000002</v>
      </c>
      <c r="E212" s="60">
        <v>517287.65</v>
      </c>
      <c r="F212" s="60">
        <v>5169590.78</v>
      </c>
    </row>
    <row r="213" spans="1:6" x14ac:dyDescent="0.25">
      <c r="A213" s="60" t="s">
        <v>176</v>
      </c>
      <c r="B213" s="60" t="s">
        <v>174</v>
      </c>
      <c r="C213" s="60">
        <v>32</v>
      </c>
      <c r="D213" s="60">
        <v>27.7514</v>
      </c>
      <c r="E213" s="60">
        <v>517147.65</v>
      </c>
      <c r="F213" s="60">
        <v>5169330.78</v>
      </c>
    </row>
    <row r="214" spans="1:6" x14ac:dyDescent="0.25">
      <c r="A214" s="60" t="s">
        <v>176</v>
      </c>
      <c r="B214" s="60" t="s">
        <v>174</v>
      </c>
      <c r="C214" s="60">
        <v>33</v>
      </c>
      <c r="D214" s="60">
        <v>36.423900000000003</v>
      </c>
      <c r="E214" s="60">
        <v>517387.65</v>
      </c>
      <c r="F214" s="60">
        <v>5169440.78</v>
      </c>
    </row>
    <row r="215" spans="1:6" x14ac:dyDescent="0.25">
      <c r="A215" s="60" t="s">
        <v>176</v>
      </c>
      <c r="B215" s="60" t="s">
        <v>174</v>
      </c>
      <c r="C215" s="60">
        <v>34</v>
      </c>
      <c r="D215" s="60">
        <v>31.671299999999999</v>
      </c>
      <c r="E215" s="60">
        <v>517467.65</v>
      </c>
      <c r="F215" s="60">
        <v>5169160.78</v>
      </c>
    </row>
    <row r="216" spans="1:6" x14ac:dyDescent="0.25">
      <c r="A216" s="60" t="s">
        <v>176</v>
      </c>
      <c r="B216" s="60" t="s">
        <v>174</v>
      </c>
      <c r="C216" s="60">
        <v>35</v>
      </c>
      <c r="D216" s="60">
        <v>26.3474</v>
      </c>
      <c r="E216" s="60">
        <v>517077.65</v>
      </c>
      <c r="F216" s="60">
        <v>5169530.78</v>
      </c>
    </row>
    <row r="217" spans="1:6" x14ac:dyDescent="0.25">
      <c r="A217" s="60" t="s">
        <v>176</v>
      </c>
      <c r="B217" s="60" t="s">
        <v>174</v>
      </c>
      <c r="C217" s="60">
        <v>36</v>
      </c>
      <c r="D217" s="60">
        <v>27.949000000000002</v>
      </c>
      <c r="E217" s="60">
        <v>517317.65</v>
      </c>
      <c r="F217" s="60">
        <v>5169020.78</v>
      </c>
    </row>
    <row r="218" spans="1:6" x14ac:dyDescent="0.25">
      <c r="A218" s="60" t="s">
        <v>177</v>
      </c>
      <c r="B218" s="60" t="s">
        <v>171</v>
      </c>
      <c r="C218" s="60">
        <v>1</v>
      </c>
      <c r="D218" s="60">
        <v>37.629600000000003</v>
      </c>
      <c r="E218" s="60">
        <v>5150951.67</v>
      </c>
      <c r="F218" s="60">
        <v>37629485.969999999</v>
      </c>
    </row>
    <row r="219" spans="1:6" x14ac:dyDescent="0.25">
      <c r="A219" s="60" t="s">
        <v>177</v>
      </c>
      <c r="B219" s="60" t="s">
        <v>171</v>
      </c>
      <c r="C219" s="60">
        <v>2</v>
      </c>
      <c r="D219" s="60">
        <v>56.821800000000003</v>
      </c>
      <c r="E219" s="60">
        <v>5150981.67</v>
      </c>
      <c r="F219" s="60">
        <v>56821627.810000002</v>
      </c>
    </row>
    <row r="220" spans="1:6" x14ac:dyDescent="0.25">
      <c r="A220" s="60" t="s">
        <v>177</v>
      </c>
      <c r="B220" s="60" t="s">
        <v>171</v>
      </c>
      <c r="C220" s="60">
        <v>3</v>
      </c>
      <c r="D220" s="60">
        <v>37.165500000000002</v>
      </c>
      <c r="E220" s="60">
        <v>5151011.67</v>
      </c>
      <c r="F220" s="60">
        <v>37165387.380000003</v>
      </c>
    </row>
    <row r="221" spans="1:6" x14ac:dyDescent="0.25">
      <c r="A221" s="60" t="s">
        <v>177</v>
      </c>
      <c r="B221" s="60" t="s">
        <v>171</v>
      </c>
      <c r="C221" s="60">
        <v>4</v>
      </c>
      <c r="D221" s="60">
        <v>53.589799999999997</v>
      </c>
      <c r="E221" s="60">
        <v>5151081.67</v>
      </c>
      <c r="F221" s="60">
        <v>53589637.609999999</v>
      </c>
    </row>
    <row r="222" spans="1:6" x14ac:dyDescent="0.25">
      <c r="A222" s="60" t="s">
        <v>177</v>
      </c>
      <c r="B222" s="60" t="s">
        <v>171</v>
      </c>
      <c r="C222" s="60">
        <v>5</v>
      </c>
      <c r="D222" s="60">
        <v>63.144799999999996</v>
      </c>
      <c r="E222" s="60">
        <v>5151081.67</v>
      </c>
      <c r="F222" s="60">
        <v>63144608.649999999</v>
      </c>
    </row>
    <row r="223" spans="1:6" x14ac:dyDescent="0.25">
      <c r="A223" s="60" t="s">
        <v>177</v>
      </c>
      <c r="B223" s="60" t="s">
        <v>171</v>
      </c>
      <c r="C223" s="60">
        <v>6</v>
      </c>
      <c r="D223" s="60">
        <v>47.570300000000003</v>
      </c>
      <c r="E223" s="60">
        <v>5151111.67</v>
      </c>
      <c r="F223" s="60">
        <v>47570155.850000001</v>
      </c>
    </row>
    <row r="224" spans="1:6" x14ac:dyDescent="0.25">
      <c r="A224" s="60" t="s">
        <v>177</v>
      </c>
      <c r="B224" s="60" t="s">
        <v>171</v>
      </c>
      <c r="C224" s="60">
        <v>7</v>
      </c>
      <c r="D224" s="60">
        <v>61.290300000000002</v>
      </c>
      <c r="E224" s="60">
        <v>5151051.67</v>
      </c>
      <c r="F224" s="60">
        <v>61290114.270000003</v>
      </c>
    </row>
    <row r="225" spans="1:6" x14ac:dyDescent="0.25">
      <c r="A225" s="60" t="s">
        <v>177</v>
      </c>
      <c r="B225" s="60" t="s">
        <v>171</v>
      </c>
      <c r="C225" s="60">
        <v>8</v>
      </c>
      <c r="D225" s="60">
        <v>44.165799999999997</v>
      </c>
      <c r="E225" s="60">
        <v>5150991.67</v>
      </c>
      <c r="F225" s="60">
        <v>44165666.159999996</v>
      </c>
    </row>
    <row r="226" spans="1:6" x14ac:dyDescent="0.25">
      <c r="A226" s="60" t="s">
        <v>177</v>
      </c>
      <c r="B226" s="60" t="s">
        <v>171</v>
      </c>
      <c r="C226" s="60">
        <v>9</v>
      </c>
      <c r="D226" s="60">
        <v>51.8369</v>
      </c>
      <c r="E226" s="60">
        <v>5151021.67</v>
      </c>
      <c r="F226" s="60">
        <v>51836742.920000002</v>
      </c>
    </row>
    <row r="227" spans="1:6" x14ac:dyDescent="0.25">
      <c r="A227" s="60" t="s">
        <v>177</v>
      </c>
      <c r="B227" s="60" t="s">
        <v>171</v>
      </c>
      <c r="C227" s="60">
        <v>10</v>
      </c>
      <c r="D227" s="60">
        <v>53.501600000000003</v>
      </c>
      <c r="E227" s="60">
        <v>5150951.67</v>
      </c>
      <c r="F227" s="60">
        <v>53501437.869999997</v>
      </c>
    </row>
    <row r="228" spans="1:6" x14ac:dyDescent="0.25">
      <c r="A228" s="60" t="s">
        <v>177</v>
      </c>
      <c r="B228" s="60" t="s">
        <v>171</v>
      </c>
      <c r="C228" s="60">
        <v>11</v>
      </c>
      <c r="D228" s="60">
        <v>37.805799999999998</v>
      </c>
      <c r="E228" s="60">
        <v>5150991.67</v>
      </c>
      <c r="F228" s="60">
        <v>37805685.439999998</v>
      </c>
    </row>
    <row r="229" spans="1:6" x14ac:dyDescent="0.25">
      <c r="A229" s="60" t="s">
        <v>177</v>
      </c>
      <c r="B229" s="60" t="s">
        <v>171</v>
      </c>
      <c r="C229" s="60">
        <v>12</v>
      </c>
      <c r="D229" s="60">
        <v>53.253999999999998</v>
      </c>
      <c r="E229" s="60">
        <v>5150931.67</v>
      </c>
      <c r="F229" s="60">
        <v>53253838.619999997</v>
      </c>
    </row>
    <row r="230" spans="1:6" x14ac:dyDescent="0.25">
      <c r="A230" s="60" t="s">
        <v>177</v>
      </c>
      <c r="B230" s="60" t="s">
        <v>171</v>
      </c>
      <c r="C230" s="60">
        <v>13</v>
      </c>
      <c r="D230" s="60">
        <v>51.346699999999998</v>
      </c>
      <c r="E230" s="60">
        <v>5151051.67</v>
      </c>
      <c r="F230" s="60">
        <v>51346544.399999999</v>
      </c>
    </row>
    <row r="231" spans="1:6" x14ac:dyDescent="0.25">
      <c r="A231" s="60" t="s">
        <v>177</v>
      </c>
      <c r="B231" s="60" t="s">
        <v>171</v>
      </c>
      <c r="C231" s="60">
        <v>15</v>
      </c>
      <c r="D231" s="60">
        <v>38.655700000000003</v>
      </c>
      <c r="E231" s="60">
        <v>5151091.67</v>
      </c>
      <c r="F231" s="60">
        <v>38655582.859999999</v>
      </c>
    </row>
    <row r="232" spans="1:6" x14ac:dyDescent="0.25">
      <c r="A232" s="60" t="s">
        <v>177</v>
      </c>
      <c r="B232" s="60" t="s">
        <v>171</v>
      </c>
      <c r="C232" s="60">
        <v>16</v>
      </c>
      <c r="D232" s="60">
        <v>39.650599999999997</v>
      </c>
      <c r="E232" s="60">
        <v>5150981.67</v>
      </c>
      <c r="F232" s="60">
        <v>39650479.850000001</v>
      </c>
    </row>
    <row r="233" spans="1:6" x14ac:dyDescent="0.25">
      <c r="A233" s="60" t="s">
        <v>177</v>
      </c>
      <c r="B233" s="60" t="s">
        <v>171</v>
      </c>
      <c r="C233" s="60">
        <v>17</v>
      </c>
      <c r="D233" s="60">
        <v>51.598399999999998</v>
      </c>
      <c r="E233" s="60">
        <v>5150991.67</v>
      </c>
      <c r="F233" s="60">
        <v>51598243.640000001</v>
      </c>
    </row>
    <row r="234" spans="1:6" x14ac:dyDescent="0.25">
      <c r="A234" s="60" t="s">
        <v>177</v>
      </c>
      <c r="B234" s="60" t="s">
        <v>171</v>
      </c>
      <c r="C234" s="60">
        <v>18</v>
      </c>
      <c r="D234" s="60">
        <v>0</v>
      </c>
      <c r="E234" s="60">
        <v>5151141.67</v>
      </c>
      <c r="F234" s="60">
        <v>0</v>
      </c>
    </row>
    <row r="235" spans="1:6" x14ac:dyDescent="0.25">
      <c r="A235" s="60" t="s">
        <v>177</v>
      </c>
      <c r="B235" s="60" t="s">
        <v>171</v>
      </c>
      <c r="C235" s="60">
        <v>19</v>
      </c>
      <c r="D235" s="60">
        <v>38.235300000000002</v>
      </c>
      <c r="E235" s="60">
        <v>5151101.67</v>
      </c>
      <c r="F235" s="60">
        <v>38235184.140000001</v>
      </c>
    </row>
    <row r="236" spans="1:6" x14ac:dyDescent="0.25">
      <c r="A236" s="60" t="s">
        <v>177</v>
      </c>
      <c r="B236" s="60" t="s">
        <v>171</v>
      </c>
      <c r="C236" s="60">
        <v>20</v>
      </c>
      <c r="D236" s="60">
        <v>0</v>
      </c>
      <c r="E236" s="60">
        <v>5150891.67</v>
      </c>
      <c r="F236" s="60">
        <v>0</v>
      </c>
    </row>
    <row r="237" spans="1:6" x14ac:dyDescent="0.25">
      <c r="A237" s="60" t="s">
        <v>177</v>
      </c>
      <c r="B237" s="60" t="s">
        <v>171</v>
      </c>
      <c r="C237" s="60">
        <v>21</v>
      </c>
      <c r="D237" s="60">
        <v>41.3718</v>
      </c>
      <c r="E237" s="60">
        <v>5150871.67</v>
      </c>
      <c r="F237" s="60">
        <v>41371674.630000003</v>
      </c>
    </row>
    <row r="238" spans="1:6" x14ac:dyDescent="0.25">
      <c r="A238" s="60" t="s">
        <v>177</v>
      </c>
      <c r="B238" s="60" t="s">
        <v>171</v>
      </c>
      <c r="C238" s="60">
        <v>22</v>
      </c>
      <c r="D238" s="60">
        <v>0</v>
      </c>
      <c r="E238" s="60">
        <v>5150891.67</v>
      </c>
      <c r="F238" s="60">
        <v>0</v>
      </c>
    </row>
    <row r="239" spans="1:6" x14ac:dyDescent="0.25">
      <c r="A239" s="60" t="s">
        <v>177</v>
      </c>
      <c r="B239" s="60" t="s">
        <v>171</v>
      </c>
      <c r="C239" s="60">
        <v>23</v>
      </c>
      <c r="D239" s="60">
        <v>53.134500000000003</v>
      </c>
      <c r="E239" s="60">
        <v>5151021.67</v>
      </c>
      <c r="F239" s="60">
        <v>53134338.990000002</v>
      </c>
    </row>
    <row r="240" spans="1:6" x14ac:dyDescent="0.25">
      <c r="A240" s="60" t="s">
        <v>177</v>
      </c>
      <c r="B240" s="60" t="s">
        <v>171</v>
      </c>
      <c r="C240" s="60">
        <v>24</v>
      </c>
      <c r="D240" s="60">
        <v>36.808599999999998</v>
      </c>
      <c r="E240" s="60">
        <v>5151061.67</v>
      </c>
      <c r="F240" s="60">
        <v>36808488.460000001</v>
      </c>
    </row>
    <row r="241" spans="1:6" x14ac:dyDescent="0.25">
      <c r="A241" s="60" t="s">
        <v>177</v>
      </c>
      <c r="B241" s="60" t="s">
        <v>171</v>
      </c>
      <c r="C241" s="60">
        <v>25</v>
      </c>
      <c r="D241" s="60">
        <v>41.055100000000003</v>
      </c>
      <c r="E241" s="60">
        <v>5150951.67</v>
      </c>
      <c r="F241" s="60">
        <v>41054975.590000004</v>
      </c>
    </row>
    <row r="242" spans="1:6" x14ac:dyDescent="0.25">
      <c r="A242" s="60" t="s">
        <v>177</v>
      </c>
      <c r="B242" s="60" t="s">
        <v>171</v>
      </c>
      <c r="C242" s="60">
        <v>26</v>
      </c>
      <c r="D242" s="60">
        <v>42.189799999999998</v>
      </c>
      <c r="E242" s="60">
        <v>5150911.67</v>
      </c>
      <c r="F242" s="60">
        <v>42189672.149999999</v>
      </c>
    </row>
    <row r="243" spans="1:6" x14ac:dyDescent="0.25">
      <c r="A243" s="60" t="s">
        <v>177</v>
      </c>
      <c r="B243" s="60" t="s">
        <v>171</v>
      </c>
      <c r="C243" s="60">
        <v>27</v>
      </c>
      <c r="D243" s="60">
        <v>44.407899999999998</v>
      </c>
      <c r="E243" s="60">
        <v>5151031.67</v>
      </c>
      <c r="F243" s="60">
        <v>44407765.43</v>
      </c>
    </row>
    <row r="244" spans="1:6" x14ac:dyDescent="0.25">
      <c r="A244" s="60" t="s">
        <v>177</v>
      </c>
      <c r="B244" s="60" t="s">
        <v>171</v>
      </c>
      <c r="C244" s="60">
        <v>28</v>
      </c>
      <c r="D244" s="60">
        <v>0</v>
      </c>
      <c r="E244" s="60">
        <v>5151111.67</v>
      </c>
      <c r="F244" s="60">
        <v>0</v>
      </c>
    </row>
    <row r="245" spans="1:6" x14ac:dyDescent="0.25">
      <c r="A245" s="60" t="s">
        <v>177</v>
      </c>
      <c r="B245" s="60" t="s">
        <v>171</v>
      </c>
      <c r="C245" s="60">
        <v>29</v>
      </c>
      <c r="D245" s="60">
        <v>51.258699999999997</v>
      </c>
      <c r="E245" s="60">
        <v>5150961.67</v>
      </c>
      <c r="F245" s="60">
        <v>51258544.670000002</v>
      </c>
    </row>
    <row r="246" spans="1:6" x14ac:dyDescent="0.25">
      <c r="A246" s="60" t="s">
        <v>177</v>
      </c>
      <c r="B246" s="60" t="s">
        <v>171</v>
      </c>
      <c r="C246" s="60">
        <v>30</v>
      </c>
      <c r="D246" s="60">
        <v>54.273000000000003</v>
      </c>
      <c r="E246" s="60">
        <v>5151041.67</v>
      </c>
      <c r="F246" s="60">
        <v>54272835.539999999</v>
      </c>
    </row>
    <row r="247" spans="1:6" x14ac:dyDescent="0.25">
      <c r="A247" s="60" t="s">
        <v>177</v>
      </c>
      <c r="B247" s="60" t="s">
        <v>171</v>
      </c>
      <c r="C247" s="60">
        <v>32</v>
      </c>
      <c r="D247" s="60">
        <v>43.438299999999998</v>
      </c>
      <c r="E247" s="60">
        <v>5150901.67</v>
      </c>
      <c r="F247" s="60">
        <v>43438168.369999997</v>
      </c>
    </row>
    <row r="248" spans="1:6" x14ac:dyDescent="0.25">
      <c r="A248" s="60" t="s">
        <v>177</v>
      </c>
      <c r="B248" s="60" t="s">
        <v>171</v>
      </c>
      <c r="C248" s="60">
        <v>33</v>
      </c>
      <c r="D248" s="60">
        <v>41.297499999999999</v>
      </c>
      <c r="E248" s="60">
        <v>5150931.67</v>
      </c>
      <c r="F248" s="60">
        <v>41297374.859999999</v>
      </c>
    </row>
    <row r="249" spans="1:6" x14ac:dyDescent="0.25">
      <c r="A249" s="60" t="s">
        <v>177</v>
      </c>
      <c r="B249" s="60" t="s">
        <v>171</v>
      </c>
      <c r="C249" s="60">
        <v>34</v>
      </c>
      <c r="D249" s="60">
        <v>41.513300000000001</v>
      </c>
      <c r="E249" s="60">
        <v>5150971.67</v>
      </c>
      <c r="F249" s="60">
        <v>41513174.200000003</v>
      </c>
    </row>
    <row r="250" spans="1:6" x14ac:dyDescent="0.25">
      <c r="A250" s="60" t="s">
        <v>177</v>
      </c>
      <c r="B250" s="60" t="s">
        <v>171</v>
      </c>
      <c r="C250" s="60">
        <v>35</v>
      </c>
      <c r="D250" s="60">
        <v>0</v>
      </c>
      <c r="E250" s="60">
        <v>5151171.67</v>
      </c>
      <c r="F250" s="60">
        <v>0</v>
      </c>
    </row>
    <row r="251" spans="1:6" x14ac:dyDescent="0.25">
      <c r="A251" s="60" t="s">
        <v>177</v>
      </c>
      <c r="B251" s="60" t="s">
        <v>171</v>
      </c>
      <c r="C251" s="60">
        <v>36</v>
      </c>
      <c r="D251" s="60">
        <v>48.306399999999996</v>
      </c>
      <c r="E251" s="60">
        <v>5150921.67</v>
      </c>
      <c r="F251" s="60">
        <v>48306253.619999997</v>
      </c>
    </row>
    <row r="252" spans="1:6" x14ac:dyDescent="0.25">
      <c r="A252" s="60" t="s">
        <v>177</v>
      </c>
      <c r="B252" s="60" t="s">
        <v>175</v>
      </c>
      <c r="C252" s="60">
        <v>1</v>
      </c>
      <c r="D252" s="60">
        <v>7.5</v>
      </c>
      <c r="E252" s="60">
        <v>5150951.67</v>
      </c>
      <c r="F252" s="60">
        <v>37629485.969999999</v>
      </c>
    </row>
    <row r="253" spans="1:6" x14ac:dyDescent="0.25">
      <c r="A253" s="60" t="s">
        <v>177</v>
      </c>
      <c r="B253" s="60" t="s">
        <v>175</v>
      </c>
      <c r="C253" s="60">
        <v>2</v>
      </c>
      <c r="D253" s="60">
        <v>16.8</v>
      </c>
      <c r="E253" s="60">
        <v>5150981.67</v>
      </c>
      <c r="F253" s="60">
        <v>56821627.810000002</v>
      </c>
    </row>
    <row r="254" spans="1:6" x14ac:dyDescent="0.25">
      <c r="A254" s="60" t="s">
        <v>177</v>
      </c>
      <c r="B254" s="60" t="s">
        <v>175</v>
      </c>
      <c r="C254" s="60">
        <v>3</v>
      </c>
      <c r="D254" s="60">
        <v>9.9</v>
      </c>
      <c r="E254" s="60">
        <v>5151011.67</v>
      </c>
      <c r="F254" s="60">
        <v>37165387.380000003</v>
      </c>
    </row>
    <row r="255" spans="1:6" x14ac:dyDescent="0.25">
      <c r="A255" s="60" t="s">
        <v>177</v>
      </c>
      <c r="B255" s="60" t="s">
        <v>175</v>
      </c>
      <c r="C255" s="60">
        <v>4</v>
      </c>
      <c r="D255" s="60">
        <v>8</v>
      </c>
      <c r="E255" s="60">
        <v>5151081.67</v>
      </c>
      <c r="F255" s="60">
        <v>53589637.609999999</v>
      </c>
    </row>
    <row r="256" spans="1:6" x14ac:dyDescent="0.25">
      <c r="A256" s="60" t="s">
        <v>177</v>
      </c>
      <c r="B256" s="60" t="s">
        <v>175</v>
      </c>
      <c r="C256" s="60">
        <v>5</v>
      </c>
      <c r="D256" s="60">
        <v>20.6</v>
      </c>
      <c r="E256" s="60">
        <v>5151081.67</v>
      </c>
      <c r="F256" s="60">
        <v>63144608.649999999</v>
      </c>
    </row>
    <row r="257" spans="1:6" x14ac:dyDescent="0.25">
      <c r="A257" s="60" t="s">
        <v>177</v>
      </c>
      <c r="B257" s="60" t="s">
        <v>175</v>
      </c>
      <c r="C257" s="60">
        <v>6</v>
      </c>
      <c r="D257" s="60">
        <v>6.9</v>
      </c>
      <c r="E257" s="60">
        <v>5151111.67</v>
      </c>
      <c r="F257" s="60">
        <v>47570155.850000001</v>
      </c>
    </row>
    <row r="258" spans="1:6" x14ac:dyDescent="0.25">
      <c r="A258" s="60" t="s">
        <v>177</v>
      </c>
      <c r="B258" s="60" t="s">
        <v>175</v>
      </c>
      <c r="C258" s="60">
        <v>7</v>
      </c>
      <c r="D258" s="60">
        <v>6.5</v>
      </c>
      <c r="E258" s="60">
        <v>5151051.67</v>
      </c>
      <c r="F258" s="60">
        <v>61290114.270000003</v>
      </c>
    </row>
    <row r="259" spans="1:6" x14ac:dyDescent="0.25">
      <c r="A259" s="60" t="s">
        <v>177</v>
      </c>
      <c r="B259" s="60" t="s">
        <v>175</v>
      </c>
      <c r="C259" s="60">
        <v>8</v>
      </c>
      <c r="D259" s="60">
        <v>7.6</v>
      </c>
      <c r="E259" s="60">
        <v>5150991.67</v>
      </c>
      <c r="F259" s="60">
        <v>44165666.159999996</v>
      </c>
    </row>
    <row r="260" spans="1:6" x14ac:dyDescent="0.25">
      <c r="A260" s="60" t="s">
        <v>177</v>
      </c>
      <c r="B260" s="60" t="s">
        <v>175</v>
      </c>
      <c r="C260" s="60">
        <v>9</v>
      </c>
      <c r="D260" s="60">
        <v>9.5</v>
      </c>
      <c r="E260" s="60">
        <v>5151021.67</v>
      </c>
      <c r="F260" s="60">
        <v>51836742.920000002</v>
      </c>
    </row>
    <row r="261" spans="1:6" x14ac:dyDescent="0.25">
      <c r="A261" s="60" t="s">
        <v>177</v>
      </c>
      <c r="B261" s="60" t="s">
        <v>175</v>
      </c>
      <c r="C261" s="60">
        <v>10</v>
      </c>
      <c r="D261" s="60">
        <v>15.1</v>
      </c>
      <c r="E261" s="60">
        <v>5150951.67</v>
      </c>
      <c r="F261" s="60">
        <v>53501437.869999997</v>
      </c>
    </row>
    <row r="262" spans="1:6" x14ac:dyDescent="0.25">
      <c r="A262" s="60" t="s">
        <v>177</v>
      </c>
      <c r="B262" s="60" t="s">
        <v>175</v>
      </c>
      <c r="C262" s="60">
        <v>11</v>
      </c>
      <c r="D262" s="60">
        <v>10</v>
      </c>
      <c r="E262" s="60">
        <v>5150991.67</v>
      </c>
      <c r="F262" s="60">
        <v>37805685.439999998</v>
      </c>
    </row>
    <row r="263" spans="1:6" x14ac:dyDescent="0.25">
      <c r="A263" s="60" t="s">
        <v>177</v>
      </c>
      <c r="B263" s="60" t="s">
        <v>175</v>
      </c>
      <c r="C263" s="60">
        <v>12</v>
      </c>
      <c r="D263" s="60">
        <v>13.4</v>
      </c>
      <c r="E263" s="60">
        <v>5150931.67</v>
      </c>
      <c r="F263" s="60">
        <v>53253838.619999997</v>
      </c>
    </row>
    <row r="264" spans="1:6" x14ac:dyDescent="0.25">
      <c r="A264" s="60" t="s">
        <v>177</v>
      </c>
      <c r="B264" s="60" t="s">
        <v>175</v>
      </c>
      <c r="C264" s="60">
        <v>13</v>
      </c>
      <c r="D264" s="60">
        <v>9</v>
      </c>
      <c r="E264" s="60">
        <v>5151051.67</v>
      </c>
      <c r="F264" s="60">
        <v>51346544.399999999</v>
      </c>
    </row>
    <row r="265" spans="1:6" x14ac:dyDescent="0.25">
      <c r="A265" s="60" t="s">
        <v>177</v>
      </c>
      <c r="B265" s="60" t="s">
        <v>175</v>
      </c>
      <c r="C265" s="60">
        <v>15</v>
      </c>
      <c r="D265" s="60">
        <v>4.5999999999999996</v>
      </c>
      <c r="E265" s="60">
        <v>5151091.67</v>
      </c>
      <c r="F265" s="60">
        <v>38655582.859999999</v>
      </c>
    </row>
    <row r="266" spans="1:6" x14ac:dyDescent="0.25">
      <c r="A266" s="60" t="s">
        <v>177</v>
      </c>
      <c r="B266" s="60" t="s">
        <v>175</v>
      </c>
      <c r="C266" s="60">
        <v>16</v>
      </c>
      <c r="D266" s="60">
        <v>24.4</v>
      </c>
      <c r="E266" s="60">
        <v>5150981.67</v>
      </c>
      <c r="F266" s="60">
        <v>39650479.850000001</v>
      </c>
    </row>
    <row r="267" spans="1:6" x14ac:dyDescent="0.25">
      <c r="A267" s="60" t="s">
        <v>177</v>
      </c>
      <c r="B267" s="60" t="s">
        <v>175</v>
      </c>
      <c r="C267" s="60">
        <v>17</v>
      </c>
      <c r="D267" s="60">
        <v>13.2</v>
      </c>
      <c r="E267" s="60">
        <v>5150991.67</v>
      </c>
      <c r="F267" s="60">
        <v>51598243.640000001</v>
      </c>
    </row>
    <row r="268" spans="1:6" x14ac:dyDescent="0.25">
      <c r="A268" s="60" t="s">
        <v>177</v>
      </c>
      <c r="B268" s="60" t="s">
        <v>175</v>
      </c>
      <c r="C268" s="60">
        <v>18</v>
      </c>
      <c r="D268" s="60">
        <v>0</v>
      </c>
      <c r="E268" s="60">
        <v>5151141.67</v>
      </c>
      <c r="F268" s="60">
        <v>0</v>
      </c>
    </row>
    <row r="269" spans="1:6" x14ac:dyDescent="0.25">
      <c r="A269" s="60" t="s">
        <v>177</v>
      </c>
      <c r="B269" s="60" t="s">
        <v>175</v>
      </c>
      <c r="C269" s="60">
        <v>19</v>
      </c>
      <c r="D269" s="60">
        <v>6.6</v>
      </c>
      <c r="E269" s="60">
        <v>5151101.67</v>
      </c>
      <c r="F269" s="60">
        <v>38235184.140000001</v>
      </c>
    </row>
    <row r="270" spans="1:6" x14ac:dyDescent="0.25">
      <c r="A270" s="60" t="s">
        <v>177</v>
      </c>
      <c r="B270" s="60" t="s">
        <v>175</v>
      </c>
      <c r="C270" s="60">
        <v>20</v>
      </c>
      <c r="D270" s="60">
        <v>0</v>
      </c>
      <c r="E270" s="60">
        <v>5150891.67</v>
      </c>
      <c r="F270" s="60">
        <v>0</v>
      </c>
    </row>
    <row r="271" spans="1:6" x14ac:dyDescent="0.25">
      <c r="A271" s="60" t="s">
        <v>177</v>
      </c>
      <c r="B271" s="60" t="s">
        <v>175</v>
      </c>
      <c r="C271" s="60">
        <v>21</v>
      </c>
      <c r="D271" s="60">
        <v>10.4</v>
      </c>
      <c r="E271" s="60">
        <v>5150871.67</v>
      </c>
      <c r="F271" s="60">
        <v>41371674.630000003</v>
      </c>
    </row>
    <row r="272" spans="1:6" x14ac:dyDescent="0.25">
      <c r="A272" s="60" t="s">
        <v>177</v>
      </c>
      <c r="B272" s="60" t="s">
        <v>175</v>
      </c>
      <c r="C272" s="60">
        <v>22</v>
      </c>
      <c r="D272" s="60">
        <v>0</v>
      </c>
      <c r="E272" s="60">
        <v>5150891.67</v>
      </c>
      <c r="F272" s="60">
        <v>0</v>
      </c>
    </row>
    <row r="273" spans="1:6" x14ac:dyDescent="0.25">
      <c r="A273" s="60" t="s">
        <v>177</v>
      </c>
      <c r="B273" s="60" t="s">
        <v>175</v>
      </c>
      <c r="C273" s="60">
        <v>23</v>
      </c>
      <c r="D273" s="60">
        <v>18.899999999999999</v>
      </c>
      <c r="E273" s="60">
        <v>5151021.67</v>
      </c>
      <c r="F273" s="60">
        <v>53134338.990000002</v>
      </c>
    </row>
    <row r="274" spans="1:6" x14ac:dyDescent="0.25">
      <c r="A274" s="60" t="s">
        <v>177</v>
      </c>
      <c r="B274" s="60" t="s">
        <v>175</v>
      </c>
      <c r="C274" s="60">
        <v>24</v>
      </c>
      <c r="D274" s="60">
        <v>8.5</v>
      </c>
      <c r="E274" s="60">
        <v>5151061.67</v>
      </c>
      <c r="F274" s="60">
        <v>36808488.460000001</v>
      </c>
    </row>
    <row r="275" spans="1:6" x14ac:dyDescent="0.25">
      <c r="A275" s="60" t="s">
        <v>177</v>
      </c>
      <c r="B275" s="60" t="s">
        <v>175</v>
      </c>
      <c r="C275" s="60">
        <v>25</v>
      </c>
      <c r="D275" s="60">
        <v>8.5</v>
      </c>
      <c r="E275" s="60">
        <v>5150951.67</v>
      </c>
      <c r="F275" s="60">
        <v>41054975.590000004</v>
      </c>
    </row>
    <row r="276" spans="1:6" x14ac:dyDescent="0.25">
      <c r="A276" s="60" t="s">
        <v>177</v>
      </c>
      <c r="B276" s="60" t="s">
        <v>175</v>
      </c>
      <c r="C276" s="60">
        <v>26</v>
      </c>
      <c r="D276" s="60">
        <v>10.8</v>
      </c>
      <c r="E276" s="60">
        <v>5150911.67</v>
      </c>
      <c r="F276" s="60">
        <v>42189672.149999999</v>
      </c>
    </row>
    <row r="277" spans="1:6" x14ac:dyDescent="0.25">
      <c r="A277" s="60" t="s">
        <v>177</v>
      </c>
      <c r="B277" s="60" t="s">
        <v>175</v>
      </c>
      <c r="C277" s="60">
        <v>27</v>
      </c>
      <c r="D277" s="60">
        <v>12</v>
      </c>
      <c r="E277" s="60">
        <v>5151031.67</v>
      </c>
      <c r="F277" s="60">
        <v>44407765.43</v>
      </c>
    </row>
    <row r="278" spans="1:6" x14ac:dyDescent="0.25">
      <c r="A278" s="60" t="s">
        <v>177</v>
      </c>
      <c r="B278" s="60" t="s">
        <v>175</v>
      </c>
      <c r="C278" s="60">
        <v>28</v>
      </c>
      <c r="D278" s="60">
        <v>0</v>
      </c>
      <c r="E278" s="60">
        <v>5151111.67</v>
      </c>
      <c r="F278" s="60">
        <v>0</v>
      </c>
    </row>
    <row r="279" spans="1:6" x14ac:dyDescent="0.25">
      <c r="A279" s="60" t="s">
        <v>177</v>
      </c>
      <c r="B279" s="60" t="s">
        <v>175</v>
      </c>
      <c r="C279" s="60">
        <v>29</v>
      </c>
      <c r="D279" s="60">
        <v>13</v>
      </c>
      <c r="E279" s="60">
        <v>5150961.67</v>
      </c>
      <c r="F279" s="60">
        <v>51258544.670000002</v>
      </c>
    </row>
    <row r="280" spans="1:6" x14ac:dyDescent="0.25">
      <c r="A280" s="60" t="s">
        <v>177</v>
      </c>
      <c r="B280" s="60" t="s">
        <v>175</v>
      </c>
      <c r="C280" s="60">
        <v>30</v>
      </c>
      <c r="D280" s="60">
        <v>18.5</v>
      </c>
      <c r="E280" s="60">
        <v>5151041.67</v>
      </c>
      <c r="F280" s="60">
        <v>54272835.539999999</v>
      </c>
    </row>
    <row r="281" spans="1:6" x14ac:dyDescent="0.25">
      <c r="A281" s="60" t="s">
        <v>177</v>
      </c>
      <c r="B281" s="60" t="s">
        <v>175</v>
      </c>
      <c r="C281" s="60">
        <v>32</v>
      </c>
      <c r="D281" s="60">
        <v>10</v>
      </c>
      <c r="E281" s="60">
        <v>5150901.67</v>
      </c>
      <c r="F281" s="60">
        <v>43438168.369999997</v>
      </c>
    </row>
    <row r="282" spans="1:6" x14ac:dyDescent="0.25">
      <c r="A282" s="60" t="s">
        <v>177</v>
      </c>
      <c r="B282" s="60" t="s">
        <v>175</v>
      </c>
      <c r="C282" s="60">
        <v>33</v>
      </c>
      <c r="D282" s="60">
        <v>19.899999999999999</v>
      </c>
      <c r="E282" s="60">
        <v>5150931.67</v>
      </c>
      <c r="F282" s="60">
        <v>41297374.859999999</v>
      </c>
    </row>
    <row r="283" spans="1:6" x14ac:dyDescent="0.25">
      <c r="A283" s="60" t="s">
        <v>177</v>
      </c>
      <c r="B283" s="60" t="s">
        <v>175</v>
      </c>
      <c r="C283" s="60">
        <v>34</v>
      </c>
      <c r="D283" s="60">
        <v>18.8</v>
      </c>
      <c r="E283" s="60">
        <v>5150971.67</v>
      </c>
      <c r="F283" s="60">
        <v>41513174.200000003</v>
      </c>
    </row>
    <row r="284" spans="1:6" x14ac:dyDescent="0.25">
      <c r="A284" s="60" t="s">
        <v>177</v>
      </c>
      <c r="B284" s="60" t="s">
        <v>175</v>
      </c>
      <c r="C284" s="60">
        <v>35</v>
      </c>
      <c r="D284" s="60">
        <v>0</v>
      </c>
      <c r="E284" s="60">
        <v>5151171.67</v>
      </c>
      <c r="F284" s="60">
        <v>0</v>
      </c>
    </row>
    <row r="285" spans="1:6" x14ac:dyDescent="0.25">
      <c r="A285" s="60" t="s">
        <v>177</v>
      </c>
      <c r="B285" s="60" t="s">
        <v>175</v>
      </c>
      <c r="C285" s="60">
        <v>36</v>
      </c>
      <c r="D285" s="60">
        <v>7.6</v>
      </c>
      <c r="E285" s="60">
        <v>5150921.67</v>
      </c>
      <c r="F285" s="60">
        <v>48306253.619999997</v>
      </c>
    </row>
    <row r="286" spans="1:6" x14ac:dyDescent="0.25">
      <c r="A286" s="60" t="s">
        <v>177</v>
      </c>
      <c r="B286" s="60" t="s">
        <v>174</v>
      </c>
      <c r="C286" s="60">
        <v>1</v>
      </c>
      <c r="D286" s="60">
        <v>30.1296</v>
      </c>
      <c r="E286" s="60">
        <v>5150951.67</v>
      </c>
      <c r="F286" s="60">
        <v>37629485.969999999</v>
      </c>
    </row>
    <row r="287" spans="1:6" x14ac:dyDescent="0.25">
      <c r="A287" s="60" t="s">
        <v>177</v>
      </c>
      <c r="B287" s="60" t="s">
        <v>174</v>
      </c>
      <c r="C287" s="60">
        <v>2</v>
      </c>
      <c r="D287" s="60">
        <v>40.021799999999999</v>
      </c>
      <c r="E287" s="60">
        <v>5150981.67</v>
      </c>
      <c r="F287" s="60">
        <v>56821627.810000002</v>
      </c>
    </row>
    <row r="288" spans="1:6" x14ac:dyDescent="0.25">
      <c r="A288" s="60" t="s">
        <v>177</v>
      </c>
      <c r="B288" s="60" t="s">
        <v>174</v>
      </c>
      <c r="C288" s="60">
        <v>3</v>
      </c>
      <c r="D288" s="60">
        <v>27.265499999999999</v>
      </c>
      <c r="E288" s="60">
        <v>5151011.67</v>
      </c>
      <c r="F288" s="60">
        <v>37165387.380000003</v>
      </c>
    </row>
    <row r="289" spans="1:6" x14ac:dyDescent="0.25">
      <c r="A289" s="60" t="s">
        <v>177</v>
      </c>
      <c r="B289" s="60" t="s">
        <v>174</v>
      </c>
      <c r="C289" s="60">
        <v>4</v>
      </c>
      <c r="D289" s="60">
        <v>45.589799999999997</v>
      </c>
      <c r="E289" s="60">
        <v>5151081.67</v>
      </c>
      <c r="F289" s="60">
        <v>53589637.609999999</v>
      </c>
    </row>
    <row r="290" spans="1:6" x14ac:dyDescent="0.25">
      <c r="A290" s="60" t="s">
        <v>177</v>
      </c>
      <c r="B290" s="60" t="s">
        <v>174</v>
      </c>
      <c r="C290" s="60">
        <v>5</v>
      </c>
      <c r="D290" s="60">
        <v>42.544800000000002</v>
      </c>
      <c r="E290" s="60">
        <v>5151081.67</v>
      </c>
      <c r="F290" s="60">
        <v>63144608.649999999</v>
      </c>
    </row>
    <row r="291" spans="1:6" x14ac:dyDescent="0.25">
      <c r="A291" s="60" t="s">
        <v>177</v>
      </c>
      <c r="B291" s="60" t="s">
        <v>174</v>
      </c>
      <c r="C291" s="60">
        <v>6</v>
      </c>
      <c r="D291" s="60">
        <v>40.670299999999997</v>
      </c>
      <c r="E291" s="60">
        <v>5151111.67</v>
      </c>
      <c r="F291" s="60">
        <v>47570155.850000001</v>
      </c>
    </row>
    <row r="292" spans="1:6" x14ac:dyDescent="0.25">
      <c r="A292" s="60" t="s">
        <v>177</v>
      </c>
      <c r="B292" s="60" t="s">
        <v>174</v>
      </c>
      <c r="C292" s="60">
        <v>7</v>
      </c>
      <c r="D292" s="60">
        <v>54.790300000000002</v>
      </c>
      <c r="E292" s="60">
        <v>5151051.67</v>
      </c>
      <c r="F292" s="60">
        <v>61290114.270000003</v>
      </c>
    </row>
    <row r="293" spans="1:6" x14ac:dyDescent="0.25">
      <c r="A293" s="60" t="s">
        <v>177</v>
      </c>
      <c r="B293" s="60" t="s">
        <v>174</v>
      </c>
      <c r="C293" s="60">
        <v>8</v>
      </c>
      <c r="D293" s="60">
        <v>36.565800000000003</v>
      </c>
      <c r="E293" s="60">
        <v>5150991.67</v>
      </c>
      <c r="F293" s="60">
        <v>44165666.159999996</v>
      </c>
    </row>
    <row r="294" spans="1:6" x14ac:dyDescent="0.25">
      <c r="A294" s="60" t="s">
        <v>177</v>
      </c>
      <c r="B294" s="60" t="s">
        <v>174</v>
      </c>
      <c r="C294" s="60">
        <v>9</v>
      </c>
      <c r="D294" s="60">
        <v>42.3369</v>
      </c>
      <c r="E294" s="60">
        <v>5151021.67</v>
      </c>
      <c r="F294" s="60">
        <v>51836742.920000002</v>
      </c>
    </row>
    <row r="295" spans="1:6" x14ac:dyDescent="0.25">
      <c r="A295" s="60" t="s">
        <v>177</v>
      </c>
      <c r="B295" s="60" t="s">
        <v>174</v>
      </c>
      <c r="C295" s="60">
        <v>10</v>
      </c>
      <c r="D295" s="60">
        <v>38.401600000000002</v>
      </c>
      <c r="E295" s="60">
        <v>5150951.67</v>
      </c>
      <c r="F295" s="60">
        <v>53501437.869999997</v>
      </c>
    </row>
    <row r="296" spans="1:6" x14ac:dyDescent="0.25">
      <c r="A296" s="60" t="s">
        <v>177</v>
      </c>
      <c r="B296" s="60" t="s">
        <v>174</v>
      </c>
      <c r="C296" s="60">
        <v>11</v>
      </c>
      <c r="D296" s="60">
        <v>27.805800000000001</v>
      </c>
      <c r="E296" s="60">
        <v>5150991.67</v>
      </c>
      <c r="F296" s="60">
        <v>37805685.439999998</v>
      </c>
    </row>
    <row r="297" spans="1:6" x14ac:dyDescent="0.25">
      <c r="A297" s="60" t="s">
        <v>177</v>
      </c>
      <c r="B297" s="60" t="s">
        <v>174</v>
      </c>
      <c r="C297" s="60">
        <v>12</v>
      </c>
      <c r="D297" s="60">
        <v>39.853999999999999</v>
      </c>
      <c r="E297" s="60">
        <v>5150931.67</v>
      </c>
      <c r="F297" s="60">
        <v>53253838.619999997</v>
      </c>
    </row>
    <row r="298" spans="1:6" x14ac:dyDescent="0.25">
      <c r="A298" s="60" t="s">
        <v>177</v>
      </c>
      <c r="B298" s="60" t="s">
        <v>174</v>
      </c>
      <c r="C298" s="60">
        <v>13</v>
      </c>
      <c r="D298" s="60">
        <v>42.346699999999998</v>
      </c>
      <c r="E298" s="60">
        <v>5151051.67</v>
      </c>
      <c r="F298" s="60">
        <v>51346544.399999999</v>
      </c>
    </row>
    <row r="299" spans="1:6" x14ac:dyDescent="0.25">
      <c r="A299" s="60" t="s">
        <v>177</v>
      </c>
      <c r="B299" s="60" t="s">
        <v>174</v>
      </c>
      <c r="C299" s="60">
        <v>15</v>
      </c>
      <c r="D299" s="60">
        <v>34.055700000000002</v>
      </c>
      <c r="E299" s="60">
        <v>5151091.67</v>
      </c>
      <c r="F299" s="60">
        <v>38655582.859999999</v>
      </c>
    </row>
    <row r="300" spans="1:6" x14ac:dyDescent="0.25">
      <c r="A300" s="60" t="s">
        <v>177</v>
      </c>
      <c r="B300" s="60" t="s">
        <v>174</v>
      </c>
      <c r="C300" s="60">
        <v>16</v>
      </c>
      <c r="D300" s="60">
        <v>15.2506</v>
      </c>
      <c r="E300" s="60">
        <v>5150981.67</v>
      </c>
      <c r="F300" s="60">
        <v>39650479.850000001</v>
      </c>
    </row>
    <row r="301" spans="1:6" x14ac:dyDescent="0.25">
      <c r="A301" s="60" t="s">
        <v>177</v>
      </c>
      <c r="B301" s="60" t="s">
        <v>174</v>
      </c>
      <c r="C301" s="60">
        <v>17</v>
      </c>
      <c r="D301" s="60">
        <v>38.398400000000002</v>
      </c>
      <c r="E301" s="60">
        <v>5150991.67</v>
      </c>
      <c r="F301" s="60">
        <v>51598243.640000001</v>
      </c>
    </row>
    <row r="302" spans="1:6" x14ac:dyDescent="0.25">
      <c r="A302" s="60" t="s">
        <v>177</v>
      </c>
      <c r="B302" s="60" t="s">
        <v>174</v>
      </c>
      <c r="C302" s="60">
        <v>18</v>
      </c>
      <c r="D302" s="60">
        <v>0</v>
      </c>
      <c r="E302" s="60">
        <v>5151141.67</v>
      </c>
      <c r="F302" s="60">
        <v>0</v>
      </c>
    </row>
    <row r="303" spans="1:6" x14ac:dyDescent="0.25">
      <c r="A303" s="60" t="s">
        <v>177</v>
      </c>
      <c r="B303" s="60" t="s">
        <v>174</v>
      </c>
      <c r="C303" s="60">
        <v>19</v>
      </c>
      <c r="D303" s="60">
        <v>31.635200000000001</v>
      </c>
      <c r="E303" s="60">
        <v>5151101.67</v>
      </c>
      <c r="F303" s="60">
        <v>38235184.140000001</v>
      </c>
    </row>
    <row r="304" spans="1:6" x14ac:dyDescent="0.25">
      <c r="A304" s="60" t="s">
        <v>177</v>
      </c>
      <c r="B304" s="60" t="s">
        <v>174</v>
      </c>
      <c r="C304" s="60">
        <v>20</v>
      </c>
      <c r="D304" s="60">
        <v>0</v>
      </c>
      <c r="E304" s="60">
        <v>5150891.67</v>
      </c>
      <c r="F304" s="60">
        <v>0</v>
      </c>
    </row>
    <row r="305" spans="1:6" x14ac:dyDescent="0.25">
      <c r="A305" s="60" t="s">
        <v>177</v>
      </c>
      <c r="B305" s="60" t="s">
        <v>174</v>
      </c>
      <c r="C305" s="60">
        <v>21</v>
      </c>
      <c r="D305" s="60">
        <v>30.971800000000002</v>
      </c>
      <c r="E305" s="60">
        <v>5150871.67</v>
      </c>
      <c r="F305" s="60">
        <v>41371674.630000003</v>
      </c>
    </row>
    <row r="306" spans="1:6" x14ac:dyDescent="0.25">
      <c r="A306" s="60" t="s">
        <v>177</v>
      </c>
      <c r="B306" s="60" t="s">
        <v>174</v>
      </c>
      <c r="C306" s="60">
        <v>22</v>
      </c>
      <c r="D306" s="60">
        <v>0</v>
      </c>
      <c r="E306" s="60">
        <v>5150891.67</v>
      </c>
      <c r="F306" s="60">
        <v>0</v>
      </c>
    </row>
    <row r="307" spans="1:6" x14ac:dyDescent="0.25">
      <c r="A307" s="60" t="s">
        <v>177</v>
      </c>
      <c r="B307" s="60" t="s">
        <v>174</v>
      </c>
      <c r="C307" s="60">
        <v>23</v>
      </c>
      <c r="D307" s="60">
        <v>34.234499999999997</v>
      </c>
      <c r="E307" s="60">
        <v>5151021.67</v>
      </c>
      <c r="F307" s="60">
        <v>53134338.990000002</v>
      </c>
    </row>
    <row r="308" spans="1:6" x14ac:dyDescent="0.25">
      <c r="A308" s="60" t="s">
        <v>177</v>
      </c>
      <c r="B308" s="60" t="s">
        <v>174</v>
      </c>
      <c r="C308" s="60">
        <v>24</v>
      </c>
      <c r="D308" s="60">
        <v>28.308599999999998</v>
      </c>
      <c r="E308" s="60">
        <v>5151061.67</v>
      </c>
      <c r="F308" s="60">
        <v>36808488.460000001</v>
      </c>
    </row>
    <row r="309" spans="1:6" x14ac:dyDescent="0.25">
      <c r="A309" s="60" t="s">
        <v>177</v>
      </c>
      <c r="B309" s="60" t="s">
        <v>174</v>
      </c>
      <c r="C309" s="60">
        <v>25</v>
      </c>
      <c r="D309" s="60">
        <v>32.555100000000003</v>
      </c>
      <c r="E309" s="60">
        <v>5150951.67</v>
      </c>
      <c r="F309" s="60">
        <v>41054975.590000004</v>
      </c>
    </row>
    <row r="310" spans="1:6" x14ac:dyDescent="0.25">
      <c r="A310" s="60" t="s">
        <v>177</v>
      </c>
      <c r="B310" s="60" t="s">
        <v>174</v>
      </c>
      <c r="C310" s="60">
        <v>26</v>
      </c>
      <c r="D310" s="60">
        <v>31.389800000000001</v>
      </c>
      <c r="E310" s="60">
        <v>5150911.67</v>
      </c>
      <c r="F310" s="60">
        <v>42189672.149999999</v>
      </c>
    </row>
    <row r="311" spans="1:6" x14ac:dyDescent="0.25">
      <c r="A311" s="60" t="s">
        <v>177</v>
      </c>
      <c r="B311" s="60" t="s">
        <v>174</v>
      </c>
      <c r="C311" s="60">
        <v>27</v>
      </c>
      <c r="D311" s="60">
        <v>32.407899999999998</v>
      </c>
      <c r="E311" s="60">
        <v>5151031.67</v>
      </c>
      <c r="F311" s="60">
        <v>44407765.43</v>
      </c>
    </row>
    <row r="312" spans="1:6" x14ac:dyDescent="0.25">
      <c r="A312" s="60" t="s">
        <v>177</v>
      </c>
      <c r="B312" s="60" t="s">
        <v>174</v>
      </c>
      <c r="C312" s="60">
        <v>28</v>
      </c>
      <c r="D312" s="60">
        <v>0</v>
      </c>
      <c r="E312" s="60">
        <v>5151111.67</v>
      </c>
      <c r="F312" s="60">
        <v>0</v>
      </c>
    </row>
    <row r="313" spans="1:6" x14ac:dyDescent="0.25">
      <c r="A313" s="60" t="s">
        <v>177</v>
      </c>
      <c r="B313" s="60" t="s">
        <v>174</v>
      </c>
      <c r="C313" s="60">
        <v>29</v>
      </c>
      <c r="D313" s="60">
        <v>38.258699999999997</v>
      </c>
      <c r="E313" s="60">
        <v>5150961.67</v>
      </c>
      <c r="F313" s="60">
        <v>51258544.670000002</v>
      </c>
    </row>
    <row r="314" spans="1:6" x14ac:dyDescent="0.25">
      <c r="A314" s="60" t="s">
        <v>177</v>
      </c>
      <c r="B314" s="60" t="s">
        <v>174</v>
      </c>
      <c r="C314" s="60">
        <v>30</v>
      </c>
      <c r="D314" s="60">
        <v>35.773000000000003</v>
      </c>
      <c r="E314" s="60">
        <v>5151041.67</v>
      </c>
      <c r="F314" s="60">
        <v>54272835.539999999</v>
      </c>
    </row>
    <row r="315" spans="1:6" x14ac:dyDescent="0.25">
      <c r="A315" s="60" t="s">
        <v>177</v>
      </c>
      <c r="B315" s="60" t="s">
        <v>174</v>
      </c>
      <c r="C315" s="60">
        <v>32</v>
      </c>
      <c r="D315" s="60">
        <v>33.438299999999998</v>
      </c>
      <c r="E315" s="60">
        <v>5150901.67</v>
      </c>
      <c r="F315" s="60">
        <v>43438168.369999997</v>
      </c>
    </row>
    <row r="316" spans="1:6" x14ac:dyDescent="0.25">
      <c r="A316" s="60" t="s">
        <v>177</v>
      </c>
      <c r="B316" s="60" t="s">
        <v>174</v>
      </c>
      <c r="C316" s="60">
        <v>33</v>
      </c>
      <c r="D316" s="60">
        <v>21.397500000000001</v>
      </c>
      <c r="E316" s="60">
        <v>5150931.67</v>
      </c>
      <c r="F316" s="60">
        <v>41297374.859999999</v>
      </c>
    </row>
    <row r="317" spans="1:6" x14ac:dyDescent="0.25">
      <c r="A317" s="60" t="s">
        <v>177</v>
      </c>
      <c r="B317" s="60" t="s">
        <v>174</v>
      </c>
      <c r="C317" s="60">
        <v>34</v>
      </c>
      <c r="D317" s="60">
        <v>22.7133</v>
      </c>
      <c r="E317" s="60">
        <v>5150971.67</v>
      </c>
      <c r="F317" s="60">
        <v>41513174.200000003</v>
      </c>
    </row>
    <row r="318" spans="1:6" x14ac:dyDescent="0.25">
      <c r="A318" s="60" t="s">
        <v>177</v>
      </c>
      <c r="B318" s="60" t="s">
        <v>174</v>
      </c>
      <c r="C318" s="60">
        <v>35</v>
      </c>
      <c r="D318" s="60">
        <v>0</v>
      </c>
      <c r="E318" s="60">
        <v>5151171.67</v>
      </c>
      <c r="F318" s="60">
        <v>0</v>
      </c>
    </row>
    <row r="319" spans="1:6" x14ac:dyDescent="0.25">
      <c r="A319" s="60" t="s">
        <v>177</v>
      </c>
      <c r="B319" s="60" t="s">
        <v>174</v>
      </c>
      <c r="C319" s="60">
        <v>36</v>
      </c>
      <c r="D319" s="60">
        <v>40.706400000000002</v>
      </c>
      <c r="E319" s="60">
        <v>5150921.67</v>
      </c>
      <c r="F319" s="60">
        <v>48306253.619999997</v>
      </c>
    </row>
    <row r="320" spans="1:6" x14ac:dyDescent="0.25">
      <c r="A320" s="60" t="s">
        <v>172</v>
      </c>
      <c r="B320" s="60" t="s">
        <v>171</v>
      </c>
      <c r="C320" s="60">
        <v>1</v>
      </c>
      <c r="D320" s="60">
        <v>45.839199999999998</v>
      </c>
      <c r="E320" s="60">
        <v>530675</v>
      </c>
      <c r="F320" s="60">
        <v>5158485</v>
      </c>
    </row>
    <row r="321" spans="1:6" x14ac:dyDescent="0.25">
      <c r="A321" s="60" t="s">
        <v>172</v>
      </c>
      <c r="B321" s="60" t="s">
        <v>171</v>
      </c>
      <c r="C321" s="60">
        <v>2</v>
      </c>
      <c r="D321" s="60">
        <v>35.614199999999997</v>
      </c>
      <c r="E321" s="60">
        <v>530725</v>
      </c>
      <c r="F321" s="60">
        <v>5158425</v>
      </c>
    </row>
    <row r="322" spans="1:6" x14ac:dyDescent="0.25">
      <c r="A322" s="60" t="s">
        <v>172</v>
      </c>
      <c r="B322" s="60" t="s">
        <v>171</v>
      </c>
      <c r="C322" s="60">
        <v>3</v>
      </c>
      <c r="D322" s="60">
        <v>45.413400000000003</v>
      </c>
      <c r="E322" s="60">
        <v>530885</v>
      </c>
      <c r="F322" s="60">
        <v>5158365</v>
      </c>
    </row>
    <row r="323" spans="1:6" x14ac:dyDescent="0.25">
      <c r="A323" s="60" t="s">
        <v>172</v>
      </c>
      <c r="B323" s="60" t="s">
        <v>171</v>
      </c>
      <c r="C323" s="60">
        <v>4</v>
      </c>
      <c r="D323" s="60">
        <v>39.043500000000002</v>
      </c>
      <c r="E323" s="60">
        <v>530945</v>
      </c>
      <c r="F323" s="60">
        <v>5158325</v>
      </c>
    </row>
    <row r="324" spans="1:6" x14ac:dyDescent="0.25">
      <c r="A324" s="60" t="s">
        <v>172</v>
      </c>
      <c r="B324" s="60" t="s">
        <v>171</v>
      </c>
      <c r="C324" s="60">
        <v>5</v>
      </c>
      <c r="D324" s="60">
        <v>41.862000000000002</v>
      </c>
      <c r="E324" s="60">
        <v>531065</v>
      </c>
      <c r="F324" s="60">
        <v>5158285</v>
      </c>
    </row>
    <row r="325" spans="1:6" x14ac:dyDescent="0.25">
      <c r="A325" s="60" t="s">
        <v>172</v>
      </c>
      <c r="B325" s="60" t="s">
        <v>171</v>
      </c>
      <c r="C325" s="60">
        <v>6</v>
      </c>
      <c r="D325" s="60">
        <v>36.033799999999999</v>
      </c>
      <c r="E325" s="60">
        <v>531175</v>
      </c>
      <c r="F325" s="60">
        <v>5158305</v>
      </c>
    </row>
    <row r="326" spans="1:6" x14ac:dyDescent="0.25">
      <c r="A326" s="60" t="s">
        <v>172</v>
      </c>
      <c r="B326" s="60" t="s">
        <v>171</v>
      </c>
      <c r="C326" s="60">
        <v>7</v>
      </c>
      <c r="D326" s="60">
        <v>35.777500000000003</v>
      </c>
      <c r="E326" s="60">
        <v>531255</v>
      </c>
      <c r="F326" s="60">
        <v>5158375</v>
      </c>
    </row>
    <row r="327" spans="1:6" x14ac:dyDescent="0.25">
      <c r="A327" s="60" t="s">
        <v>172</v>
      </c>
      <c r="B327" s="60" t="s">
        <v>171</v>
      </c>
      <c r="C327" s="60">
        <v>8</v>
      </c>
      <c r="D327" s="60">
        <v>35.919800000000002</v>
      </c>
      <c r="E327" s="60">
        <v>531135</v>
      </c>
      <c r="F327" s="60">
        <v>5158375</v>
      </c>
    </row>
    <row r="328" spans="1:6" x14ac:dyDescent="0.25">
      <c r="A328" s="60" t="s">
        <v>172</v>
      </c>
      <c r="B328" s="60" t="s">
        <v>171</v>
      </c>
      <c r="C328" s="60">
        <v>9</v>
      </c>
      <c r="D328" s="60">
        <v>38.0062</v>
      </c>
      <c r="E328" s="60">
        <v>531145</v>
      </c>
      <c r="F328" s="60">
        <v>5158415</v>
      </c>
    </row>
    <row r="329" spans="1:6" x14ac:dyDescent="0.25">
      <c r="A329" s="60" t="s">
        <v>172</v>
      </c>
      <c r="B329" s="60" t="s">
        <v>171</v>
      </c>
      <c r="C329" s="60">
        <v>10</v>
      </c>
      <c r="D329" s="60">
        <v>43.205500000000001</v>
      </c>
      <c r="E329" s="60">
        <v>530985</v>
      </c>
      <c r="F329" s="60">
        <v>5158435</v>
      </c>
    </row>
    <row r="330" spans="1:6" x14ac:dyDescent="0.25">
      <c r="A330" s="60" t="s">
        <v>172</v>
      </c>
      <c r="B330" s="60" t="s">
        <v>171</v>
      </c>
      <c r="C330" s="60">
        <v>11</v>
      </c>
      <c r="D330" s="60">
        <v>43.816000000000003</v>
      </c>
      <c r="E330" s="60">
        <v>530835</v>
      </c>
      <c r="F330" s="60">
        <v>5158505</v>
      </c>
    </row>
    <row r="331" spans="1:6" x14ac:dyDescent="0.25">
      <c r="A331" s="60" t="s">
        <v>172</v>
      </c>
      <c r="B331" s="60" t="s">
        <v>171</v>
      </c>
      <c r="C331" s="60">
        <v>12</v>
      </c>
      <c r="D331" s="60">
        <v>40.614600000000003</v>
      </c>
      <c r="E331" s="60">
        <v>530795</v>
      </c>
      <c r="F331" s="60">
        <v>5158445</v>
      </c>
    </row>
    <row r="332" spans="1:6" x14ac:dyDescent="0.25">
      <c r="A332" s="60" t="s">
        <v>172</v>
      </c>
      <c r="B332" s="60" t="s">
        <v>171</v>
      </c>
      <c r="C332" s="60">
        <v>13</v>
      </c>
      <c r="D332" s="60">
        <v>41.0212</v>
      </c>
      <c r="E332" s="60">
        <v>531035</v>
      </c>
      <c r="F332" s="60">
        <v>5158355</v>
      </c>
    </row>
    <row r="333" spans="1:6" x14ac:dyDescent="0.25">
      <c r="A333" s="60" t="s">
        <v>172</v>
      </c>
      <c r="B333" s="60" t="s">
        <v>171</v>
      </c>
      <c r="C333" s="60">
        <v>14</v>
      </c>
      <c r="D333" s="60">
        <v>0</v>
      </c>
      <c r="E333" s="60">
        <v>531075</v>
      </c>
      <c r="F333" s="60">
        <v>5158425</v>
      </c>
    </row>
    <row r="334" spans="1:6" x14ac:dyDescent="0.25">
      <c r="A334" s="60" t="s">
        <v>172</v>
      </c>
      <c r="B334" s="60" t="s">
        <v>171</v>
      </c>
      <c r="C334" s="60">
        <v>15</v>
      </c>
      <c r="D334" s="60">
        <v>38.974899999999998</v>
      </c>
      <c r="E334" s="60">
        <v>530925</v>
      </c>
      <c r="F334" s="60">
        <v>5158405</v>
      </c>
    </row>
    <row r="335" spans="1:6" x14ac:dyDescent="0.25">
      <c r="A335" s="60" t="s">
        <v>172</v>
      </c>
      <c r="B335" s="60" t="s">
        <v>171</v>
      </c>
      <c r="C335" s="60">
        <v>16</v>
      </c>
      <c r="D335" s="60">
        <v>44.200699999999998</v>
      </c>
      <c r="E335" s="60">
        <v>530895</v>
      </c>
      <c r="F335" s="60">
        <v>5158505</v>
      </c>
    </row>
    <row r="336" spans="1:6" x14ac:dyDescent="0.25">
      <c r="A336" s="60" t="s">
        <v>172</v>
      </c>
      <c r="B336" s="60" t="s">
        <v>171</v>
      </c>
      <c r="C336" s="60">
        <v>17</v>
      </c>
      <c r="D336" s="60">
        <v>40.673900000000003</v>
      </c>
      <c r="E336" s="60">
        <v>530765</v>
      </c>
      <c r="F336" s="60">
        <v>5158525</v>
      </c>
    </row>
    <row r="337" spans="1:6" x14ac:dyDescent="0.25">
      <c r="A337" s="60" t="s">
        <v>172</v>
      </c>
      <c r="B337" s="60" t="s">
        <v>171</v>
      </c>
      <c r="C337" s="60">
        <v>18</v>
      </c>
      <c r="D337" s="60">
        <v>42.364699999999999</v>
      </c>
      <c r="E337" s="60">
        <v>530825</v>
      </c>
      <c r="F337" s="60">
        <v>5158385</v>
      </c>
    </row>
    <row r="338" spans="1:6" x14ac:dyDescent="0.25">
      <c r="A338" s="60" t="s">
        <v>172</v>
      </c>
      <c r="B338" s="60" t="s">
        <v>171</v>
      </c>
      <c r="C338" s="60">
        <v>19</v>
      </c>
      <c r="D338" s="60">
        <v>48.3142</v>
      </c>
      <c r="E338" s="60">
        <v>530995</v>
      </c>
      <c r="F338" s="60">
        <v>5158255</v>
      </c>
    </row>
    <row r="339" spans="1:6" x14ac:dyDescent="0.25">
      <c r="A339" s="60" t="s">
        <v>172</v>
      </c>
      <c r="B339" s="60" t="s">
        <v>171</v>
      </c>
      <c r="C339" s="60">
        <v>20</v>
      </c>
      <c r="D339" s="60">
        <v>37.745100000000001</v>
      </c>
      <c r="E339" s="60">
        <v>530665</v>
      </c>
      <c r="F339" s="60">
        <v>5158425</v>
      </c>
    </row>
    <row r="340" spans="1:6" x14ac:dyDescent="0.25">
      <c r="A340" s="60" t="s">
        <v>172</v>
      </c>
      <c r="B340" s="60" t="s">
        <v>171</v>
      </c>
      <c r="C340" s="60">
        <v>21</v>
      </c>
      <c r="D340" s="60">
        <v>35.092100000000002</v>
      </c>
      <c r="E340" s="60">
        <v>530975</v>
      </c>
      <c r="F340" s="60">
        <v>5158365</v>
      </c>
    </row>
    <row r="341" spans="1:6" x14ac:dyDescent="0.25">
      <c r="A341" s="60" t="s">
        <v>172</v>
      </c>
      <c r="B341" s="60" t="s">
        <v>171</v>
      </c>
      <c r="C341" s="60">
        <v>22</v>
      </c>
      <c r="D341" s="60">
        <v>42.873399999999997</v>
      </c>
      <c r="E341" s="60">
        <v>531185</v>
      </c>
      <c r="F341" s="60">
        <v>5158375</v>
      </c>
    </row>
    <row r="342" spans="1:6" x14ac:dyDescent="0.25">
      <c r="A342" s="60" t="s">
        <v>172</v>
      </c>
      <c r="B342" s="60" t="s">
        <v>171</v>
      </c>
      <c r="C342" s="60">
        <v>23</v>
      </c>
      <c r="D342" s="60">
        <v>32.831000000000003</v>
      </c>
      <c r="E342" s="60">
        <v>530695</v>
      </c>
      <c r="F342" s="60">
        <v>5158545</v>
      </c>
    </row>
    <row r="343" spans="1:6" x14ac:dyDescent="0.25">
      <c r="A343" s="60" t="s">
        <v>172</v>
      </c>
      <c r="B343" s="60" t="s">
        <v>171</v>
      </c>
      <c r="C343" s="60">
        <v>24</v>
      </c>
      <c r="D343" s="60">
        <v>46.558700000000002</v>
      </c>
      <c r="E343" s="60">
        <v>530855</v>
      </c>
      <c r="F343" s="60">
        <v>5158435</v>
      </c>
    </row>
    <row r="344" spans="1:6" x14ac:dyDescent="0.25">
      <c r="A344" s="60" t="s">
        <v>172</v>
      </c>
      <c r="B344" s="60" t="s">
        <v>171</v>
      </c>
      <c r="C344" s="60">
        <v>25</v>
      </c>
      <c r="D344" s="60">
        <v>36.441299999999998</v>
      </c>
      <c r="E344" s="60">
        <v>531125</v>
      </c>
      <c r="F344" s="60">
        <v>5158315</v>
      </c>
    </row>
    <row r="345" spans="1:6" x14ac:dyDescent="0.25">
      <c r="A345" s="60" t="s">
        <v>172</v>
      </c>
      <c r="B345" s="60" t="s">
        <v>171</v>
      </c>
      <c r="C345" s="60">
        <v>26</v>
      </c>
      <c r="D345" s="60">
        <v>46.467500000000001</v>
      </c>
      <c r="E345" s="60">
        <v>531005</v>
      </c>
      <c r="F345" s="60">
        <v>5158305</v>
      </c>
    </row>
    <row r="346" spans="1:6" x14ac:dyDescent="0.25">
      <c r="A346" s="60" t="s">
        <v>172</v>
      </c>
      <c r="B346" s="60" t="s">
        <v>171</v>
      </c>
      <c r="C346" s="60">
        <v>27</v>
      </c>
      <c r="D346" s="60">
        <v>49.962800000000001</v>
      </c>
      <c r="E346" s="60">
        <v>530935</v>
      </c>
      <c r="F346" s="60">
        <v>5158465</v>
      </c>
    </row>
    <row r="347" spans="1:6" x14ac:dyDescent="0.25">
      <c r="A347" s="60" t="s">
        <v>172</v>
      </c>
      <c r="B347" s="60" t="s">
        <v>171</v>
      </c>
      <c r="C347" s="60">
        <v>28</v>
      </c>
      <c r="D347" s="60">
        <v>34.5426</v>
      </c>
      <c r="E347" s="60">
        <v>530725</v>
      </c>
      <c r="F347" s="60">
        <v>5158485</v>
      </c>
    </row>
    <row r="348" spans="1:6" x14ac:dyDescent="0.25">
      <c r="A348" s="60" t="s">
        <v>172</v>
      </c>
      <c r="B348" s="60" t="s">
        <v>171</v>
      </c>
      <c r="C348" s="60">
        <v>29</v>
      </c>
      <c r="D348" s="60">
        <v>48.294800000000002</v>
      </c>
      <c r="E348" s="60">
        <v>531045</v>
      </c>
      <c r="F348" s="60">
        <v>5158245</v>
      </c>
    </row>
    <row r="349" spans="1:6" x14ac:dyDescent="0.25">
      <c r="A349" s="60" t="s">
        <v>172</v>
      </c>
      <c r="B349" s="60" t="s">
        <v>171</v>
      </c>
      <c r="C349" s="60">
        <v>30</v>
      </c>
      <c r="D349" s="60">
        <v>0</v>
      </c>
      <c r="E349" s="60">
        <v>530765</v>
      </c>
      <c r="F349" s="60">
        <v>5158385</v>
      </c>
    </row>
    <row r="350" spans="1:6" x14ac:dyDescent="0.25">
      <c r="A350" s="60" t="s">
        <v>172</v>
      </c>
      <c r="B350" s="60" t="s">
        <v>171</v>
      </c>
      <c r="C350" s="60">
        <v>31</v>
      </c>
      <c r="D350" s="60">
        <v>54.798400000000001</v>
      </c>
      <c r="E350" s="60">
        <v>531115</v>
      </c>
      <c r="F350" s="60">
        <v>5158265</v>
      </c>
    </row>
    <row r="351" spans="1:6" x14ac:dyDescent="0.25">
      <c r="A351" s="60" t="s">
        <v>172</v>
      </c>
      <c r="B351" s="60" t="s">
        <v>171</v>
      </c>
      <c r="C351" s="60">
        <v>32</v>
      </c>
      <c r="D351" s="60">
        <v>58.431600000000003</v>
      </c>
      <c r="E351" s="60">
        <v>531035</v>
      </c>
      <c r="F351" s="60">
        <v>5158405</v>
      </c>
    </row>
    <row r="352" spans="1:6" x14ac:dyDescent="0.25">
      <c r="A352" s="60" t="s">
        <v>172</v>
      </c>
      <c r="B352" s="60" t="s">
        <v>171</v>
      </c>
      <c r="C352" s="60">
        <v>33</v>
      </c>
      <c r="D352" s="60">
        <v>38.622300000000003</v>
      </c>
      <c r="E352" s="60">
        <v>531085</v>
      </c>
      <c r="F352" s="60">
        <v>5158365</v>
      </c>
    </row>
    <row r="353" spans="1:6" x14ac:dyDescent="0.25">
      <c r="A353" s="60" t="s">
        <v>172</v>
      </c>
      <c r="B353" s="60" t="s">
        <v>171</v>
      </c>
      <c r="C353" s="60">
        <v>34</v>
      </c>
      <c r="D353" s="60">
        <v>38.632399999999997</v>
      </c>
      <c r="E353" s="60">
        <v>530775</v>
      </c>
      <c r="F353" s="60">
        <v>5158485</v>
      </c>
    </row>
    <row r="354" spans="1:6" x14ac:dyDescent="0.25">
      <c r="A354" s="60" t="s">
        <v>172</v>
      </c>
      <c r="B354" s="60" t="s">
        <v>171</v>
      </c>
      <c r="C354" s="60">
        <v>35</v>
      </c>
      <c r="D354" s="60">
        <v>45.189900000000002</v>
      </c>
      <c r="E354" s="60">
        <v>530805</v>
      </c>
      <c r="F354" s="60">
        <v>5158535</v>
      </c>
    </row>
    <row r="355" spans="1:6" x14ac:dyDescent="0.25">
      <c r="A355" s="60" t="s">
        <v>172</v>
      </c>
      <c r="B355" s="60" t="s">
        <v>171</v>
      </c>
      <c r="C355" s="60">
        <v>36</v>
      </c>
      <c r="D355" s="60">
        <v>39.215600000000002</v>
      </c>
      <c r="E355" s="60">
        <v>530935</v>
      </c>
      <c r="F355" s="60">
        <v>5158365</v>
      </c>
    </row>
    <row r="356" spans="1:6" x14ac:dyDescent="0.25">
      <c r="A356" s="60" t="s">
        <v>172</v>
      </c>
      <c r="B356" s="60" t="s">
        <v>175</v>
      </c>
      <c r="C356" s="60">
        <v>1</v>
      </c>
      <c r="D356" s="60">
        <v>16.190899999999999</v>
      </c>
      <c r="E356" s="60">
        <v>530675</v>
      </c>
      <c r="F356" s="60">
        <v>5158485</v>
      </c>
    </row>
    <row r="357" spans="1:6" x14ac:dyDescent="0.25">
      <c r="A357" s="60" t="s">
        <v>172</v>
      </c>
      <c r="B357" s="60" t="s">
        <v>175</v>
      </c>
      <c r="C357" s="60">
        <v>2</v>
      </c>
      <c r="D357" s="60">
        <v>11.252000000000001</v>
      </c>
      <c r="E357" s="60">
        <v>530725</v>
      </c>
      <c r="F357" s="60">
        <v>5158425</v>
      </c>
    </row>
    <row r="358" spans="1:6" x14ac:dyDescent="0.25">
      <c r="A358" s="60" t="s">
        <v>172</v>
      </c>
      <c r="B358" s="60" t="s">
        <v>175</v>
      </c>
      <c r="C358" s="60">
        <v>3</v>
      </c>
      <c r="D358" s="60">
        <v>18.1721</v>
      </c>
      <c r="E358" s="60">
        <v>530885</v>
      </c>
      <c r="F358" s="60">
        <v>5158365</v>
      </c>
    </row>
    <row r="359" spans="1:6" x14ac:dyDescent="0.25">
      <c r="A359" s="60" t="s">
        <v>172</v>
      </c>
      <c r="B359" s="60" t="s">
        <v>175</v>
      </c>
      <c r="C359" s="60">
        <v>4</v>
      </c>
      <c r="D359" s="60">
        <v>17.0519</v>
      </c>
      <c r="E359" s="60">
        <v>530945</v>
      </c>
      <c r="F359" s="60">
        <v>5158325</v>
      </c>
    </row>
    <row r="360" spans="1:6" x14ac:dyDescent="0.25">
      <c r="A360" s="60" t="s">
        <v>172</v>
      </c>
      <c r="B360" s="60" t="s">
        <v>175</v>
      </c>
      <c r="C360" s="60">
        <v>5</v>
      </c>
      <c r="D360" s="60">
        <v>15.047700000000001</v>
      </c>
      <c r="E360" s="60">
        <v>531065</v>
      </c>
      <c r="F360" s="60">
        <v>5158285</v>
      </c>
    </row>
    <row r="361" spans="1:6" x14ac:dyDescent="0.25">
      <c r="A361" s="60" t="s">
        <v>172</v>
      </c>
      <c r="B361" s="60" t="s">
        <v>175</v>
      </c>
      <c r="C361" s="60">
        <v>6</v>
      </c>
      <c r="D361" s="60">
        <v>9.6127000000000002</v>
      </c>
      <c r="E361" s="60">
        <v>531175</v>
      </c>
      <c r="F361" s="60">
        <v>5158305</v>
      </c>
    </row>
    <row r="362" spans="1:6" x14ac:dyDescent="0.25">
      <c r="A362" s="60" t="s">
        <v>172</v>
      </c>
      <c r="B362" s="60" t="s">
        <v>175</v>
      </c>
      <c r="C362" s="60">
        <v>7</v>
      </c>
      <c r="D362" s="60">
        <v>14.155099999999999</v>
      </c>
      <c r="E362" s="60">
        <v>531255</v>
      </c>
      <c r="F362" s="60">
        <v>5158375</v>
      </c>
    </row>
    <row r="363" spans="1:6" x14ac:dyDescent="0.25">
      <c r="A363" s="60" t="s">
        <v>172</v>
      </c>
      <c r="B363" s="60" t="s">
        <v>175</v>
      </c>
      <c r="C363" s="60">
        <v>8</v>
      </c>
      <c r="D363" s="60">
        <v>17.592099999999999</v>
      </c>
      <c r="E363" s="60">
        <v>531135</v>
      </c>
      <c r="F363" s="60">
        <v>5158375</v>
      </c>
    </row>
    <row r="364" spans="1:6" x14ac:dyDescent="0.25">
      <c r="A364" s="60" t="s">
        <v>172</v>
      </c>
      <c r="B364" s="60" t="s">
        <v>175</v>
      </c>
      <c r="C364" s="60">
        <v>9</v>
      </c>
      <c r="D364" s="60">
        <v>6.0487000000000002</v>
      </c>
      <c r="E364" s="60">
        <v>531145</v>
      </c>
      <c r="F364" s="60">
        <v>5158415</v>
      </c>
    </row>
    <row r="365" spans="1:6" x14ac:dyDescent="0.25">
      <c r="A365" s="60" t="s">
        <v>172</v>
      </c>
      <c r="B365" s="60" t="s">
        <v>175</v>
      </c>
      <c r="C365" s="60">
        <v>10</v>
      </c>
      <c r="D365" s="60">
        <v>10.9008</v>
      </c>
      <c r="E365" s="60">
        <v>530985</v>
      </c>
      <c r="F365" s="60">
        <v>5158435</v>
      </c>
    </row>
    <row r="366" spans="1:6" x14ac:dyDescent="0.25">
      <c r="A366" s="60" t="s">
        <v>172</v>
      </c>
      <c r="B366" s="60" t="s">
        <v>175</v>
      </c>
      <c r="C366" s="60">
        <v>11</v>
      </c>
      <c r="D366" s="60">
        <v>11.085100000000001</v>
      </c>
      <c r="E366" s="60">
        <v>530835</v>
      </c>
      <c r="F366" s="60">
        <v>5158505</v>
      </c>
    </row>
    <row r="367" spans="1:6" x14ac:dyDescent="0.25">
      <c r="A367" s="60" t="s">
        <v>172</v>
      </c>
      <c r="B367" s="60" t="s">
        <v>175</v>
      </c>
      <c r="C367" s="60">
        <v>12</v>
      </c>
      <c r="D367" s="60">
        <v>15.028700000000001</v>
      </c>
      <c r="E367" s="60">
        <v>530795</v>
      </c>
      <c r="F367" s="60">
        <v>5158445</v>
      </c>
    </row>
    <row r="368" spans="1:6" x14ac:dyDescent="0.25">
      <c r="A368" s="60" t="s">
        <v>172</v>
      </c>
      <c r="B368" s="60" t="s">
        <v>175</v>
      </c>
      <c r="C368" s="60">
        <v>13</v>
      </c>
      <c r="D368" s="60">
        <v>15.529500000000001</v>
      </c>
      <c r="E368" s="60">
        <v>531035</v>
      </c>
      <c r="F368" s="60">
        <v>5158355</v>
      </c>
    </row>
    <row r="369" spans="1:6" x14ac:dyDescent="0.25">
      <c r="A369" s="60" t="s">
        <v>172</v>
      </c>
      <c r="B369" s="60" t="s">
        <v>175</v>
      </c>
      <c r="C369" s="60">
        <v>14</v>
      </c>
      <c r="D369" s="60">
        <v>0</v>
      </c>
      <c r="E369" s="60">
        <v>531075</v>
      </c>
      <c r="F369" s="60">
        <v>5158425</v>
      </c>
    </row>
    <row r="370" spans="1:6" x14ac:dyDescent="0.25">
      <c r="A370" s="60" t="s">
        <v>172</v>
      </c>
      <c r="B370" s="60" t="s">
        <v>175</v>
      </c>
      <c r="C370" s="60">
        <v>15</v>
      </c>
      <c r="D370" s="60">
        <v>8.5992999999999995</v>
      </c>
      <c r="E370" s="60">
        <v>530925</v>
      </c>
      <c r="F370" s="60">
        <v>5158405</v>
      </c>
    </row>
    <row r="371" spans="1:6" x14ac:dyDescent="0.25">
      <c r="A371" s="60" t="s">
        <v>172</v>
      </c>
      <c r="B371" s="60" t="s">
        <v>175</v>
      </c>
      <c r="C371" s="60">
        <v>16</v>
      </c>
      <c r="D371" s="60">
        <v>12.897500000000001</v>
      </c>
      <c r="E371" s="60">
        <v>530895</v>
      </c>
      <c r="F371" s="60">
        <v>5158505</v>
      </c>
    </row>
    <row r="372" spans="1:6" x14ac:dyDescent="0.25">
      <c r="A372" s="60" t="s">
        <v>172</v>
      </c>
      <c r="B372" s="60" t="s">
        <v>175</v>
      </c>
      <c r="C372" s="60">
        <v>17</v>
      </c>
      <c r="D372" s="60">
        <v>3.9129999999999998</v>
      </c>
      <c r="E372" s="60">
        <v>530765</v>
      </c>
      <c r="F372" s="60">
        <v>5158525</v>
      </c>
    </row>
    <row r="373" spans="1:6" x14ac:dyDescent="0.25">
      <c r="A373" s="60" t="s">
        <v>172</v>
      </c>
      <c r="B373" s="60" t="s">
        <v>175</v>
      </c>
      <c r="C373" s="60">
        <v>18</v>
      </c>
      <c r="D373" s="60">
        <v>10.8759</v>
      </c>
      <c r="E373" s="60">
        <v>530825</v>
      </c>
      <c r="F373" s="60">
        <v>5158385</v>
      </c>
    </row>
    <row r="374" spans="1:6" x14ac:dyDescent="0.25">
      <c r="A374" s="60" t="s">
        <v>172</v>
      </c>
      <c r="B374" s="60" t="s">
        <v>175</v>
      </c>
      <c r="C374" s="60">
        <v>19</v>
      </c>
      <c r="D374" s="60">
        <v>21.922899999999998</v>
      </c>
      <c r="E374" s="60">
        <v>530995</v>
      </c>
      <c r="F374" s="60">
        <v>5158255</v>
      </c>
    </row>
    <row r="375" spans="1:6" x14ac:dyDescent="0.25">
      <c r="A375" s="60" t="s">
        <v>172</v>
      </c>
      <c r="B375" s="60" t="s">
        <v>175</v>
      </c>
      <c r="C375" s="60">
        <v>20</v>
      </c>
      <c r="D375" s="60">
        <v>5.4473000000000003</v>
      </c>
      <c r="E375" s="60">
        <v>530665</v>
      </c>
      <c r="F375" s="60">
        <v>5158425</v>
      </c>
    </row>
    <row r="376" spans="1:6" x14ac:dyDescent="0.25">
      <c r="A376" s="60" t="s">
        <v>172</v>
      </c>
      <c r="B376" s="60" t="s">
        <v>175</v>
      </c>
      <c r="C376" s="60">
        <v>21</v>
      </c>
      <c r="D376" s="60">
        <v>9.3633000000000006</v>
      </c>
      <c r="E376" s="60">
        <v>530975</v>
      </c>
      <c r="F376" s="60">
        <v>5158365</v>
      </c>
    </row>
    <row r="377" spans="1:6" x14ac:dyDescent="0.25">
      <c r="A377" s="60" t="s">
        <v>172</v>
      </c>
      <c r="B377" s="60" t="s">
        <v>175</v>
      </c>
      <c r="C377" s="60">
        <v>22</v>
      </c>
      <c r="D377" s="60">
        <v>19.058800000000002</v>
      </c>
      <c r="E377" s="60">
        <v>531185</v>
      </c>
      <c r="F377" s="60">
        <v>5158375</v>
      </c>
    </row>
    <row r="378" spans="1:6" x14ac:dyDescent="0.25">
      <c r="A378" s="60" t="s">
        <v>172</v>
      </c>
      <c r="B378" s="60" t="s">
        <v>175</v>
      </c>
      <c r="C378" s="60">
        <v>23</v>
      </c>
      <c r="D378" s="60">
        <v>3.8948999999999998</v>
      </c>
      <c r="E378" s="60">
        <v>530695</v>
      </c>
      <c r="F378" s="60">
        <v>5158545</v>
      </c>
    </row>
    <row r="379" spans="1:6" x14ac:dyDescent="0.25">
      <c r="A379" s="60" t="s">
        <v>172</v>
      </c>
      <c r="B379" s="60" t="s">
        <v>175</v>
      </c>
      <c r="C379" s="60">
        <v>24</v>
      </c>
      <c r="D379" s="60">
        <v>14.484400000000001</v>
      </c>
      <c r="E379" s="60">
        <v>530855</v>
      </c>
      <c r="F379" s="60">
        <v>5158435</v>
      </c>
    </row>
    <row r="380" spans="1:6" x14ac:dyDescent="0.25">
      <c r="A380" s="60" t="s">
        <v>172</v>
      </c>
      <c r="B380" s="60" t="s">
        <v>175</v>
      </c>
      <c r="C380" s="60">
        <v>25</v>
      </c>
      <c r="D380" s="60">
        <v>13.3634</v>
      </c>
      <c r="E380" s="60">
        <v>531125</v>
      </c>
      <c r="F380" s="60">
        <v>5158315</v>
      </c>
    </row>
    <row r="381" spans="1:6" x14ac:dyDescent="0.25">
      <c r="A381" s="60" t="s">
        <v>172</v>
      </c>
      <c r="B381" s="60" t="s">
        <v>175</v>
      </c>
      <c r="C381" s="60">
        <v>26</v>
      </c>
      <c r="D381" s="60">
        <v>16.0959</v>
      </c>
      <c r="E381" s="60">
        <v>531005</v>
      </c>
      <c r="F381" s="60">
        <v>5158305</v>
      </c>
    </row>
    <row r="382" spans="1:6" x14ac:dyDescent="0.25">
      <c r="A382" s="60" t="s">
        <v>172</v>
      </c>
      <c r="B382" s="60" t="s">
        <v>175</v>
      </c>
      <c r="C382" s="60">
        <v>27</v>
      </c>
      <c r="D382" s="60">
        <v>16.722899999999999</v>
      </c>
      <c r="E382" s="60">
        <v>530935</v>
      </c>
      <c r="F382" s="60">
        <v>5158465</v>
      </c>
    </row>
    <row r="383" spans="1:6" x14ac:dyDescent="0.25">
      <c r="A383" s="60" t="s">
        <v>172</v>
      </c>
      <c r="B383" s="60" t="s">
        <v>175</v>
      </c>
      <c r="C383" s="60">
        <v>28</v>
      </c>
      <c r="D383" s="60">
        <v>4.6623999999999999</v>
      </c>
      <c r="E383" s="60">
        <v>530725</v>
      </c>
      <c r="F383" s="60">
        <v>5158485</v>
      </c>
    </row>
    <row r="384" spans="1:6" x14ac:dyDescent="0.25">
      <c r="A384" s="60" t="s">
        <v>172</v>
      </c>
      <c r="B384" s="60" t="s">
        <v>175</v>
      </c>
      <c r="C384" s="60">
        <v>29</v>
      </c>
      <c r="D384" s="60">
        <v>15.311199999999999</v>
      </c>
      <c r="E384" s="60">
        <v>531045</v>
      </c>
      <c r="F384" s="60">
        <v>5158245</v>
      </c>
    </row>
    <row r="385" spans="1:6" x14ac:dyDescent="0.25">
      <c r="A385" s="60" t="s">
        <v>172</v>
      </c>
      <c r="B385" s="60" t="s">
        <v>175</v>
      </c>
      <c r="C385" s="60">
        <v>30</v>
      </c>
      <c r="D385" s="60">
        <v>0</v>
      </c>
      <c r="E385" s="60">
        <v>530765</v>
      </c>
      <c r="F385" s="60">
        <v>5158385</v>
      </c>
    </row>
    <row r="386" spans="1:6" x14ac:dyDescent="0.25">
      <c r="A386" s="60" t="s">
        <v>172</v>
      </c>
      <c r="B386" s="60" t="s">
        <v>175</v>
      </c>
      <c r="C386" s="60">
        <v>31</v>
      </c>
      <c r="D386" s="60">
        <v>19.3719</v>
      </c>
      <c r="E386" s="60">
        <v>531115</v>
      </c>
      <c r="F386" s="60">
        <v>5158265</v>
      </c>
    </row>
    <row r="387" spans="1:6" x14ac:dyDescent="0.25">
      <c r="A387" s="60" t="s">
        <v>172</v>
      </c>
      <c r="B387" s="60" t="s">
        <v>175</v>
      </c>
      <c r="C387" s="60">
        <v>32</v>
      </c>
      <c r="D387" s="60">
        <v>11.193199999999999</v>
      </c>
      <c r="E387" s="60">
        <v>531035</v>
      </c>
      <c r="F387" s="60">
        <v>5158405</v>
      </c>
    </row>
    <row r="388" spans="1:6" x14ac:dyDescent="0.25">
      <c r="A388" s="60" t="s">
        <v>172</v>
      </c>
      <c r="B388" s="60" t="s">
        <v>175</v>
      </c>
      <c r="C388" s="60">
        <v>33</v>
      </c>
      <c r="D388" s="60">
        <v>8.7454000000000001</v>
      </c>
      <c r="E388" s="60">
        <v>531085</v>
      </c>
      <c r="F388" s="60">
        <v>5158365</v>
      </c>
    </row>
    <row r="389" spans="1:6" x14ac:dyDescent="0.25">
      <c r="A389" s="60" t="s">
        <v>172</v>
      </c>
      <c r="B389" s="60" t="s">
        <v>175</v>
      </c>
      <c r="C389" s="60">
        <v>34</v>
      </c>
      <c r="D389" s="60">
        <v>5.3996000000000004</v>
      </c>
      <c r="E389" s="60">
        <v>530775</v>
      </c>
      <c r="F389" s="60">
        <v>5158485</v>
      </c>
    </row>
    <row r="390" spans="1:6" x14ac:dyDescent="0.25">
      <c r="A390" s="60" t="s">
        <v>172</v>
      </c>
      <c r="B390" s="60" t="s">
        <v>175</v>
      </c>
      <c r="C390" s="60">
        <v>35</v>
      </c>
      <c r="D390" s="60">
        <v>11.1813</v>
      </c>
      <c r="E390" s="60">
        <v>530805</v>
      </c>
      <c r="F390" s="60">
        <v>5158535</v>
      </c>
    </row>
    <row r="391" spans="1:6" x14ac:dyDescent="0.25">
      <c r="A391" s="60" t="s">
        <v>172</v>
      </c>
      <c r="B391" s="60" t="s">
        <v>175</v>
      </c>
      <c r="C391" s="60">
        <v>36</v>
      </c>
      <c r="D391" s="60">
        <v>9.7843999999999998</v>
      </c>
      <c r="E391" s="60">
        <v>530935</v>
      </c>
      <c r="F391" s="60">
        <v>5158365</v>
      </c>
    </row>
    <row r="392" spans="1:6" x14ac:dyDescent="0.25">
      <c r="A392" s="60" t="s">
        <v>172</v>
      </c>
      <c r="B392" s="60" t="s">
        <v>174</v>
      </c>
      <c r="C392" s="60">
        <v>1</v>
      </c>
      <c r="D392" s="60">
        <v>29.648299999999999</v>
      </c>
      <c r="E392" s="60">
        <v>530675</v>
      </c>
      <c r="F392" s="60">
        <v>5158485</v>
      </c>
    </row>
    <row r="393" spans="1:6" x14ac:dyDescent="0.25">
      <c r="A393" s="60" t="s">
        <v>172</v>
      </c>
      <c r="B393" s="60" t="s">
        <v>174</v>
      </c>
      <c r="C393" s="60">
        <v>2</v>
      </c>
      <c r="D393" s="60">
        <v>24.362200000000001</v>
      </c>
      <c r="E393" s="60">
        <v>530725</v>
      </c>
      <c r="F393" s="60">
        <v>5158425</v>
      </c>
    </row>
    <row r="394" spans="1:6" x14ac:dyDescent="0.25">
      <c r="A394" s="60" t="s">
        <v>172</v>
      </c>
      <c r="B394" s="60" t="s">
        <v>174</v>
      </c>
      <c r="C394" s="60">
        <v>3</v>
      </c>
      <c r="D394" s="60">
        <v>27.241299999999999</v>
      </c>
      <c r="E394" s="60">
        <v>530885</v>
      </c>
      <c r="F394" s="60">
        <v>5158365</v>
      </c>
    </row>
    <row r="395" spans="1:6" x14ac:dyDescent="0.25">
      <c r="A395" s="60" t="s">
        <v>172</v>
      </c>
      <c r="B395" s="60" t="s">
        <v>174</v>
      </c>
      <c r="C395" s="60">
        <v>4</v>
      </c>
      <c r="D395" s="60">
        <v>21.991599999999998</v>
      </c>
      <c r="E395" s="60">
        <v>530945</v>
      </c>
      <c r="F395" s="60">
        <v>5158325</v>
      </c>
    </row>
    <row r="396" spans="1:6" x14ac:dyDescent="0.25">
      <c r="A396" s="60" t="s">
        <v>172</v>
      </c>
      <c r="B396" s="60" t="s">
        <v>174</v>
      </c>
      <c r="C396" s="60">
        <v>5</v>
      </c>
      <c r="D396" s="60">
        <v>26.814299999999999</v>
      </c>
      <c r="E396" s="60">
        <v>531065</v>
      </c>
      <c r="F396" s="60">
        <v>5158285</v>
      </c>
    </row>
    <row r="397" spans="1:6" x14ac:dyDescent="0.25">
      <c r="A397" s="60" t="s">
        <v>172</v>
      </c>
      <c r="B397" s="60" t="s">
        <v>174</v>
      </c>
      <c r="C397" s="60">
        <v>6</v>
      </c>
      <c r="D397" s="60">
        <v>26.421199999999999</v>
      </c>
      <c r="E397" s="60">
        <v>531175</v>
      </c>
      <c r="F397" s="60">
        <v>5158305</v>
      </c>
    </row>
    <row r="398" spans="1:6" x14ac:dyDescent="0.25">
      <c r="A398" s="60" t="s">
        <v>172</v>
      </c>
      <c r="B398" s="60" t="s">
        <v>174</v>
      </c>
      <c r="C398" s="60">
        <v>7</v>
      </c>
      <c r="D398" s="60">
        <v>21.622499999999999</v>
      </c>
      <c r="E398" s="60">
        <v>531255</v>
      </c>
      <c r="F398" s="60">
        <v>5158375</v>
      </c>
    </row>
    <row r="399" spans="1:6" x14ac:dyDescent="0.25">
      <c r="A399" s="60" t="s">
        <v>172</v>
      </c>
      <c r="B399" s="60" t="s">
        <v>174</v>
      </c>
      <c r="C399" s="60">
        <v>8</v>
      </c>
      <c r="D399" s="60">
        <v>18.3277</v>
      </c>
      <c r="E399" s="60">
        <v>531135</v>
      </c>
      <c r="F399" s="60">
        <v>5158375</v>
      </c>
    </row>
    <row r="400" spans="1:6" x14ac:dyDescent="0.25">
      <c r="A400" s="60" t="s">
        <v>172</v>
      </c>
      <c r="B400" s="60" t="s">
        <v>174</v>
      </c>
      <c r="C400" s="60">
        <v>9</v>
      </c>
      <c r="D400" s="60">
        <v>31.9575</v>
      </c>
      <c r="E400" s="60">
        <v>531145</v>
      </c>
      <c r="F400" s="60">
        <v>5158415</v>
      </c>
    </row>
    <row r="401" spans="1:6" x14ac:dyDescent="0.25">
      <c r="A401" s="60" t="s">
        <v>172</v>
      </c>
      <c r="B401" s="60" t="s">
        <v>174</v>
      </c>
      <c r="C401" s="60">
        <v>10</v>
      </c>
      <c r="D401" s="60">
        <v>32.304699999999997</v>
      </c>
      <c r="E401" s="60">
        <v>530985</v>
      </c>
      <c r="F401" s="60">
        <v>5158435</v>
      </c>
    </row>
    <row r="402" spans="1:6" x14ac:dyDescent="0.25">
      <c r="A402" s="60" t="s">
        <v>172</v>
      </c>
      <c r="B402" s="60" t="s">
        <v>174</v>
      </c>
      <c r="C402" s="60">
        <v>11</v>
      </c>
      <c r="D402" s="60">
        <v>32.730899999999998</v>
      </c>
      <c r="E402" s="60">
        <v>530835</v>
      </c>
      <c r="F402" s="60">
        <v>5158505</v>
      </c>
    </row>
    <row r="403" spans="1:6" x14ac:dyDescent="0.25">
      <c r="A403" s="60" t="s">
        <v>172</v>
      </c>
      <c r="B403" s="60" t="s">
        <v>174</v>
      </c>
      <c r="C403" s="60">
        <v>12</v>
      </c>
      <c r="D403" s="60">
        <v>25.585799999999999</v>
      </c>
      <c r="E403" s="60">
        <v>530795</v>
      </c>
      <c r="F403" s="60">
        <v>5158445</v>
      </c>
    </row>
    <row r="404" spans="1:6" x14ac:dyDescent="0.25">
      <c r="A404" s="60" t="s">
        <v>172</v>
      </c>
      <c r="B404" s="60" t="s">
        <v>174</v>
      </c>
      <c r="C404" s="60">
        <v>13</v>
      </c>
      <c r="D404" s="60">
        <v>25.491800000000001</v>
      </c>
      <c r="E404" s="60">
        <v>531035</v>
      </c>
      <c r="F404" s="60">
        <v>5158355</v>
      </c>
    </row>
    <row r="405" spans="1:6" x14ac:dyDescent="0.25">
      <c r="A405" s="60" t="s">
        <v>172</v>
      </c>
      <c r="B405" s="60" t="s">
        <v>174</v>
      </c>
      <c r="C405" s="60">
        <v>14</v>
      </c>
      <c r="D405" s="60">
        <v>0</v>
      </c>
      <c r="E405" s="60">
        <v>531075</v>
      </c>
      <c r="F405" s="60">
        <v>5158425</v>
      </c>
    </row>
    <row r="406" spans="1:6" x14ac:dyDescent="0.25">
      <c r="A406" s="60" t="s">
        <v>172</v>
      </c>
      <c r="B406" s="60" t="s">
        <v>174</v>
      </c>
      <c r="C406" s="60">
        <v>15</v>
      </c>
      <c r="D406" s="60">
        <v>30.375599999999999</v>
      </c>
      <c r="E406" s="60">
        <v>530925</v>
      </c>
      <c r="F406" s="60">
        <v>5158405</v>
      </c>
    </row>
    <row r="407" spans="1:6" x14ac:dyDescent="0.25">
      <c r="A407" s="60" t="s">
        <v>172</v>
      </c>
      <c r="B407" s="60" t="s">
        <v>174</v>
      </c>
      <c r="C407" s="60">
        <v>16</v>
      </c>
      <c r="D407" s="60">
        <v>31.3032</v>
      </c>
      <c r="E407" s="60">
        <v>530895</v>
      </c>
      <c r="F407" s="60">
        <v>5158505</v>
      </c>
    </row>
    <row r="408" spans="1:6" x14ac:dyDescent="0.25">
      <c r="A408" s="60" t="s">
        <v>172</v>
      </c>
      <c r="B408" s="60" t="s">
        <v>174</v>
      </c>
      <c r="C408" s="60">
        <v>17</v>
      </c>
      <c r="D408" s="60">
        <v>36.760899999999999</v>
      </c>
      <c r="E408" s="60">
        <v>530765</v>
      </c>
      <c r="F408" s="60">
        <v>5158525</v>
      </c>
    </row>
    <row r="409" spans="1:6" x14ac:dyDescent="0.25">
      <c r="A409" s="60" t="s">
        <v>172</v>
      </c>
      <c r="B409" s="60" t="s">
        <v>174</v>
      </c>
      <c r="C409" s="60">
        <v>18</v>
      </c>
      <c r="D409" s="60">
        <v>31.488800000000001</v>
      </c>
      <c r="E409" s="60">
        <v>530825</v>
      </c>
      <c r="F409" s="60">
        <v>5158385</v>
      </c>
    </row>
    <row r="410" spans="1:6" x14ac:dyDescent="0.25">
      <c r="A410" s="60" t="s">
        <v>172</v>
      </c>
      <c r="B410" s="60" t="s">
        <v>174</v>
      </c>
      <c r="C410" s="60">
        <v>19</v>
      </c>
      <c r="D410" s="60">
        <v>26.391300000000001</v>
      </c>
      <c r="E410" s="60">
        <v>530995</v>
      </c>
      <c r="F410" s="60">
        <v>5158255</v>
      </c>
    </row>
    <row r="411" spans="1:6" x14ac:dyDescent="0.25">
      <c r="A411" s="60" t="s">
        <v>172</v>
      </c>
      <c r="B411" s="60" t="s">
        <v>174</v>
      </c>
      <c r="C411" s="60">
        <v>20</v>
      </c>
      <c r="D411" s="60">
        <v>32.297800000000002</v>
      </c>
      <c r="E411" s="60">
        <v>530665</v>
      </c>
      <c r="F411" s="60">
        <v>5158425</v>
      </c>
    </row>
    <row r="412" spans="1:6" x14ac:dyDescent="0.25">
      <c r="A412" s="60" t="s">
        <v>172</v>
      </c>
      <c r="B412" s="60" t="s">
        <v>174</v>
      </c>
      <c r="C412" s="60">
        <v>21</v>
      </c>
      <c r="D412" s="60">
        <v>25.7288</v>
      </c>
      <c r="E412" s="60">
        <v>530975</v>
      </c>
      <c r="F412" s="60">
        <v>5158365</v>
      </c>
    </row>
    <row r="413" spans="1:6" x14ac:dyDescent="0.25">
      <c r="A413" s="60" t="s">
        <v>172</v>
      </c>
      <c r="B413" s="60" t="s">
        <v>174</v>
      </c>
      <c r="C413" s="60">
        <v>22</v>
      </c>
      <c r="D413" s="60">
        <v>23.814599999999999</v>
      </c>
      <c r="E413" s="60">
        <v>531185</v>
      </c>
      <c r="F413" s="60">
        <v>5158375</v>
      </c>
    </row>
    <row r="414" spans="1:6" x14ac:dyDescent="0.25">
      <c r="A414" s="60" t="s">
        <v>172</v>
      </c>
      <c r="B414" s="60" t="s">
        <v>174</v>
      </c>
      <c r="C414" s="60">
        <v>23</v>
      </c>
      <c r="D414" s="60">
        <v>28.9361</v>
      </c>
      <c r="E414" s="60">
        <v>530695</v>
      </c>
      <c r="F414" s="60">
        <v>5158545</v>
      </c>
    </row>
    <row r="415" spans="1:6" x14ac:dyDescent="0.25">
      <c r="A415" s="60" t="s">
        <v>172</v>
      </c>
      <c r="B415" s="60" t="s">
        <v>174</v>
      </c>
      <c r="C415" s="60">
        <v>24</v>
      </c>
      <c r="D415" s="60">
        <v>32.074399999999997</v>
      </c>
      <c r="E415" s="60">
        <v>530855</v>
      </c>
      <c r="F415" s="60">
        <v>5158435</v>
      </c>
    </row>
    <row r="416" spans="1:6" x14ac:dyDescent="0.25">
      <c r="A416" s="60" t="s">
        <v>172</v>
      </c>
      <c r="B416" s="60" t="s">
        <v>174</v>
      </c>
      <c r="C416" s="60">
        <v>25</v>
      </c>
      <c r="D416" s="60">
        <v>23.0778</v>
      </c>
      <c r="E416" s="60">
        <v>531125</v>
      </c>
      <c r="F416" s="60">
        <v>5158315</v>
      </c>
    </row>
    <row r="417" spans="1:6" x14ac:dyDescent="0.25">
      <c r="A417" s="60" t="s">
        <v>172</v>
      </c>
      <c r="B417" s="60" t="s">
        <v>174</v>
      </c>
      <c r="C417" s="60">
        <v>26</v>
      </c>
      <c r="D417" s="60">
        <v>30.371600000000001</v>
      </c>
      <c r="E417" s="60">
        <v>531005</v>
      </c>
      <c r="F417" s="60">
        <v>5158305</v>
      </c>
    </row>
    <row r="418" spans="1:6" x14ac:dyDescent="0.25">
      <c r="A418" s="60" t="s">
        <v>172</v>
      </c>
      <c r="B418" s="60" t="s">
        <v>174</v>
      </c>
      <c r="C418" s="60">
        <v>27</v>
      </c>
      <c r="D418" s="60">
        <v>33.239899999999999</v>
      </c>
      <c r="E418" s="60">
        <v>530935</v>
      </c>
      <c r="F418" s="60">
        <v>5158465</v>
      </c>
    </row>
    <row r="419" spans="1:6" x14ac:dyDescent="0.25">
      <c r="A419" s="60" t="s">
        <v>172</v>
      </c>
      <c r="B419" s="60" t="s">
        <v>174</v>
      </c>
      <c r="C419" s="60">
        <v>28</v>
      </c>
      <c r="D419" s="60">
        <v>29.880199999999999</v>
      </c>
      <c r="E419" s="60">
        <v>530725</v>
      </c>
      <c r="F419" s="60">
        <v>5158485</v>
      </c>
    </row>
    <row r="420" spans="1:6" x14ac:dyDescent="0.25">
      <c r="A420" s="60" t="s">
        <v>172</v>
      </c>
      <c r="B420" s="60" t="s">
        <v>174</v>
      </c>
      <c r="C420" s="60">
        <v>29</v>
      </c>
      <c r="D420" s="60">
        <v>32.983600000000003</v>
      </c>
      <c r="E420" s="60">
        <v>531045</v>
      </c>
      <c r="F420" s="60">
        <v>5158245</v>
      </c>
    </row>
    <row r="421" spans="1:6" x14ac:dyDescent="0.25">
      <c r="A421" s="60" t="s">
        <v>172</v>
      </c>
      <c r="B421" s="60" t="s">
        <v>174</v>
      </c>
      <c r="C421" s="60">
        <v>30</v>
      </c>
      <c r="D421" s="60">
        <v>0</v>
      </c>
      <c r="E421" s="60">
        <v>530765</v>
      </c>
      <c r="F421" s="60">
        <v>5158385</v>
      </c>
    </row>
    <row r="422" spans="1:6" x14ac:dyDescent="0.25">
      <c r="A422" s="60" t="s">
        <v>172</v>
      </c>
      <c r="B422" s="60" t="s">
        <v>174</v>
      </c>
      <c r="C422" s="60">
        <v>31</v>
      </c>
      <c r="D422" s="60">
        <v>35.426499999999997</v>
      </c>
      <c r="E422" s="60">
        <v>531115</v>
      </c>
      <c r="F422" s="60">
        <v>5158265</v>
      </c>
    </row>
    <row r="423" spans="1:6" x14ac:dyDescent="0.25">
      <c r="A423" s="60" t="s">
        <v>172</v>
      </c>
      <c r="B423" s="60" t="s">
        <v>174</v>
      </c>
      <c r="C423" s="60">
        <v>32</v>
      </c>
      <c r="D423" s="60">
        <v>47.238500000000002</v>
      </c>
      <c r="E423" s="60">
        <v>531035</v>
      </c>
      <c r="F423" s="60">
        <v>5158405</v>
      </c>
    </row>
    <row r="424" spans="1:6" x14ac:dyDescent="0.25">
      <c r="A424" s="60" t="s">
        <v>172</v>
      </c>
      <c r="B424" s="60" t="s">
        <v>174</v>
      </c>
      <c r="C424" s="60">
        <v>33</v>
      </c>
      <c r="D424" s="60">
        <v>29.876899999999999</v>
      </c>
      <c r="E424" s="60">
        <v>531085</v>
      </c>
      <c r="F424" s="60">
        <v>5158365</v>
      </c>
    </row>
    <row r="425" spans="1:6" x14ac:dyDescent="0.25">
      <c r="A425" s="60" t="s">
        <v>172</v>
      </c>
      <c r="B425" s="60" t="s">
        <v>174</v>
      </c>
      <c r="C425" s="60">
        <v>34</v>
      </c>
      <c r="D425" s="60">
        <v>33.232799999999997</v>
      </c>
      <c r="E425" s="60">
        <v>530775</v>
      </c>
      <c r="F425" s="60">
        <v>5158485</v>
      </c>
    </row>
    <row r="426" spans="1:6" x14ac:dyDescent="0.25">
      <c r="A426" s="60" t="s">
        <v>172</v>
      </c>
      <c r="B426" s="60" t="s">
        <v>174</v>
      </c>
      <c r="C426" s="60">
        <v>35</v>
      </c>
      <c r="D426" s="60">
        <v>34.008600000000001</v>
      </c>
      <c r="E426" s="60">
        <v>530805</v>
      </c>
      <c r="F426" s="60">
        <v>5158535</v>
      </c>
    </row>
    <row r="427" spans="1:6" x14ac:dyDescent="0.25">
      <c r="A427" s="60" t="s">
        <v>172</v>
      </c>
      <c r="B427" s="60" t="s">
        <v>174</v>
      </c>
      <c r="C427" s="60">
        <v>36</v>
      </c>
      <c r="D427" s="60">
        <v>29.4312</v>
      </c>
      <c r="E427" s="60">
        <v>530935</v>
      </c>
      <c r="F427" s="60">
        <v>5158365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182"/>
  <sheetViews>
    <sheetView topLeftCell="B2" workbookViewId="0">
      <selection activeCell="G33" sqref="G33"/>
    </sheetView>
  </sheetViews>
  <sheetFormatPr defaultRowHeight="15" x14ac:dyDescent="0.25"/>
  <cols>
    <col min="1" max="1" width="9.140625" style="34"/>
    <col min="2" max="2" width="9.42578125" style="34" bestFit="1" customWidth="1"/>
    <col min="3" max="6" width="9.140625" style="34"/>
    <col min="7" max="7" width="33.42578125" style="34" customWidth="1"/>
    <col min="8" max="10" width="9.140625" style="34"/>
    <col min="11" max="11" width="13.85546875" style="34" customWidth="1"/>
    <col min="12" max="12" width="17" style="34" bestFit="1" customWidth="1"/>
    <col min="13" max="13" width="9.140625" style="34" customWidth="1"/>
    <col min="14" max="14" width="8.140625" style="34" customWidth="1"/>
    <col min="15" max="18" width="9.140625" style="34" customWidth="1"/>
    <col min="19" max="19" width="8.140625" style="34" customWidth="1"/>
    <col min="20" max="22" width="9.140625" style="34" customWidth="1"/>
    <col min="23" max="24" width="8.140625" style="34" customWidth="1"/>
    <col min="25" max="26" width="9.140625" style="34" customWidth="1"/>
    <col min="27" max="27" width="11.7109375" style="34" bestFit="1" customWidth="1"/>
    <col min="28" max="16384" width="9.140625" style="34"/>
  </cols>
  <sheetData>
    <row r="1" spans="1:25" x14ac:dyDescent="0.25">
      <c r="A1" s="34" t="s">
        <v>78</v>
      </c>
      <c r="B1" s="34" t="s">
        <v>79</v>
      </c>
    </row>
    <row r="2" spans="1:25" x14ac:dyDescent="0.25">
      <c r="A2" s="35" t="s">
        <v>80</v>
      </c>
      <c r="B2" s="35" t="s">
        <v>2</v>
      </c>
      <c r="C2" s="35" t="s">
        <v>1</v>
      </c>
      <c r="D2" s="35" t="s">
        <v>81</v>
      </c>
      <c r="E2" s="35" t="s">
        <v>82</v>
      </c>
      <c r="F2" s="35" t="s">
        <v>83</v>
      </c>
      <c r="G2" s="36" t="s">
        <v>84</v>
      </c>
    </row>
    <row r="3" spans="1:25" x14ac:dyDescent="0.25">
      <c r="A3" s="35" t="s">
        <v>85</v>
      </c>
      <c r="B3" s="37">
        <v>41381</v>
      </c>
      <c r="C3" s="35">
        <v>1</v>
      </c>
      <c r="D3" s="35">
        <v>50.1</v>
      </c>
      <c r="E3" s="35">
        <v>1.05</v>
      </c>
      <c r="F3" s="35">
        <v>25</v>
      </c>
      <c r="G3" s="35"/>
    </row>
    <row r="4" spans="1:25" x14ac:dyDescent="0.25">
      <c r="A4" s="35" t="s">
        <v>85</v>
      </c>
      <c r="B4" s="37">
        <v>41381</v>
      </c>
      <c r="C4" s="35">
        <v>2</v>
      </c>
      <c r="D4" s="35">
        <v>47.3</v>
      </c>
      <c r="E4" s="35">
        <v>0.73</v>
      </c>
      <c r="F4" s="35">
        <v>22</v>
      </c>
      <c r="G4" s="35"/>
    </row>
    <row r="5" spans="1:25" x14ac:dyDescent="0.25">
      <c r="A5" s="35" t="s">
        <v>85</v>
      </c>
      <c r="B5" s="37">
        <v>41381</v>
      </c>
      <c r="C5" s="35">
        <v>3</v>
      </c>
      <c r="D5" s="35">
        <v>48</v>
      </c>
      <c r="E5" s="35">
        <v>0.72</v>
      </c>
      <c r="F5" s="35">
        <v>23</v>
      </c>
      <c r="G5" s="35"/>
    </row>
    <row r="6" spans="1:25" x14ac:dyDescent="0.25">
      <c r="A6" s="35" t="s">
        <v>85</v>
      </c>
      <c r="B6" s="37">
        <v>41381</v>
      </c>
      <c r="C6" s="35">
        <v>4</v>
      </c>
      <c r="D6" s="35">
        <v>45.8</v>
      </c>
      <c r="E6" s="35">
        <v>1.1100000000000001</v>
      </c>
      <c r="F6" s="35">
        <v>28</v>
      </c>
      <c r="G6" s="35"/>
    </row>
    <row r="7" spans="1:25" x14ac:dyDescent="0.25">
      <c r="A7" s="35" t="s">
        <v>85</v>
      </c>
      <c r="B7" s="37">
        <v>41381</v>
      </c>
      <c r="C7" s="35">
        <v>5</v>
      </c>
      <c r="D7" s="35">
        <v>44.1</v>
      </c>
      <c r="E7" s="35">
        <v>1.1299999999999999</v>
      </c>
      <c r="F7" s="35">
        <v>30</v>
      </c>
      <c r="G7" s="35" t="s">
        <v>86</v>
      </c>
      <c r="J7" s="38">
        <v>41431</v>
      </c>
      <c r="K7" s="38">
        <v>41440</v>
      </c>
      <c r="L7" s="38">
        <v>41452</v>
      </c>
      <c r="M7" s="38">
        <v>41464</v>
      </c>
    </row>
    <row r="8" spans="1:25" x14ac:dyDescent="0.25">
      <c r="A8" s="35" t="s">
        <v>85</v>
      </c>
      <c r="B8" s="37">
        <v>41381</v>
      </c>
      <c r="C8" s="35">
        <v>6</v>
      </c>
      <c r="D8" s="35">
        <v>51.6</v>
      </c>
      <c r="E8" s="35">
        <v>1.1499999999999999</v>
      </c>
      <c r="F8" s="35">
        <v>28</v>
      </c>
      <c r="G8" s="35"/>
      <c r="I8" s="34" t="s">
        <v>4</v>
      </c>
      <c r="J8" s="39">
        <v>41430</v>
      </c>
      <c r="K8" s="39">
        <v>41438</v>
      </c>
      <c r="L8" s="39">
        <v>41451</v>
      </c>
      <c r="M8" s="39">
        <v>41463</v>
      </c>
      <c r="N8" s="39">
        <v>41430</v>
      </c>
      <c r="O8" s="39">
        <v>41438</v>
      </c>
      <c r="P8" s="39">
        <v>41451</v>
      </c>
      <c r="Q8" s="39">
        <v>41463</v>
      </c>
    </row>
    <row r="9" spans="1:25" x14ac:dyDescent="0.25">
      <c r="A9" s="35" t="s">
        <v>85</v>
      </c>
      <c r="B9" s="37">
        <v>41381</v>
      </c>
      <c r="C9" s="35">
        <v>7</v>
      </c>
      <c r="D9" s="35">
        <v>50.3</v>
      </c>
      <c r="E9" s="35">
        <v>1.17</v>
      </c>
      <c r="F9" s="35">
        <v>26</v>
      </c>
      <c r="G9" s="35" t="s">
        <v>86</v>
      </c>
      <c r="I9" s="34">
        <v>1</v>
      </c>
      <c r="J9" s="40">
        <v>47.3</v>
      </c>
      <c r="K9" s="40">
        <v>53</v>
      </c>
      <c r="L9" s="40">
        <v>43.2</v>
      </c>
      <c r="M9" s="40">
        <v>17.2</v>
      </c>
      <c r="N9" s="40">
        <v>84</v>
      </c>
      <c r="O9" s="40">
        <v>99</v>
      </c>
      <c r="P9" s="40">
        <v>97</v>
      </c>
      <c r="Q9" s="40">
        <v>98</v>
      </c>
      <c r="R9" s="35">
        <v>3.39</v>
      </c>
      <c r="S9" s="35">
        <v>3.73</v>
      </c>
      <c r="T9" s="35">
        <v>3.05</v>
      </c>
      <c r="U9" s="35">
        <v>3.21</v>
      </c>
      <c r="V9" s="35">
        <v>3.14</v>
      </c>
      <c r="W9" s="35">
        <v>3.5</v>
      </c>
      <c r="X9" s="35">
        <v>3.12</v>
      </c>
      <c r="Y9" s="35">
        <v>2.79</v>
      </c>
    </row>
    <row r="10" spans="1:25" x14ac:dyDescent="0.25">
      <c r="A10" s="35" t="s">
        <v>85</v>
      </c>
      <c r="B10" s="37">
        <v>41381</v>
      </c>
      <c r="C10" s="35">
        <v>8</v>
      </c>
      <c r="D10" s="35">
        <v>45.3</v>
      </c>
      <c r="E10" s="35">
        <v>1.07</v>
      </c>
      <c r="F10" s="35">
        <v>25</v>
      </c>
      <c r="G10" s="35"/>
      <c r="I10" s="34">
        <v>2</v>
      </c>
      <c r="J10" s="40">
        <v>46.2</v>
      </c>
      <c r="K10" s="40">
        <v>46.1</v>
      </c>
      <c r="L10" s="40">
        <v>42.1</v>
      </c>
      <c r="M10" s="40">
        <v>14.9</v>
      </c>
      <c r="N10" s="40">
        <v>90</v>
      </c>
      <c r="O10" s="40">
        <v>105</v>
      </c>
      <c r="P10" s="40">
        <v>103</v>
      </c>
      <c r="Q10" s="40">
        <v>104</v>
      </c>
      <c r="R10" s="35">
        <v>3.41</v>
      </c>
      <c r="S10" s="35">
        <v>3.54</v>
      </c>
      <c r="T10" s="35">
        <v>3.05</v>
      </c>
      <c r="U10" s="35">
        <v>3.59</v>
      </c>
      <c r="V10" s="35">
        <v>3.18</v>
      </c>
      <c r="W10" s="35">
        <v>3.26</v>
      </c>
      <c r="X10" s="35">
        <v>1.98</v>
      </c>
      <c r="Y10" s="35">
        <v>2.25</v>
      </c>
    </row>
    <row r="11" spans="1:25" x14ac:dyDescent="0.25">
      <c r="A11" s="35" t="s">
        <v>85</v>
      </c>
      <c r="B11" s="37">
        <v>41381</v>
      </c>
      <c r="C11" s="35">
        <v>9</v>
      </c>
      <c r="D11" s="35">
        <v>50.8</v>
      </c>
      <c r="E11" s="35">
        <v>1.74</v>
      </c>
      <c r="F11" s="35">
        <v>33</v>
      </c>
      <c r="G11" s="35" t="s">
        <v>86</v>
      </c>
      <c r="I11" s="34">
        <v>3</v>
      </c>
      <c r="J11" s="40">
        <v>45.6</v>
      </c>
      <c r="K11" s="40">
        <v>43.3</v>
      </c>
      <c r="L11" s="40">
        <v>30.5</v>
      </c>
      <c r="M11" s="40">
        <v>6.4</v>
      </c>
      <c r="N11" s="40">
        <v>83.5</v>
      </c>
      <c r="O11" s="40">
        <v>100</v>
      </c>
      <c r="P11" s="40">
        <v>97.5</v>
      </c>
      <c r="Q11" s="40">
        <v>97</v>
      </c>
      <c r="R11" s="35">
        <v>3.3</v>
      </c>
      <c r="S11" s="35">
        <v>3.46</v>
      </c>
      <c r="T11" s="35">
        <v>2.41</v>
      </c>
      <c r="U11" s="35">
        <v>3.08</v>
      </c>
      <c r="V11" s="35">
        <v>2.98</v>
      </c>
      <c r="W11" s="35">
        <v>2.91</v>
      </c>
      <c r="X11" s="35">
        <v>1.45</v>
      </c>
      <c r="Y11" s="35">
        <v>2.4700000000000002</v>
      </c>
    </row>
    <row r="12" spans="1:25" x14ac:dyDescent="0.25">
      <c r="A12" s="35" t="s">
        <v>85</v>
      </c>
      <c r="B12" s="37">
        <v>41381</v>
      </c>
      <c r="C12" s="35">
        <v>10</v>
      </c>
      <c r="D12" s="35">
        <v>49</v>
      </c>
      <c r="E12" s="35">
        <v>1.01</v>
      </c>
      <c r="F12" s="35">
        <v>30</v>
      </c>
      <c r="G12" s="35" t="s">
        <v>86</v>
      </c>
      <c r="I12" s="34">
        <v>4</v>
      </c>
      <c r="J12" s="40">
        <v>45.6</v>
      </c>
      <c r="K12" s="40">
        <v>48.2</v>
      </c>
      <c r="L12" s="40">
        <v>37.700000000000003</v>
      </c>
      <c r="M12" s="40">
        <v>21.5</v>
      </c>
      <c r="N12" s="40">
        <v>89</v>
      </c>
      <c r="O12" s="40">
        <v>104</v>
      </c>
      <c r="P12" s="40">
        <v>104.5</v>
      </c>
      <c r="Q12" s="40">
        <v>108</v>
      </c>
      <c r="R12" s="35">
        <v>3.57</v>
      </c>
      <c r="S12" s="35">
        <v>4.1100000000000003</v>
      </c>
      <c r="T12" s="35">
        <v>3.6</v>
      </c>
      <c r="U12" s="35">
        <v>3.78</v>
      </c>
      <c r="V12" s="35">
        <v>3.56</v>
      </c>
      <c r="W12" s="35">
        <v>4.47</v>
      </c>
      <c r="X12" s="35">
        <v>3.3</v>
      </c>
      <c r="Y12" s="35">
        <v>3.72</v>
      </c>
    </row>
    <row r="13" spans="1:25" x14ac:dyDescent="0.25">
      <c r="A13" s="35" t="s">
        <v>85</v>
      </c>
      <c r="B13" s="37">
        <v>41381</v>
      </c>
      <c r="C13" s="35">
        <v>11</v>
      </c>
      <c r="D13" s="35">
        <v>42.1</v>
      </c>
      <c r="E13" s="35">
        <v>0.95</v>
      </c>
      <c r="F13" s="35">
        <v>22</v>
      </c>
      <c r="G13" s="35"/>
      <c r="I13" s="34">
        <v>5</v>
      </c>
      <c r="J13" s="40">
        <v>51.5</v>
      </c>
      <c r="K13" s="40">
        <v>41.5</v>
      </c>
      <c r="L13" s="40">
        <v>30.1</v>
      </c>
      <c r="M13" s="40">
        <v>13.2</v>
      </c>
      <c r="N13" s="40">
        <v>95</v>
      </c>
      <c r="O13" s="40">
        <v>110</v>
      </c>
      <c r="P13" s="40">
        <v>106.5</v>
      </c>
      <c r="Q13" s="40">
        <v>105</v>
      </c>
      <c r="R13" s="35">
        <v>3.57</v>
      </c>
      <c r="S13" s="35">
        <v>4.71</v>
      </c>
      <c r="T13" s="35">
        <v>3.55</v>
      </c>
      <c r="U13" s="35">
        <v>3.29</v>
      </c>
      <c r="V13" s="35">
        <v>2.99</v>
      </c>
      <c r="W13" s="35">
        <v>4.46</v>
      </c>
      <c r="X13" s="35">
        <v>2.42</v>
      </c>
      <c r="Y13" s="35">
        <v>2.8</v>
      </c>
    </row>
    <row r="14" spans="1:25" x14ac:dyDescent="0.25">
      <c r="A14" s="35" t="s">
        <v>85</v>
      </c>
      <c r="B14" s="37">
        <v>41381</v>
      </c>
      <c r="C14" s="35">
        <v>12</v>
      </c>
      <c r="D14" s="35">
        <v>38</v>
      </c>
      <c r="E14" s="35">
        <v>0.95</v>
      </c>
      <c r="F14" s="35">
        <v>25</v>
      </c>
      <c r="G14" s="35"/>
      <c r="I14" s="34">
        <v>6</v>
      </c>
      <c r="J14" s="40">
        <v>47.4</v>
      </c>
      <c r="K14" s="40">
        <v>46.2</v>
      </c>
      <c r="L14" s="40">
        <v>37.5</v>
      </c>
      <c r="M14" s="40">
        <v>15.1</v>
      </c>
      <c r="N14" s="40">
        <v>90.5</v>
      </c>
      <c r="O14" s="40">
        <v>105</v>
      </c>
      <c r="P14" s="40">
        <v>103.5</v>
      </c>
      <c r="Q14" s="40">
        <v>108</v>
      </c>
      <c r="R14" s="35">
        <v>3.33</v>
      </c>
      <c r="S14" s="35">
        <v>3.76</v>
      </c>
      <c r="T14" s="35">
        <v>3.7</v>
      </c>
      <c r="U14" s="35">
        <v>3.44</v>
      </c>
      <c r="V14" s="35">
        <v>3.52</v>
      </c>
      <c r="W14" s="35">
        <v>3.24</v>
      </c>
      <c r="X14" s="35">
        <v>2.21</v>
      </c>
      <c r="Y14" s="35">
        <v>2.4300000000000002</v>
      </c>
    </row>
    <row r="15" spans="1:25" x14ac:dyDescent="0.25">
      <c r="A15" s="35" t="s">
        <v>85</v>
      </c>
      <c r="B15" s="37">
        <v>41388</v>
      </c>
      <c r="C15" s="35">
        <v>1</v>
      </c>
      <c r="D15" s="35">
        <v>50</v>
      </c>
      <c r="E15" s="35">
        <v>1.37</v>
      </c>
      <c r="F15" s="35">
        <v>30</v>
      </c>
      <c r="G15" s="35"/>
      <c r="I15" s="34">
        <v>7</v>
      </c>
      <c r="J15" s="40">
        <v>46.4</v>
      </c>
      <c r="K15" s="40">
        <v>42.7</v>
      </c>
      <c r="L15" s="40">
        <v>32.6</v>
      </c>
      <c r="M15" s="40">
        <v>8.5</v>
      </c>
      <c r="N15" s="40">
        <v>83</v>
      </c>
      <c r="O15" s="40">
        <v>97</v>
      </c>
      <c r="P15" s="40">
        <v>97</v>
      </c>
      <c r="Q15" s="40">
        <v>96</v>
      </c>
      <c r="R15" s="35">
        <v>3.44</v>
      </c>
      <c r="S15" s="35">
        <v>3.43</v>
      </c>
      <c r="T15" s="35">
        <v>2.73</v>
      </c>
      <c r="U15" s="35">
        <v>2.89</v>
      </c>
      <c r="V15" s="35">
        <v>2.63</v>
      </c>
      <c r="W15" s="35">
        <v>2.44</v>
      </c>
      <c r="X15" s="35">
        <v>2.93</v>
      </c>
      <c r="Y15" s="35">
        <v>2.2000000000000002</v>
      </c>
    </row>
    <row r="16" spans="1:25" x14ac:dyDescent="0.25">
      <c r="A16" s="35" t="s">
        <v>85</v>
      </c>
      <c r="B16" s="37">
        <v>41388</v>
      </c>
      <c r="C16" s="35">
        <v>2</v>
      </c>
      <c r="D16" s="35">
        <v>53.8</v>
      </c>
      <c r="E16" s="35">
        <v>0.99</v>
      </c>
      <c r="F16" s="35">
        <v>25</v>
      </c>
      <c r="G16" s="35"/>
      <c r="I16" s="34">
        <v>8</v>
      </c>
      <c r="J16" s="40">
        <v>46.6</v>
      </c>
      <c r="K16" s="40">
        <v>47.7</v>
      </c>
      <c r="L16" s="40">
        <v>47.4</v>
      </c>
      <c r="M16" s="40">
        <v>22.5</v>
      </c>
      <c r="N16" s="40">
        <v>87</v>
      </c>
      <c r="O16" s="40">
        <v>104</v>
      </c>
      <c r="P16" s="40">
        <v>103</v>
      </c>
      <c r="Q16" s="40">
        <v>103</v>
      </c>
      <c r="R16" s="35">
        <v>3.92</v>
      </c>
      <c r="S16" s="35">
        <v>3.79</v>
      </c>
      <c r="T16" s="35">
        <v>3.84</v>
      </c>
      <c r="U16" s="35">
        <v>3.82</v>
      </c>
      <c r="V16" s="35">
        <v>3.49</v>
      </c>
      <c r="W16" s="35">
        <v>2.75</v>
      </c>
      <c r="X16" s="35">
        <v>2.4500000000000002</v>
      </c>
      <c r="Y16" s="35">
        <v>2.71</v>
      </c>
    </row>
    <row r="17" spans="1:27" x14ac:dyDescent="0.25">
      <c r="A17" s="35" t="s">
        <v>85</v>
      </c>
      <c r="B17" s="37">
        <v>41388</v>
      </c>
      <c r="C17" s="35">
        <v>3</v>
      </c>
      <c r="D17" s="35">
        <v>47.7</v>
      </c>
      <c r="E17" s="35">
        <v>1.0900000000000001</v>
      </c>
      <c r="F17" s="35">
        <v>28</v>
      </c>
      <c r="G17" s="35"/>
      <c r="I17" s="34">
        <v>9</v>
      </c>
      <c r="J17" s="40">
        <v>48.9</v>
      </c>
      <c r="K17" s="40">
        <v>46.9</v>
      </c>
      <c r="L17" s="40">
        <v>40.1</v>
      </c>
      <c r="M17" s="40">
        <v>9.1</v>
      </c>
      <c r="N17" s="40">
        <v>93</v>
      </c>
      <c r="O17" s="40">
        <v>106</v>
      </c>
      <c r="P17" s="40">
        <v>107.5</v>
      </c>
      <c r="Q17" s="40">
        <v>101</v>
      </c>
      <c r="R17" s="35">
        <v>3.19</v>
      </c>
      <c r="S17" s="35">
        <v>3.56</v>
      </c>
      <c r="T17" s="35">
        <v>3.49</v>
      </c>
      <c r="U17" s="35">
        <v>4.09</v>
      </c>
      <c r="V17" s="35">
        <v>3.53</v>
      </c>
      <c r="W17" s="35">
        <v>2.2200000000000002</v>
      </c>
      <c r="X17" s="35">
        <v>2.9</v>
      </c>
      <c r="Y17" s="35">
        <v>2.33</v>
      </c>
    </row>
    <row r="18" spans="1:27" x14ac:dyDescent="0.25">
      <c r="A18" s="35" t="s">
        <v>85</v>
      </c>
      <c r="B18" s="37">
        <v>41388</v>
      </c>
      <c r="C18" s="35">
        <v>4</v>
      </c>
      <c r="D18" s="35">
        <v>50.7</v>
      </c>
      <c r="E18" s="35">
        <v>2.0299999999999998</v>
      </c>
      <c r="F18" s="35">
        <v>34</v>
      </c>
      <c r="G18" s="35"/>
      <c r="I18" s="34">
        <v>10</v>
      </c>
      <c r="J18" s="40">
        <v>46.6</v>
      </c>
      <c r="K18" s="40">
        <v>46.8</v>
      </c>
      <c r="L18" s="40">
        <v>35.6</v>
      </c>
      <c r="M18" s="40">
        <v>5.7</v>
      </c>
      <c r="N18" s="40">
        <v>91</v>
      </c>
      <c r="O18" s="40">
        <v>104</v>
      </c>
      <c r="P18" s="40">
        <v>106.5</v>
      </c>
      <c r="Q18" s="40">
        <v>104</v>
      </c>
      <c r="R18" s="35">
        <v>3.71</v>
      </c>
      <c r="S18" s="35">
        <v>3.27</v>
      </c>
      <c r="T18" s="35">
        <v>3.36</v>
      </c>
      <c r="U18" s="35">
        <v>4.05</v>
      </c>
      <c r="V18" s="35">
        <v>3.69</v>
      </c>
      <c r="W18" s="35">
        <v>2.29</v>
      </c>
      <c r="X18" s="35">
        <v>3.53</v>
      </c>
      <c r="Y18" s="35">
        <v>2.77</v>
      </c>
    </row>
    <row r="19" spans="1:27" x14ac:dyDescent="0.25">
      <c r="A19" s="35" t="s">
        <v>85</v>
      </c>
      <c r="B19" s="37">
        <v>41388</v>
      </c>
      <c r="C19" s="35">
        <v>5</v>
      </c>
      <c r="D19" s="35">
        <v>47.8</v>
      </c>
      <c r="E19" s="35">
        <v>2.0099999999999998</v>
      </c>
      <c r="F19" s="35">
        <v>35</v>
      </c>
      <c r="G19" s="35"/>
      <c r="I19" s="34">
        <v>11</v>
      </c>
      <c r="J19" s="40">
        <v>45</v>
      </c>
      <c r="K19" s="40">
        <v>48.2</v>
      </c>
      <c r="L19" s="40">
        <v>37.5</v>
      </c>
      <c r="M19" s="40">
        <v>17.5</v>
      </c>
      <c r="N19" s="40">
        <v>85.5</v>
      </c>
      <c r="O19" s="40">
        <v>100</v>
      </c>
      <c r="P19" s="40">
        <v>102</v>
      </c>
      <c r="Q19" s="40">
        <v>104</v>
      </c>
      <c r="R19" s="35">
        <v>3.34</v>
      </c>
      <c r="S19" s="35">
        <v>3.67</v>
      </c>
      <c r="T19" s="35">
        <v>2.88</v>
      </c>
      <c r="U19" s="35">
        <v>3.01</v>
      </c>
      <c r="V19" s="35">
        <v>2.77</v>
      </c>
      <c r="W19" s="35">
        <v>2.31</v>
      </c>
      <c r="X19" s="35">
        <v>2.0499999999999998</v>
      </c>
      <c r="Y19" s="35">
        <v>2.0299999999999998</v>
      </c>
    </row>
    <row r="20" spans="1:27" x14ac:dyDescent="0.25">
      <c r="A20" s="35" t="s">
        <v>85</v>
      </c>
      <c r="B20" s="37">
        <v>41388</v>
      </c>
      <c r="C20" s="35">
        <v>6</v>
      </c>
      <c r="D20" s="35">
        <v>47.9</v>
      </c>
      <c r="E20" s="35">
        <v>1.79</v>
      </c>
      <c r="F20" s="35">
        <v>29</v>
      </c>
      <c r="G20" s="35"/>
      <c r="I20" s="34">
        <v>12</v>
      </c>
      <c r="J20" s="40">
        <v>43.6</v>
      </c>
      <c r="K20" s="40">
        <v>50.4</v>
      </c>
      <c r="L20" s="40">
        <v>34.799999999999997</v>
      </c>
      <c r="M20" s="40">
        <v>7.5</v>
      </c>
      <c r="N20" s="40">
        <v>91.5</v>
      </c>
      <c r="O20" s="40">
        <v>108</v>
      </c>
      <c r="P20" s="40">
        <v>106.5</v>
      </c>
      <c r="Q20" s="40">
        <v>109</v>
      </c>
      <c r="R20" s="35">
        <v>4</v>
      </c>
      <c r="S20" s="35">
        <v>3.85</v>
      </c>
      <c r="T20" s="35">
        <v>3.1</v>
      </c>
      <c r="U20" s="35">
        <v>4.2300000000000004</v>
      </c>
      <c r="V20" s="35">
        <v>3.7</v>
      </c>
      <c r="W20" s="35">
        <v>3.32</v>
      </c>
      <c r="X20" s="35">
        <v>2.96</v>
      </c>
      <c r="Y20" s="35">
        <v>3.15</v>
      </c>
    </row>
    <row r="21" spans="1:27" x14ac:dyDescent="0.25">
      <c r="A21" s="35" t="s">
        <v>85</v>
      </c>
      <c r="B21" s="37">
        <v>41388</v>
      </c>
      <c r="C21" s="35">
        <v>7</v>
      </c>
      <c r="D21" s="35">
        <v>52.2</v>
      </c>
      <c r="E21" s="35">
        <v>1.68</v>
      </c>
      <c r="F21" s="35">
        <v>31</v>
      </c>
      <c r="G21" s="35"/>
    </row>
    <row r="22" spans="1:27" x14ac:dyDescent="0.25">
      <c r="A22" s="35" t="s">
        <v>85</v>
      </c>
      <c r="B22" s="37">
        <v>41388</v>
      </c>
      <c r="C22" s="35">
        <v>8</v>
      </c>
      <c r="D22" s="35">
        <v>53.5</v>
      </c>
      <c r="E22" s="35">
        <v>1.25</v>
      </c>
      <c r="F22" s="35">
        <v>30</v>
      </c>
      <c r="G22" s="35"/>
      <c r="I22" s="34">
        <v>1</v>
      </c>
    </row>
    <row r="23" spans="1:27" x14ac:dyDescent="0.25">
      <c r="A23" s="35" t="s">
        <v>85</v>
      </c>
      <c r="B23" s="37">
        <v>41388</v>
      </c>
      <c r="C23" s="35">
        <v>9</v>
      </c>
      <c r="D23" s="35">
        <v>46.8</v>
      </c>
      <c r="E23" s="35">
        <v>2.2999999999999998</v>
      </c>
      <c r="F23" s="35">
        <v>34</v>
      </c>
      <c r="G23" s="35"/>
      <c r="I23" s="34">
        <v>2</v>
      </c>
      <c r="K23" s="14" t="s">
        <v>164</v>
      </c>
      <c r="L23" s="14" t="s">
        <v>36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x14ac:dyDescent="0.25">
      <c r="A24" s="35" t="s">
        <v>85</v>
      </c>
      <c r="B24" s="37">
        <v>41388</v>
      </c>
      <c r="C24" s="35">
        <v>10</v>
      </c>
      <c r="D24" s="35">
        <v>48.2</v>
      </c>
      <c r="E24" s="35">
        <v>2.0499999999999998</v>
      </c>
      <c r="F24" s="35">
        <v>35</v>
      </c>
      <c r="G24" s="35"/>
      <c r="I24" s="34">
        <v>3</v>
      </c>
      <c r="K24" s="14" t="s">
        <v>37</v>
      </c>
      <c r="L24" s="11">
        <v>41381</v>
      </c>
      <c r="M24" s="11">
        <v>41388</v>
      </c>
      <c r="N24" s="11">
        <v>41395</v>
      </c>
      <c r="O24" s="11">
        <v>41404</v>
      </c>
      <c r="P24" s="11">
        <v>41410</v>
      </c>
      <c r="Q24" s="11">
        <v>41417</v>
      </c>
      <c r="R24" s="11">
        <v>41423</v>
      </c>
      <c r="S24" s="11">
        <v>41430</v>
      </c>
      <c r="T24" s="11">
        <v>41438</v>
      </c>
      <c r="U24" s="11">
        <v>41447</v>
      </c>
      <c r="V24" s="11">
        <v>41451</v>
      </c>
      <c r="W24" s="11">
        <v>41456</v>
      </c>
      <c r="X24" s="11">
        <v>41463</v>
      </c>
      <c r="Y24" s="11">
        <v>41470</v>
      </c>
      <c r="Z24" s="11">
        <v>41478</v>
      </c>
      <c r="AA24" s="11" t="s">
        <v>89</v>
      </c>
    </row>
    <row r="25" spans="1:27" x14ac:dyDescent="0.25">
      <c r="A25" s="35" t="s">
        <v>85</v>
      </c>
      <c r="B25" s="37">
        <v>41388</v>
      </c>
      <c r="C25" s="35">
        <v>11</v>
      </c>
      <c r="D25" s="35">
        <v>47.4</v>
      </c>
      <c r="E25" s="35">
        <v>1.21</v>
      </c>
      <c r="F25" s="35">
        <v>25</v>
      </c>
      <c r="G25" s="35"/>
      <c r="I25" s="34">
        <v>4</v>
      </c>
      <c r="K25" s="15">
        <v>1</v>
      </c>
      <c r="L25" s="10">
        <v>1.05</v>
      </c>
      <c r="M25" s="10">
        <v>1.37</v>
      </c>
      <c r="N25" s="10">
        <v>1.82</v>
      </c>
      <c r="O25" s="10">
        <v>2.15</v>
      </c>
      <c r="P25" s="10">
        <v>2.89</v>
      </c>
      <c r="Q25" s="10">
        <v>4.21</v>
      </c>
      <c r="R25" s="10">
        <v>3.05</v>
      </c>
      <c r="S25" s="10">
        <v>3.39</v>
      </c>
      <c r="T25" s="10">
        <v>3.73</v>
      </c>
      <c r="U25" s="10">
        <v>3.05</v>
      </c>
      <c r="V25" s="10">
        <v>3.21</v>
      </c>
      <c r="W25" s="10">
        <v>3.14</v>
      </c>
      <c r="X25" s="10">
        <v>3.5</v>
      </c>
      <c r="Y25" s="10">
        <v>3.12</v>
      </c>
      <c r="Z25" s="10">
        <v>2.79</v>
      </c>
      <c r="AA25" s="10">
        <v>42.47</v>
      </c>
    </row>
    <row r="26" spans="1:27" x14ac:dyDescent="0.25">
      <c r="A26" s="35" t="s">
        <v>85</v>
      </c>
      <c r="B26" s="37">
        <v>41388</v>
      </c>
      <c r="C26" s="35">
        <v>12</v>
      </c>
      <c r="D26" s="35">
        <v>46.5</v>
      </c>
      <c r="E26" s="35">
        <v>1.74</v>
      </c>
      <c r="F26" s="35">
        <v>26</v>
      </c>
      <c r="G26" s="35"/>
      <c r="I26" s="34">
        <v>5</v>
      </c>
      <c r="K26" s="15">
        <v>2</v>
      </c>
      <c r="L26" s="10">
        <v>0.73</v>
      </c>
      <c r="M26" s="10">
        <v>0.99</v>
      </c>
      <c r="N26" s="10">
        <v>1.71</v>
      </c>
      <c r="O26" s="10">
        <v>2.1800000000000002</v>
      </c>
      <c r="P26" s="10">
        <v>2.82</v>
      </c>
      <c r="Q26" s="10">
        <v>2.57</v>
      </c>
      <c r="R26" s="10">
        <v>3.4</v>
      </c>
      <c r="S26" s="10">
        <v>3.41</v>
      </c>
      <c r="T26" s="10">
        <v>3.54</v>
      </c>
      <c r="U26" s="10">
        <v>3.05</v>
      </c>
      <c r="V26" s="10">
        <v>3.59</v>
      </c>
      <c r="W26" s="10">
        <v>3.18</v>
      </c>
      <c r="X26" s="10">
        <v>3.26</v>
      </c>
      <c r="Y26" s="10">
        <v>1.98</v>
      </c>
      <c r="Z26" s="10">
        <v>2.25</v>
      </c>
      <c r="AA26" s="10">
        <v>38.659999999999997</v>
      </c>
    </row>
    <row r="27" spans="1:27" x14ac:dyDescent="0.25">
      <c r="A27" s="35" t="s">
        <v>85</v>
      </c>
      <c r="B27" s="37">
        <v>41395</v>
      </c>
      <c r="C27" s="35">
        <v>1</v>
      </c>
      <c r="D27" s="35">
        <v>50</v>
      </c>
      <c r="E27" s="35">
        <v>1.82</v>
      </c>
      <c r="F27" s="35">
        <v>43</v>
      </c>
      <c r="G27" s="35"/>
      <c r="I27" s="34">
        <v>6</v>
      </c>
      <c r="K27" s="15">
        <v>3</v>
      </c>
      <c r="L27" s="10">
        <v>0.72</v>
      </c>
      <c r="M27" s="10">
        <v>1.0900000000000001</v>
      </c>
      <c r="N27" s="10">
        <v>1.79</v>
      </c>
      <c r="O27" s="10">
        <v>2.52</v>
      </c>
      <c r="P27" s="10">
        <v>2.95</v>
      </c>
      <c r="Q27" s="10">
        <v>1.98</v>
      </c>
      <c r="R27" s="10">
        <v>3.26</v>
      </c>
      <c r="S27" s="10">
        <v>3.3</v>
      </c>
      <c r="T27" s="10">
        <v>3.46</v>
      </c>
      <c r="U27" s="10">
        <v>2.41</v>
      </c>
      <c r="V27" s="10">
        <v>3.08</v>
      </c>
      <c r="W27" s="10">
        <v>2.98</v>
      </c>
      <c r="X27" s="10">
        <v>2.91</v>
      </c>
      <c r="Y27" s="10">
        <v>1.45</v>
      </c>
      <c r="Z27" s="10">
        <v>2.4700000000000002</v>
      </c>
      <c r="AA27" s="10">
        <v>36.370000000000005</v>
      </c>
    </row>
    <row r="28" spans="1:27" x14ac:dyDescent="0.25">
      <c r="A28" s="35" t="s">
        <v>85</v>
      </c>
      <c r="B28" s="37">
        <v>41395</v>
      </c>
      <c r="C28" s="35">
        <v>2</v>
      </c>
      <c r="D28" s="35">
        <v>47</v>
      </c>
      <c r="E28" s="35">
        <v>1.71</v>
      </c>
      <c r="F28" s="35">
        <v>41</v>
      </c>
      <c r="G28" s="35"/>
      <c r="I28" s="34">
        <v>7</v>
      </c>
      <c r="K28" s="15">
        <v>4</v>
      </c>
      <c r="L28" s="10">
        <v>1.1100000000000001</v>
      </c>
      <c r="M28" s="10">
        <v>2.0299999999999998</v>
      </c>
      <c r="N28" s="10">
        <v>2.34</v>
      </c>
      <c r="O28" s="10">
        <v>2.31</v>
      </c>
      <c r="P28" s="10">
        <v>3.07</v>
      </c>
      <c r="Q28" s="10">
        <v>3.4400000000000004</v>
      </c>
      <c r="R28" s="10">
        <v>3.8</v>
      </c>
      <c r="S28" s="10">
        <v>3.57</v>
      </c>
      <c r="T28" s="10">
        <v>4.1100000000000003</v>
      </c>
      <c r="U28" s="10">
        <v>3.6</v>
      </c>
      <c r="V28" s="10">
        <v>3.78</v>
      </c>
      <c r="W28" s="10">
        <v>3.56</v>
      </c>
      <c r="X28" s="10">
        <v>4.47</v>
      </c>
      <c r="Y28" s="10">
        <v>3.3</v>
      </c>
      <c r="Z28" s="10">
        <v>3.72</v>
      </c>
      <c r="AA28" s="10">
        <v>48.21</v>
      </c>
    </row>
    <row r="29" spans="1:27" x14ac:dyDescent="0.25">
      <c r="A29" s="35" t="s">
        <v>85</v>
      </c>
      <c r="B29" s="37">
        <v>41395</v>
      </c>
      <c r="C29" s="35">
        <v>3</v>
      </c>
      <c r="D29" s="35">
        <v>45.2</v>
      </c>
      <c r="E29" s="35">
        <v>1.79</v>
      </c>
      <c r="F29" s="35">
        <v>32</v>
      </c>
      <c r="G29" s="35"/>
      <c r="I29" s="34">
        <v>8</v>
      </c>
      <c r="K29" s="15">
        <v>5</v>
      </c>
      <c r="L29" s="10">
        <v>1.1299999999999999</v>
      </c>
      <c r="M29" s="10">
        <v>2.0099999999999998</v>
      </c>
      <c r="N29" s="10">
        <v>2.38</v>
      </c>
      <c r="O29" s="10">
        <v>2.71</v>
      </c>
      <c r="P29" s="10">
        <v>3.49</v>
      </c>
      <c r="Q29" s="10">
        <v>3.92</v>
      </c>
      <c r="R29" s="10">
        <v>3.58</v>
      </c>
      <c r="S29" s="10">
        <v>3.57</v>
      </c>
      <c r="T29" s="10">
        <v>4.71</v>
      </c>
      <c r="U29" s="10">
        <v>3.55</v>
      </c>
      <c r="V29" s="10">
        <v>3.29</v>
      </c>
      <c r="W29" s="10">
        <v>2.99</v>
      </c>
      <c r="X29" s="10">
        <v>4.46</v>
      </c>
      <c r="Y29" s="10">
        <v>2.42</v>
      </c>
      <c r="Z29" s="10">
        <v>2.8</v>
      </c>
      <c r="AA29" s="10">
        <v>47.010000000000005</v>
      </c>
    </row>
    <row r="30" spans="1:27" x14ac:dyDescent="0.25">
      <c r="A30" s="35" t="s">
        <v>85</v>
      </c>
      <c r="B30" s="37">
        <v>41395</v>
      </c>
      <c r="C30" s="35">
        <v>4</v>
      </c>
      <c r="D30" s="35">
        <v>48.3</v>
      </c>
      <c r="E30" s="35">
        <v>2.34</v>
      </c>
      <c r="F30" s="35">
        <v>39</v>
      </c>
      <c r="G30" s="35"/>
      <c r="I30" s="34">
        <v>9</v>
      </c>
      <c r="K30" s="15">
        <v>6</v>
      </c>
      <c r="L30" s="10">
        <v>1.1499999999999999</v>
      </c>
      <c r="M30" s="10">
        <v>1.79</v>
      </c>
      <c r="N30" s="10">
        <v>2.3199999999999998</v>
      </c>
      <c r="O30" s="10">
        <v>2.74</v>
      </c>
      <c r="P30" s="10">
        <v>3.28</v>
      </c>
      <c r="Q30" s="10">
        <v>3.1100000000000003</v>
      </c>
      <c r="R30" s="10">
        <v>4.1500000000000004</v>
      </c>
      <c r="S30" s="10">
        <v>3.33</v>
      </c>
      <c r="T30" s="10">
        <v>3.76</v>
      </c>
      <c r="U30" s="10">
        <v>3.7</v>
      </c>
      <c r="V30" s="10">
        <v>3.44</v>
      </c>
      <c r="W30" s="10">
        <v>3.52</v>
      </c>
      <c r="X30" s="10">
        <v>3.24</v>
      </c>
      <c r="Y30" s="10">
        <v>2.21</v>
      </c>
      <c r="Z30" s="10">
        <v>2.4300000000000002</v>
      </c>
      <c r="AA30" s="10">
        <v>44.17</v>
      </c>
    </row>
    <row r="31" spans="1:27" x14ac:dyDescent="0.25">
      <c r="A31" s="35" t="s">
        <v>85</v>
      </c>
      <c r="B31" s="37">
        <v>41395</v>
      </c>
      <c r="C31" s="35">
        <v>5</v>
      </c>
      <c r="D31" s="35">
        <v>43.9</v>
      </c>
      <c r="E31" s="35">
        <v>2.38</v>
      </c>
      <c r="F31" s="35">
        <v>43</v>
      </c>
      <c r="G31" s="35"/>
      <c r="I31" s="34">
        <v>10</v>
      </c>
      <c r="K31" s="15">
        <v>7</v>
      </c>
      <c r="L31" s="10">
        <v>1.17</v>
      </c>
      <c r="M31" s="10">
        <v>1.68</v>
      </c>
      <c r="N31" s="10">
        <v>2.08</v>
      </c>
      <c r="O31" s="10">
        <v>2.59</v>
      </c>
      <c r="P31" s="10">
        <v>3.25</v>
      </c>
      <c r="Q31" s="10">
        <v>3.7</v>
      </c>
      <c r="R31" s="10">
        <v>3.65</v>
      </c>
      <c r="S31" s="10">
        <v>3.44</v>
      </c>
      <c r="T31" s="10">
        <v>3.43</v>
      </c>
      <c r="U31" s="10">
        <v>2.73</v>
      </c>
      <c r="V31" s="10">
        <v>2.89</v>
      </c>
      <c r="W31" s="10">
        <v>2.63</v>
      </c>
      <c r="X31" s="10">
        <v>2.44</v>
      </c>
      <c r="Y31" s="10">
        <v>2.93</v>
      </c>
      <c r="Z31" s="10">
        <v>2.2000000000000002</v>
      </c>
      <c r="AA31" s="10">
        <v>40.81</v>
      </c>
    </row>
    <row r="32" spans="1:27" x14ac:dyDescent="0.25">
      <c r="A32" s="35" t="s">
        <v>85</v>
      </c>
      <c r="B32" s="37">
        <v>41395</v>
      </c>
      <c r="C32" s="35">
        <v>6</v>
      </c>
      <c r="D32" s="35">
        <v>48.2</v>
      </c>
      <c r="E32" s="35">
        <v>2.3199999999999998</v>
      </c>
      <c r="F32" s="35">
        <v>39</v>
      </c>
      <c r="G32" s="35"/>
      <c r="I32" s="34">
        <v>11</v>
      </c>
      <c r="K32" s="15">
        <v>8</v>
      </c>
      <c r="L32" s="10">
        <v>1.07</v>
      </c>
      <c r="M32" s="10">
        <v>1.25</v>
      </c>
      <c r="N32" s="10">
        <v>1.56</v>
      </c>
      <c r="O32" s="10">
        <v>2.34</v>
      </c>
      <c r="P32" s="10">
        <v>3.38</v>
      </c>
      <c r="Q32" s="10">
        <v>3.2199999999999998</v>
      </c>
      <c r="R32" s="10">
        <v>4.05</v>
      </c>
      <c r="S32" s="10">
        <v>3.92</v>
      </c>
      <c r="T32" s="10">
        <v>3.79</v>
      </c>
      <c r="U32" s="10">
        <v>3.84</v>
      </c>
      <c r="V32" s="10">
        <v>3.82</v>
      </c>
      <c r="W32" s="10">
        <v>3.49</v>
      </c>
      <c r="X32" s="10">
        <v>2.75</v>
      </c>
      <c r="Y32" s="10">
        <v>2.4500000000000002</v>
      </c>
      <c r="Z32" s="10">
        <v>2.71</v>
      </c>
      <c r="AA32" s="10">
        <v>43.64</v>
      </c>
    </row>
    <row r="33" spans="1:27" x14ac:dyDescent="0.25">
      <c r="A33" s="35" t="s">
        <v>85</v>
      </c>
      <c r="B33" s="37">
        <v>41395</v>
      </c>
      <c r="C33" s="35">
        <v>7</v>
      </c>
      <c r="D33" s="35">
        <v>45</v>
      </c>
      <c r="E33" s="35">
        <v>2.08</v>
      </c>
      <c r="F33" s="35">
        <v>34</v>
      </c>
      <c r="G33" s="35"/>
      <c r="I33" s="34">
        <v>12</v>
      </c>
      <c r="K33" s="15">
        <v>9</v>
      </c>
      <c r="L33" s="10">
        <v>1.74</v>
      </c>
      <c r="M33" s="10">
        <v>2.2999999999999998</v>
      </c>
      <c r="N33" s="10">
        <v>2.4900000000000002</v>
      </c>
      <c r="O33" s="10">
        <v>3.01</v>
      </c>
      <c r="P33" s="10">
        <v>4.09</v>
      </c>
      <c r="Q33" s="10">
        <v>3.16</v>
      </c>
      <c r="R33" s="10">
        <v>3.22</v>
      </c>
      <c r="S33" s="10">
        <v>3.19</v>
      </c>
      <c r="T33" s="10">
        <v>3.56</v>
      </c>
      <c r="U33" s="10">
        <v>3.49</v>
      </c>
      <c r="V33" s="10">
        <v>4.09</v>
      </c>
      <c r="W33" s="10">
        <v>3.53</v>
      </c>
      <c r="X33" s="10">
        <v>2.2200000000000002</v>
      </c>
      <c r="Y33" s="10">
        <v>2.9</v>
      </c>
      <c r="Z33" s="10">
        <v>2.33</v>
      </c>
      <c r="AA33" s="10">
        <v>45.32</v>
      </c>
    </row>
    <row r="34" spans="1:27" x14ac:dyDescent="0.25">
      <c r="A34" s="35" t="s">
        <v>85</v>
      </c>
      <c r="B34" s="37">
        <v>41395</v>
      </c>
      <c r="C34" s="35">
        <v>8</v>
      </c>
      <c r="D34" s="35">
        <v>54</v>
      </c>
      <c r="E34" s="35">
        <v>1.56</v>
      </c>
      <c r="F34" s="35">
        <v>39</v>
      </c>
      <c r="G34" s="35"/>
      <c r="K34" s="15">
        <v>10</v>
      </c>
      <c r="L34" s="10">
        <v>1.01</v>
      </c>
      <c r="M34" s="10">
        <v>2.0499999999999998</v>
      </c>
      <c r="N34" s="10">
        <v>2.35</v>
      </c>
      <c r="O34" s="10">
        <v>3.02</v>
      </c>
      <c r="P34" s="10">
        <v>3.48</v>
      </c>
      <c r="Q34" s="10">
        <v>3.29</v>
      </c>
      <c r="R34" s="10">
        <v>4.7</v>
      </c>
      <c r="S34" s="10">
        <v>3.71</v>
      </c>
      <c r="T34" s="10">
        <v>3.27</v>
      </c>
      <c r="U34" s="10">
        <v>3.36</v>
      </c>
      <c r="V34" s="10">
        <v>4.05</v>
      </c>
      <c r="W34" s="10">
        <v>3.69</v>
      </c>
      <c r="X34" s="10">
        <v>2.29</v>
      </c>
      <c r="Y34" s="10">
        <v>3.53</v>
      </c>
      <c r="Z34" s="10">
        <v>2.77</v>
      </c>
      <c r="AA34" s="10">
        <v>46.57</v>
      </c>
    </row>
    <row r="35" spans="1:27" x14ac:dyDescent="0.25">
      <c r="A35" s="35" t="s">
        <v>85</v>
      </c>
      <c r="B35" s="37">
        <v>41395</v>
      </c>
      <c r="C35" s="35">
        <v>9</v>
      </c>
      <c r="D35" s="35">
        <v>45.2</v>
      </c>
      <c r="E35" s="35">
        <v>2.4900000000000002</v>
      </c>
      <c r="F35" s="35">
        <v>39</v>
      </c>
      <c r="G35" s="35"/>
      <c r="K35" s="15">
        <v>11</v>
      </c>
      <c r="L35" s="10">
        <v>0.95</v>
      </c>
      <c r="M35" s="10">
        <v>1.21</v>
      </c>
      <c r="N35" s="10">
        <v>1.5</v>
      </c>
      <c r="O35" s="10">
        <v>2.3199999999999998</v>
      </c>
      <c r="P35" s="10">
        <v>2.52</v>
      </c>
      <c r="Q35" s="10">
        <v>1.73</v>
      </c>
      <c r="R35" s="10">
        <v>3.06</v>
      </c>
      <c r="S35" s="10">
        <v>3.34</v>
      </c>
      <c r="T35" s="10">
        <v>3.67</v>
      </c>
      <c r="U35" s="10">
        <v>2.88</v>
      </c>
      <c r="V35" s="10">
        <v>3.01</v>
      </c>
      <c r="W35" s="10">
        <v>2.77</v>
      </c>
      <c r="X35" s="10">
        <v>2.31</v>
      </c>
      <c r="Y35" s="10">
        <v>2.0499999999999998</v>
      </c>
      <c r="Z35" s="10">
        <v>2.0299999999999998</v>
      </c>
      <c r="AA35" s="10">
        <v>35.35</v>
      </c>
    </row>
    <row r="36" spans="1:27" x14ac:dyDescent="0.25">
      <c r="A36" s="35" t="s">
        <v>85</v>
      </c>
      <c r="B36" s="37">
        <v>41395</v>
      </c>
      <c r="C36" s="35">
        <v>10</v>
      </c>
      <c r="D36" s="35">
        <v>48.1</v>
      </c>
      <c r="E36" s="35">
        <v>2.35</v>
      </c>
      <c r="F36" s="35">
        <v>39</v>
      </c>
      <c r="G36" s="35"/>
      <c r="K36" s="15">
        <v>12</v>
      </c>
      <c r="L36" s="10">
        <v>0.95</v>
      </c>
      <c r="M36" s="10">
        <v>1.74</v>
      </c>
      <c r="N36" s="10">
        <v>1.99</v>
      </c>
      <c r="O36" s="10">
        <v>2.5</v>
      </c>
      <c r="P36" s="10">
        <v>4.5599999999999996</v>
      </c>
      <c r="Q36" s="10">
        <v>3.6100000000000003</v>
      </c>
      <c r="R36" s="10">
        <v>3.92</v>
      </c>
      <c r="S36" s="10">
        <v>4</v>
      </c>
      <c r="T36" s="10">
        <v>3.85</v>
      </c>
      <c r="U36" s="10">
        <v>3.1</v>
      </c>
      <c r="V36" s="10">
        <v>4.2300000000000004</v>
      </c>
      <c r="W36" s="10">
        <v>3.7</v>
      </c>
      <c r="X36" s="10">
        <v>3.32</v>
      </c>
      <c r="Y36" s="10">
        <v>2.96</v>
      </c>
      <c r="Z36" s="10">
        <v>3.15</v>
      </c>
      <c r="AA36" s="10">
        <v>47.580000000000005</v>
      </c>
    </row>
    <row r="37" spans="1:27" x14ac:dyDescent="0.25">
      <c r="A37" s="35" t="s">
        <v>85</v>
      </c>
      <c r="B37" s="37">
        <v>41395</v>
      </c>
      <c r="C37" s="35">
        <v>11</v>
      </c>
      <c r="D37" s="35">
        <v>46.2</v>
      </c>
      <c r="E37" s="35">
        <v>1.5</v>
      </c>
      <c r="F37" s="35">
        <v>33</v>
      </c>
      <c r="G37" s="35"/>
      <c r="K37" s="15" t="s">
        <v>89</v>
      </c>
      <c r="L37" s="10">
        <v>12.78</v>
      </c>
      <c r="M37" s="10">
        <v>19.510000000000002</v>
      </c>
      <c r="N37" s="10">
        <v>24.330000000000002</v>
      </c>
      <c r="O37" s="10">
        <v>30.390000000000004</v>
      </c>
      <c r="P37" s="10">
        <v>39.78</v>
      </c>
      <c r="Q37" s="10">
        <v>37.939999999999991</v>
      </c>
      <c r="R37" s="10">
        <v>43.84</v>
      </c>
      <c r="S37" s="10">
        <v>42.17</v>
      </c>
      <c r="T37" s="10">
        <v>44.88000000000001</v>
      </c>
      <c r="U37" s="10">
        <v>38.760000000000005</v>
      </c>
      <c r="V37" s="10">
        <v>42.480000000000004</v>
      </c>
      <c r="W37" s="10">
        <v>39.180000000000007</v>
      </c>
      <c r="X37" s="10">
        <v>37.17</v>
      </c>
      <c r="Y37" s="10">
        <v>31.3</v>
      </c>
      <c r="Z37" s="10">
        <v>31.650000000000002</v>
      </c>
      <c r="AA37" s="10">
        <v>516.16000000000008</v>
      </c>
    </row>
    <row r="38" spans="1:27" x14ac:dyDescent="0.25">
      <c r="A38" s="35" t="s">
        <v>85</v>
      </c>
      <c r="B38" s="37">
        <v>41395</v>
      </c>
      <c r="C38" s="35">
        <v>12</v>
      </c>
      <c r="D38" s="35">
        <v>47.9</v>
      </c>
      <c r="E38" s="35">
        <v>1.99</v>
      </c>
      <c r="F38" s="35">
        <v>31</v>
      </c>
      <c r="G38" s="35"/>
      <c r="K38"/>
      <c r="L38">
        <f>_xlfn.STDEV.S(L25:L36)</f>
        <v>0.25956256909024311</v>
      </c>
      <c r="M38">
        <f t="shared" ref="M38:AA38" si="0">_xlfn.STDEV.S(M25:M36)</f>
        <v>0.43267578316024657</v>
      </c>
      <c r="N38">
        <f t="shared" si="0"/>
        <v>0.34727837929717342</v>
      </c>
      <c r="O38">
        <f t="shared" si="0"/>
        <v>0.29341639664166724</v>
      </c>
      <c r="P38">
        <f t="shared" si="0"/>
        <v>0.56158056169415893</v>
      </c>
      <c r="Q38">
        <f t="shared" si="0"/>
        <v>0.74229170121790766</v>
      </c>
      <c r="R38">
        <f t="shared" si="0"/>
        <v>0.49728962355650236</v>
      </c>
      <c r="S38">
        <f t="shared" si="0"/>
        <v>0.25086969936723336</v>
      </c>
      <c r="T38">
        <f t="shared" si="0"/>
        <v>0.37726286953167376</v>
      </c>
      <c r="U38">
        <f t="shared" si="0"/>
        <v>0.43100305841563546</v>
      </c>
      <c r="V38">
        <f t="shared" si="0"/>
        <v>0.45463271889614959</v>
      </c>
      <c r="W38">
        <f t="shared" si="0"/>
        <v>0.36565010597564185</v>
      </c>
      <c r="X38">
        <f t="shared" si="0"/>
        <v>0.77628632252890672</v>
      </c>
      <c r="Y38">
        <f t="shared" si="0"/>
        <v>0.61565683081838118</v>
      </c>
      <c r="Z38">
        <f t="shared" si="0"/>
        <v>0.46546408903568254</v>
      </c>
      <c r="AA38">
        <f t="shared" si="0"/>
        <v>4.374474167534224</v>
      </c>
    </row>
    <row r="39" spans="1:27" x14ac:dyDescent="0.25">
      <c r="A39" s="35" t="s">
        <v>85</v>
      </c>
      <c r="B39" s="37">
        <v>41404</v>
      </c>
      <c r="C39" s="35">
        <v>1</v>
      </c>
      <c r="D39" s="35">
        <v>49.2</v>
      </c>
      <c r="E39" s="35">
        <v>2.15</v>
      </c>
      <c r="F39" s="35">
        <v>45</v>
      </c>
      <c r="G39" s="35"/>
      <c r="K39"/>
      <c r="L39">
        <f>AVERAGE(L25:L36)</f>
        <v>1.0649999999999999</v>
      </c>
      <c r="M39">
        <f t="shared" ref="M39:AA39" si="1">AVERAGE(M25:M36)</f>
        <v>1.6258333333333335</v>
      </c>
      <c r="N39">
        <f t="shared" si="1"/>
        <v>2.0275000000000003</v>
      </c>
      <c r="O39">
        <f t="shared" si="1"/>
        <v>2.5325000000000002</v>
      </c>
      <c r="P39">
        <f t="shared" si="1"/>
        <v>3.3149999999999999</v>
      </c>
      <c r="Q39">
        <f t="shared" si="1"/>
        <v>3.1616666666666657</v>
      </c>
      <c r="R39">
        <f t="shared" si="1"/>
        <v>3.6533333333333338</v>
      </c>
      <c r="S39">
        <f t="shared" si="1"/>
        <v>3.5141666666666667</v>
      </c>
      <c r="T39">
        <f t="shared" si="1"/>
        <v>3.7400000000000007</v>
      </c>
      <c r="U39">
        <f t="shared" si="1"/>
        <v>3.2300000000000004</v>
      </c>
      <c r="V39">
        <f t="shared" si="1"/>
        <v>3.5400000000000005</v>
      </c>
      <c r="W39">
        <f t="shared" si="1"/>
        <v>3.2650000000000006</v>
      </c>
      <c r="X39">
        <f t="shared" si="1"/>
        <v>3.0975000000000001</v>
      </c>
      <c r="Y39">
        <f t="shared" si="1"/>
        <v>2.6083333333333334</v>
      </c>
      <c r="Z39">
        <f t="shared" si="1"/>
        <v>2.6375000000000002</v>
      </c>
      <c r="AA39">
        <f t="shared" si="1"/>
        <v>43.013333333333343</v>
      </c>
    </row>
    <row r="40" spans="1:27" x14ac:dyDescent="0.25">
      <c r="A40" s="35" t="s">
        <v>85</v>
      </c>
      <c r="B40" s="37">
        <v>41404</v>
      </c>
      <c r="C40" s="35">
        <v>2</v>
      </c>
      <c r="D40" s="35">
        <v>45.7</v>
      </c>
      <c r="E40" s="35">
        <v>2.1800000000000002</v>
      </c>
      <c r="F40" s="35">
        <v>44</v>
      </c>
      <c r="G40" s="35"/>
      <c r="K40"/>
      <c r="L40">
        <f>L38/L39</f>
        <v>0.24372072215046303</v>
      </c>
      <c r="M40">
        <f t="shared" ref="M40:AA40" si="2">M38/M39</f>
        <v>0.26612554576745046</v>
      </c>
      <c r="N40">
        <f t="shared" si="2"/>
        <v>0.17128403417863053</v>
      </c>
      <c r="O40">
        <f t="shared" si="2"/>
        <v>0.11586037379730196</v>
      </c>
      <c r="P40">
        <f t="shared" si="2"/>
        <v>0.16940590096354718</v>
      </c>
      <c r="Q40">
        <f t="shared" si="2"/>
        <v>0.23477860871415115</v>
      </c>
      <c r="R40">
        <f t="shared" si="2"/>
        <v>0.13611942250634188</v>
      </c>
      <c r="S40">
        <f t="shared" si="2"/>
        <v>7.1388105108057862E-2</v>
      </c>
      <c r="T40">
        <f t="shared" si="2"/>
        <v>0.10087242500846891</v>
      </c>
      <c r="U40">
        <f t="shared" si="2"/>
        <v>0.13343747938564562</v>
      </c>
      <c r="V40">
        <f t="shared" si="2"/>
        <v>0.12842732172207613</v>
      </c>
      <c r="W40">
        <f t="shared" si="2"/>
        <v>0.11199084409667436</v>
      </c>
      <c r="X40">
        <f t="shared" si="2"/>
        <v>0.25061705327809741</v>
      </c>
      <c r="Y40">
        <f t="shared" si="2"/>
        <v>0.23603456772589693</v>
      </c>
      <c r="Z40">
        <f t="shared" si="2"/>
        <v>0.17647927546376588</v>
      </c>
      <c r="AA40">
        <f t="shared" si="2"/>
        <v>0.1017004223698285</v>
      </c>
    </row>
    <row r="41" spans="1:27" x14ac:dyDescent="0.25">
      <c r="A41" s="35" t="s">
        <v>85</v>
      </c>
      <c r="B41" s="37">
        <v>41404</v>
      </c>
      <c r="C41" s="35">
        <v>3</v>
      </c>
      <c r="D41" s="35">
        <v>43.6</v>
      </c>
      <c r="E41" s="35">
        <v>2.52</v>
      </c>
      <c r="F41" s="35">
        <v>41</v>
      </c>
      <c r="G41" s="35"/>
    </row>
    <row r="42" spans="1:27" x14ac:dyDescent="0.25">
      <c r="A42" s="35" t="s">
        <v>85</v>
      </c>
      <c r="B42" s="37">
        <v>41404</v>
      </c>
      <c r="C42" s="35">
        <v>4</v>
      </c>
      <c r="D42" s="35">
        <v>45.8</v>
      </c>
      <c r="E42" s="35">
        <v>2.31</v>
      </c>
      <c r="F42" s="35">
        <v>42</v>
      </c>
      <c r="G42" s="35"/>
    </row>
    <row r="43" spans="1:27" x14ac:dyDescent="0.25">
      <c r="A43" s="35" t="s">
        <v>85</v>
      </c>
      <c r="B43" s="37">
        <v>41404</v>
      </c>
      <c r="C43" s="35">
        <v>5</v>
      </c>
      <c r="D43" s="35">
        <v>41.4</v>
      </c>
      <c r="E43" s="35">
        <v>2.71</v>
      </c>
      <c r="F43" s="35">
        <v>48</v>
      </c>
      <c r="G43" s="35"/>
    </row>
    <row r="44" spans="1:27" x14ac:dyDescent="0.25">
      <c r="A44" s="35" t="s">
        <v>85</v>
      </c>
      <c r="B44" s="37">
        <v>41404</v>
      </c>
      <c r="C44" s="35">
        <v>6</v>
      </c>
      <c r="D44" s="35">
        <v>45</v>
      </c>
      <c r="E44" s="35">
        <v>2.74</v>
      </c>
      <c r="F44" s="35">
        <v>43</v>
      </c>
      <c r="G44" s="35"/>
    </row>
    <row r="45" spans="1:27" x14ac:dyDescent="0.25">
      <c r="A45" s="35" t="s">
        <v>85</v>
      </c>
      <c r="B45" s="37">
        <v>41404</v>
      </c>
      <c r="C45" s="35">
        <v>7</v>
      </c>
      <c r="D45" s="35">
        <v>43.9</v>
      </c>
      <c r="E45" s="35">
        <v>2.59</v>
      </c>
      <c r="F45" s="35">
        <v>43</v>
      </c>
      <c r="G45" s="35"/>
    </row>
    <row r="46" spans="1:27" x14ac:dyDescent="0.25">
      <c r="A46" s="35" t="s">
        <v>85</v>
      </c>
      <c r="B46" s="37">
        <v>41404</v>
      </c>
      <c r="C46" s="35">
        <v>8</v>
      </c>
      <c r="D46" s="35">
        <v>43.9</v>
      </c>
      <c r="E46" s="35">
        <v>2.34</v>
      </c>
      <c r="F46" s="35">
        <v>42</v>
      </c>
      <c r="G46" s="35"/>
    </row>
    <row r="47" spans="1:27" x14ac:dyDescent="0.25">
      <c r="A47" s="35" t="s">
        <v>85</v>
      </c>
      <c r="B47" s="37">
        <v>41404</v>
      </c>
      <c r="C47" s="35">
        <v>9</v>
      </c>
      <c r="D47" s="35">
        <v>42.6</v>
      </c>
      <c r="E47" s="35">
        <v>3.01</v>
      </c>
      <c r="F47" s="35">
        <v>47</v>
      </c>
      <c r="G47" s="35"/>
    </row>
    <row r="48" spans="1:27" x14ac:dyDescent="0.25">
      <c r="A48" s="35" t="s">
        <v>85</v>
      </c>
      <c r="B48" s="37">
        <v>41404</v>
      </c>
      <c r="C48" s="35">
        <v>10</v>
      </c>
      <c r="D48" s="35">
        <v>45.1</v>
      </c>
      <c r="E48" s="35">
        <v>3.02</v>
      </c>
      <c r="F48" s="35">
        <v>54</v>
      </c>
      <c r="G48" s="35"/>
    </row>
    <row r="49" spans="1:7" x14ac:dyDescent="0.25">
      <c r="A49" s="35" t="s">
        <v>85</v>
      </c>
      <c r="B49" s="37">
        <v>41404</v>
      </c>
      <c r="C49" s="35">
        <v>11</v>
      </c>
      <c r="D49" s="35">
        <v>44.9</v>
      </c>
      <c r="E49" s="35">
        <v>2.3199999999999998</v>
      </c>
      <c r="F49" s="35">
        <v>45</v>
      </c>
      <c r="G49" s="35"/>
    </row>
    <row r="50" spans="1:7" x14ac:dyDescent="0.25">
      <c r="A50" s="35" t="s">
        <v>85</v>
      </c>
      <c r="B50" s="37">
        <v>41404</v>
      </c>
      <c r="C50" s="35">
        <v>12</v>
      </c>
      <c r="D50" s="35">
        <v>45.9</v>
      </c>
      <c r="E50" s="35">
        <v>2.5</v>
      </c>
      <c r="F50" s="35">
        <v>49</v>
      </c>
      <c r="G50" s="35"/>
    </row>
    <row r="51" spans="1:7" x14ac:dyDescent="0.25">
      <c r="A51" s="35" t="s">
        <v>85</v>
      </c>
      <c r="B51" s="37">
        <v>41410</v>
      </c>
      <c r="C51" s="35">
        <v>1</v>
      </c>
      <c r="D51" s="35">
        <v>53.3</v>
      </c>
      <c r="E51" s="35">
        <v>2.89</v>
      </c>
      <c r="F51" s="35">
        <v>52</v>
      </c>
      <c r="G51" s="35"/>
    </row>
    <row r="52" spans="1:7" x14ac:dyDescent="0.25">
      <c r="A52" s="35" t="s">
        <v>85</v>
      </c>
      <c r="B52" s="37">
        <v>41410</v>
      </c>
      <c r="C52" s="35">
        <v>2</v>
      </c>
      <c r="D52" s="35">
        <v>46.3</v>
      </c>
      <c r="E52" s="35">
        <v>2.82</v>
      </c>
      <c r="F52" s="35">
        <v>50</v>
      </c>
      <c r="G52" s="35"/>
    </row>
    <row r="53" spans="1:7" x14ac:dyDescent="0.25">
      <c r="A53" s="35" t="s">
        <v>85</v>
      </c>
      <c r="B53" s="37">
        <v>41410</v>
      </c>
      <c r="C53" s="35">
        <v>3</v>
      </c>
      <c r="D53" s="35">
        <v>46.4</v>
      </c>
      <c r="E53" s="35">
        <v>2.95</v>
      </c>
      <c r="F53" s="35">
        <v>53</v>
      </c>
      <c r="G53" s="35"/>
    </row>
    <row r="54" spans="1:7" x14ac:dyDescent="0.25">
      <c r="A54" s="35" t="s">
        <v>85</v>
      </c>
      <c r="B54" s="37">
        <v>41410</v>
      </c>
      <c r="C54" s="35">
        <v>4</v>
      </c>
      <c r="D54" s="35">
        <v>49.1</v>
      </c>
      <c r="E54" s="35">
        <v>3.07</v>
      </c>
      <c r="F54" s="35">
        <v>54</v>
      </c>
      <c r="G54" s="35"/>
    </row>
    <row r="55" spans="1:7" x14ac:dyDescent="0.25">
      <c r="A55" s="35" t="s">
        <v>85</v>
      </c>
      <c r="B55" s="37">
        <v>41410</v>
      </c>
      <c r="C55" s="35">
        <v>5</v>
      </c>
      <c r="D55" s="35">
        <v>42.8</v>
      </c>
      <c r="E55" s="35">
        <v>3.49</v>
      </c>
      <c r="F55" s="35">
        <v>57</v>
      </c>
      <c r="G55" s="35"/>
    </row>
    <row r="56" spans="1:7" x14ac:dyDescent="0.25">
      <c r="A56" s="35" t="s">
        <v>85</v>
      </c>
      <c r="B56" s="37">
        <v>41410</v>
      </c>
      <c r="C56" s="35">
        <v>6</v>
      </c>
      <c r="D56" s="35">
        <v>44.5</v>
      </c>
      <c r="E56" s="35">
        <v>3.28</v>
      </c>
      <c r="F56" s="35">
        <v>54</v>
      </c>
      <c r="G56" s="35"/>
    </row>
    <row r="57" spans="1:7" x14ac:dyDescent="0.25">
      <c r="A57" s="35" t="s">
        <v>85</v>
      </c>
      <c r="B57" s="37">
        <v>41410</v>
      </c>
      <c r="C57" s="35">
        <v>7</v>
      </c>
      <c r="D57" s="35">
        <v>48.6</v>
      </c>
      <c r="E57" s="35">
        <v>3.25</v>
      </c>
      <c r="F57" s="35">
        <v>53</v>
      </c>
      <c r="G57" s="35"/>
    </row>
    <row r="58" spans="1:7" x14ac:dyDescent="0.25">
      <c r="A58" s="35" t="s">
        <v>85</v>
      </c>
      <c r="B58" s="37">
        <v>41410</v>
      </c>
      <c r="C58" s="35">
        <v>8</v>
      </c>
      <c r="D58" s="35">
        <v>45.9</v>
      </c>
      <c r="E58" s="35">
        <v>3.38</v>
      </c>
      <c r="F58" s="35">
        <v>54</v>
      </c>
      <c r="G58" s="35"/>
    </row>
    <row r="59" spans="1:7" x14ac:dyDescent="0.25">
      <c r="A59" s="35" t="s">
        <v>85</v>
      </c>
      <c r="B59" s="37">
        <v>41410</v>
      </c>
      <c r="C59" s="35">
        <v>9</v>
      </c>
      <c r="D59" s="35">
        <v>47</v>
      </c>
      <c r="E59" s="35">
        <v>4.09</v>
      </c>
      <c r="F59" s="35">
        <v>56</v>
      </c>
      <c r="G59" s="35"/>
    </row>
    <row r="60" spans="1:7" x14ac:dyDescent="0.25">
      <c r="A60" s="35" t="s">
        <v>85</v>
      </c>
      <c r="B60" s="37">
        <v>41410</v>
      </c>
      <c r="C60" s="35">
        <v>10</v>
      </c>
      <c r="D60" s="35">
        <v>46.4</v>
      </c>
      <c r="E60" s="35">
        <v>3.48</v>
      </c>
      <c r="F60" s="35">
        <v>60</v>
      </c>
      <c r="G60" s="35"/>
    </row>
    <row r="61" spans="1:7" x14ac:dyDescent="0.25">
      <c r="A61" s="35" t="s">
        <v>85</v>
      </c>
      <c r="B61" s="37">
        <v>41410</v>
      </c>
      <c r="C61" s="35">
        <v>11</v>
      </c>
      <c r="D61" s="35">
        <v>49.2</v>
      </c>
      <c r="E61" s="35">
        <v>2.52</v>
      </c>
      <c r="F61" s="35">
        <v>64</v>
      </c>
      <c r="G61" s="35"/>
    </row>
    <row r="62" spans="1:7" x14ac:dyDescent="0.25">
      <c r="A62" s="35" t="s">
        <v>85</v>
      </c>
      <c r="B62" s="37">
        <v>41410</v>
      </c>
      <c r="C62" s="35">
        <v>12</v>
      </c>
      <c r="D62" s="35">
        <v>45.1</v>
      </c>
      <c r="E62" s="35">
        <v>4.5599999999999996</v>
      </c>
      <c r="F62" s="35">
        <v>52</v>
      </c>
      <c r="G62" s="35"/>
    </row>
    <row r="63" spans="1:7" x14ac:dyDescent="0.25">
      <c r="A63" s="35" t="s">
        <v>85</v>
      </c>
      <c r="B63" s="37">
        <v>41417</v>
      </c>
      <c r="C63" s="35">
        <v>1</v>
      </c>
      <c r="D63" s="35">
        <v>49.2</v>
      </c>
      <c r="E63" s="35">
        <v>4.21</v>
      </c>
      <c r="F63" s="35">
        <v>60.5</v>
      </c>
      <c r="G63" s="35"/>
    </row>
    <row r="64" spans="1:7" x14ac:dyDescent="0.25">
      <c r="A64" s="35" t="s">
        <v>85</v>
      </c>
      <c r="B64" s="37">
        <v>41417</v>
      </c>
      <c r="C64" s="35">
        <v>2</v>
      </c>
      <c r="D64" s="35">
        <v>45.7</v>
      </c>
      <c r="E64" s="35">
        <v>2.57</v>
      </c>
      <c r="F64" s="35">
        <v>62.5</v>
      </c>
      <c r="G64" s="35"/>
    </row>
    <row r="65" spans="1:7" x14ac:dyDescent="0.25">
      <c r="A65" s="35" t="s">
        <v>85</v>
      </c>
      <c r="B65" s="37">
        <v>41417</v>
      </c>
      <c r="C65" s="35">
        <v>3</v>
      </c>
      <c r="D65" s="35">
        <v>42</v>
      </c>
      <c r="E65" s="35">
        <v>1.98</v>
      </c>
      <c r="F65" s="35">
        <v>63.5</v>
      </c>
      <c r="G65" s="35"/>
    </row>
    <row r="66" spans="1:7" x14ac:dyDescent="0.25">
      <c r="A66" s="35" t="s">
        <v>85</v>
      </c>
      <c r="B66" s="37">
        <v>41417</v>
      </c>
      <c r="C66" s="35">
        <v>4</v>
      </c>
      <c r="D66" s="35">
        <v>48.2</v>
      </c>
      <c r="E66" s="35">
        <v>3.4400000000000004</v>
      </c>
      <c r="F66" s="35">
        <v>68</v>
      </c>
      <c r="G66" s="35"/>
    </row>
    <row r="67" spans="1:7" x14ac:dyDescent="0.25">
      <c r="A67" s="35" t="s">
        <v>85</v>
      </c>
      <c r="B67" s="37">
        <v>41417</v>
      </c>
      <c r="C67" s="35">
        <v>5</v>
      </c>
      <c r="D67" s="35">
        <v>43.4</v>
      </c>
      <c r="E67" s="35">
        <v>3.92</v>
      </c>
      <c r="F67" s="35">
        <v>68</v>
      </c>
      <c r="G67" s="35"/>
    </row>
    <row r="68" spans="1:7" x14ac:dyDescent="0.25">
      <c r="A68" s="35" t="s">
        <v>85</v>
      </c>
      <c r="B68" s="37">
        <v>41417</v>
      </c>
      <c r="C68" s="35">
        <v>6</v>
      </c>
      <c r="D68" s="35">
        <v>46.3</v>
      </c>
      <c r="E68" s="35">
        <v>3.1100000000000003</v>
      </c>
      <c r="F68" s="35">
        <v>67</v>
      </c>
      <c r="G68" s="35"/>
    </row>
    <row r="69" spans="1:7" x14ac:dyDescent="0.25">
      <c r="A69" s="35" t="s">
        <v>85</v>
      </c>
      <c r="B69" s="37">
        <v>41417</v>
      </c>
      <c r="C69" s="35">
        <v>7</v>
      </c>
      <c r="D69" s="35">
        <v>47.8</v>
      </c>
      <c r="E69" s="35">
        <v>3.7</v>
      </c>
      <c r="F69" s="35">
        <v>66</v>
      </c>
      <c r="G69" s="35"/>
    </row>
    <row r="70" spans="1:7" x14ac:dyDescent="0.25">
      <c r="A70" s="35" t="s">
        <v>85</v>
      </c>
      <c r="B70" s="37">
        <v>41417</v>
      </c>
      <c r="C70" s="35">
        <v>8</v>
      </c>
      <c r="D70" s="35">
        <v>46.4</v>
      </c>
      <c r="E70" s="35">
        <v>3.2199999999999998</v>
      </c>
      <c r="F70" s="35">
        <v>67</v>
      </c>
      <c r="G70" s="35"/>
    </row>
    <row r="71" spans="1:7" x14ac:dyDescent="0.25">
      <c r="A71" s="35" t="s">
        <v>85</v>
      </c>
      <c r="B71" s="37">
        <v>41417</v>
      </c>
      <c r="C71" s="35">
        <v>9</v>
      </c>
      <c r="D71" s="35">
        <v>46.7</v>
      </c>
      <c r="E71" s="35">
        <v>3.16</v>
      </c>
      <c r="F71" s="35">
        <v>68</v>
      </c>
      <c r="G71" s="35"/>
    </row>
    <row r="72" spans="1:7" x14ac:dyDescent="0.25">
      <c r="A72" s="35" t="s">
        <v>85</v>
      </c>
      <c r="B72" s="37">
        <v>41417</v>
      </c>
      <c r="C72" s="35">
        <v>10</v>
      </c>
      <c r="D72" s="35">
        <v>46.2</v>
      </c>
      <c r="E72" s="35">
        <v>3.29</v>
      </c>
      <c r="F72" s="35">
        <v>76</v>
      </c>
      <c r="G72" s="35"/>
    </row>
    <row r="73" spans="1:7" x14ac:dyDescent="0.25">
      <c r="A73" s="35" t="s">
        <v>85</v>
      </c>
      <c r="B73" s="37">
        <v>41417</v>
      </c>
      <c r="C73" s="35">
        <v>11</v>
      </c>
      <c r="D73" s="35">
        <v>43.6</v>
      </c>
      <c r="E73" s="35">
        <v>1.73</v>
      </c>
      <c r="F73" s="35">
        <v>64</v>
      </c>
      <c r="G73" s="35"/>
    </row>
    <row r="74" spans="1:7" x14ac:dyDescent="0.25">
      <c r="A74" s="35" t="s">
        <v>85</v>
      </c>
      <c r="B74" s="37">
        <v>41417</v>
      </c>
      <c r="C74" s="35">
        <v>12</v>
      </c>
      <c r="D74" s="35">
        <v>47.4</v>
      </c>
      <c r="E74" s="35">
        <v>3.6100000000000003</v>
      </c>
      <c r="F74" s="35">
        <v>73</v>
      </c>
      <c r="G74" s="35"/>
    </row>
    <row r="75" spans="1:7" x14ac:dyDescent="0.25">
      <c r="A75" s="35" t="s">
        <v>85</v>
      </c>
      <c r="B75" s="37">
        <v>41423</v>
      </c>
      <c r="C75" s="35">
        <v>1</v>
      </c>
      <c r="D75" s="35">
        <v>50.6</v>
      </c>
      <c r="E75" s="35">
        <v>3.05</v>
      </c>
      <c r="F75" s="35">
        <v>69</v>
      </c>
      <c r="G75" s="35"/>
    </row>
    <row r="76" spans="1:7" x14ac:dyDescent="0.25">
      <c r="A76" s="35" t="s">
        <v>85</v>
      </c>
      <c r="B76" s="37">
        <v>41423</v>
      </c>
      <c r="C76" s="35">
        <v>2</v>
      </c>
      <c r="D76" s="35">
        <v>47.9</v>
      </c>
      <c r="E76" s="35">
        <v>3.4</v>
      </c>
      <c r="F76" s="35">
        <v>75</v>
      </c>
      <c r="G76" s="35"/>
    </row>
    <row r="77" spans="1:7" x14ac:dyDescent="0.25">
      <c r="A77" s="35" t="s">
        <v>85</v>
      </c>
      <c r="B77" s="37">
        <v>41423</v>
      </c>
      <c r="C77" s="35">
        <v>3</v>
      </c>
      <c r="D77" s="35">
        <v>44.2</v>
      </c>
      <c r="E77" s="35">
        <v>3.26</v>
      </c>
      <c r="F77" s="35">
        <v>67</v>
      </c>
      <c r="G77" s="35"/>
    </row>
    <row r="78" spans="1:7" x14ac:dyDescent="0.25">
      <c r="A78" s="35" t="s">
        <v>85</v>
      </c>
      <c r="B78" s="37">
        <v>41423</v>
      </c>
      <c r="C78" s="35">
        <v>4</v>
      </c>
      <c r="D78" s="35">
        <v>50.9</v>
      </c>
      <c r="E78" s="35">
        <v>3.8</v>
      </c>
      <c r="F78" s="35">
        <v>74</v>
      </c>
      <c r="G78" s="35"/>
    </row>
    <row r="79" spans="1:7" x14ac:dyDescent="0.25">
      <c r="A79" s="35" t="s">
        <v>85</v>
      </c>
      <c r="B79" s="37">
        <v>41423</v>
      </c>
      <c r="C79" s="35">
        <v>5</v>
      </c>
      <c r="D79" s="35">
        <v>44.1</v>
      </c>
      <c r="E79" s="35">
        <v>3.58</v>
      </c>
      <c r="F79" s="35">
        <v>80</v>
      </c>
      <c r="G79" s="35"/>
    </row>
    <row r="80" spans="1:7" x14ac:dyDescent="0.25">
      <c r="A80" s="35" t="s">
        <v>85</v>
      </c>
      <c r="B80" s="37">
        <v>41423</v>
      </c>
      <c r="C80" s="35">
        <v>6</v>
      </c>
      <c r="D80" s="35">
        <v>45.7</v>
      </c>
      <c r="E80" s="35">
        <v>4.1500000000000004</v>
      </c>
      <c r="F80" s="35">
        <v>76</v>
      </c>
      <c r="G80" s="35"/>
    </row>
    <row r="81" spans="1:7" x14ac:dyDescent="0.25">
      <c r="A81" s="35" t="s">
        <v>85</v>
      </c>
      <c r="B81" s="37">
        <v>41423</v>
      </c>
      <c r="C81" s="35">
        <v>7</v>
      </c>
      <c r="D81" s="35">
        <v>49</v>
      </c>
      <c r="E81" s="35">
        <v>3.65</v>
      </c>
      <c r="F81" s="35">
        <v>69</v>
      </c>
      <c r="G81" s="35"/>
    </row>
    <row r="82" spans="1:7" x14ac:dyDescent="0.25">
      <c r="A82" s="35" t="s">
        <v>85</v>
      </c>
      <c r="B82" s="37">
        <v>41423</v>
      </c>
      <c r="C82" s="35">
        <v>8</v>
      </c>
      <c r="D82" s="35">
        <v>48.9</v>
      </c>
      <c r="E82" s="35">
        <v>4.05</v>
      </c>
      <c r="F82" s="35">
        <v>70</v>
      </c>
      <c r="G82" s="35"/>
    </row>
    <row r="83" spans="1:7" x14ac:dyDescent="0.25">
      <c r="A83" s="35" t="s">
        <v>85</v>
      </c>
      <c r="B83" s="37">
        <v>41423</v>
      </c>
      <c r="C83" s="35">
        <v>9</v>
      </c>
      <c r="D83" s="35">
        <v>46</v>
      </c>
      <c r="E83" s="35">
        <v>3.22</v>
      </c>
      <c r="F83" s="35">
        <v>80</v>
      </c>
      <c r="G83" s="35"/>
    </row>
    <row r="84" spans="1:7" x14ac:dyDescent="0.25">
      <c r="A84" s="35" t="s">
        <v>85</v>
      </c>
      <c r="B84" s="37">
        <v>41423</v>
      </c>
      <c r="C84" s="35">
        <v>10</v>
      </c>
      <c r="D84" s="35">
        <v>47</v>
      </c>
      <c r="E84" s="35">
        <v>4.7</v>
      </c>
      <c r="F84" s="35">
        <v>78</v>
      </c>
      <c r="G84" s="35"/>
    </row>
    <row r="85" spans="1:7" x14ac:dyDescent="0.25">
      <c r="A85" s="35" t="s">
        <v>85</v>
      </c>
      <c r="B85" s="37">
        <v>41423</v>
      </c>
      <c r="C85" s="35">
        <v>11</v>
      </c>
      <c r="D85" s="35">
        <v>45.4</v>
      </c>
      <c r="E85" s="35">
        <v>3.06</v>
      </c>
      <c r="F85" s="35">
        <v>71</v>
      </c>
      <c r="G85" s="35"/>
    </row>
    <row r="86" spans="1:7" x14ac:dyDescent="0.25">
      <c r="A86" s="35" t="s">
        <v>85</v>
      </c>
      <c r="B86" s="37">
        <v>41423</v>
      </c>
      <c r="C86" s="35">
        <v>12</v>
      </c>
      <c r="D86" s="35">
        <v>44.5</v>
      </c>
      <c r="E86" s="35">
        <v>3.92</v>
      </c>
      <c r="F86" s="35">
        <v>75</v>
      </c>
      <c r="G86" s="35"/>
    </row>
    <row r="87" spans="1:7" x14ac:dyDescent="0.25">
      <c r="A87" s="35" t="s">
        <v>85</v>
      </c>
      <c r="B87" s="37">
        <v>41430</v>
      </c>
      <c r="C87" s="35">
        <v>1</v>
      </c>
      <c r="D87" s="35">
        <v>47.3</v>
      </c>
      <c r="E87" s="35">
        <v>3.39</v>
      </c>
      <c r="F87" s="35">
        <f>AVERAGE(F75,F99)</f>
        <v>84</v>
      </c>
      <c r="G87" s="35"/>
    </row>
    <row r="88" spans="1:7" x14ac:dyDescent="0.25">
      <c r="A88" s="35" t="s">
        <v>85</v>
      </c>
      <c r="B88" s="37">
        <v>41430</v>
      </c>
      <c r="C88" s="35">
        <v>2</v>
      </c>
      <c r="D88" s="35">
        <v>46.2</v>
      </c>
      <c r="E88" s="35">
        <v>3.41</v>
      </c>
      <c r="F88" s="35">
        <f t="shared" ref="F88:F98" si="3">AVERAGE(F76,F100)</f>
        <v>90</v>
      </c>
      <c r="G88" s="35"/>
    </row>
    <row r="89" spans="1:7" x14ac:dyDescent="0.25">
      <c r="A89" s="35" t="s">
        <v>85</v>
      </c>
      <c r="B89" s="37">
        <v>41430</v>
      </c>
      <c r="C89" s="35">
        <v>3</v>
      </c>
      <c r="D89" s="35">
        <v>45.6</v>
      </c>
      <c r="E89" s="35">
        <v>3.3</v>
      </c>
      <c r="F89" s="35">
        <f t="shared" si="3"/>
        <v>83.5</v>
      </c>
      <c r="G89" s="35"/>
    </row>
    <row r="90" spans="1:7" x14ac:dyDescent="0.25">
      <c r="A90" s="35" t="s">
        <v>85</v>
      </c>
      <c r="B90" s="37">
        <v>41430</v>
      </c>
      <c r="C90" s="35">
        <v>4</v>
      </c>
      <c r="D90" s="35">
        <v>45.6</v>
      </c>
      <c r="E90" s="35">
        <v>3.57</v>
      </c>
      <c r="F90" s="35">
        <f t="shared" si="3"/>
        <v>89</v>
      </c>
      <c r="G90" s="35"/>
    </row>
    <row r="91" spans="1:7" x14ac:dyDescent="0.25">
      <c r="A91" s="35" t="s">
        <v>85</v>
      </c>
      <c r="B91" s="37">
        <v>41430</v>
      </c>
      <c r="C91" s="35">
        <v>5</v>
      </c>
      <c r="D91" s="35">
        <v>51.5</v>
      </c>
      <c r="E91" s="35">
        <v>3.57</v>
      </c>
      <c r="F91" s="35">
        <f t="shared" si="3"/>
        <v>95</v>
      </c>
      <c r="G91" s="35"/>
    </row>
    <row r="92" spans="1:7" x14ac:dyDescent="0.25">
      <c r="A92" s="35" t="s">
        <v>85</v>
      </c>
      <c r="B92" s="37">
        <v>41430</v>
      </c>
      <c r="C92" s="35">
        <v>6</v>
      </c>
      <c r="D92" s="35">
        <v>47.4</v>
      </c>
      <c r="E92" s="35">
        <v>3.33</v>
      </c>
      <c r="F92" s="35">
        <f t="shared" si="3"/>
        <v>90.5</v>
      </c>
      <c r="G92" s="35"/>
    </row>
    <row r="93" spans="1:7" x14ac:dyDescent="0.25">
      <c r="A93" s="35" t="s">
        <v>85</v>
      </c>
      <c r="B93" s="37">
        <v>41430</v>
      </c>
      <c r="C93" s="35">
        <v>7</v>
      </c>
      <c r="D93" s="35">
        <v>46.4</v>
      </c>
      <c r="E93" s="35">
        <v>3.44</v>
      </c>
      <c r="F93" s="35">
        <f t="shared" si="3"/>
        <v>83</v>
      </c>
      <c r="G93" s="35"/>
    </row>
    <row r="94" spans="1:7" x14ac:dyDescent="0.25">
      <c r="A94" s="35" t="s">
        <v>85</v>
      </c>
      <c r="B94" s="37">
        <v>41430</v>
      </c>
      <c r="C94" s="35">
        <v>8</v>
      </c>
      <c r="D94" s="35">
        <v>46.6</v>
      </c>
      <c r="E94" s="35">
        <v>3.92</v>
      </c>
      <c r="F94" s="35">
        <f t="shared" si="3"/>
        <v>87</v>
      </c>
      <c r="G94" s="35"/>
    </row>
    <row r="95" spans="1:7" x14ac:dyDescent="0.25">
      <c r="A95" s="35" t="s">
        <v>85</v>
      </c>
      <c r="B95" s="37">
        <v>41430</v>
      </c>
      <c r="C95" s="35">
        <v>9</v>
      </c>
      <c r="D95" s="35">
        <v>48.9</v>
      </c>
      <c r="E95" s="35">
        <v>3.19</v>
      </c>
      <c r="F95" s="35">
        <f t="shared" si="3"/>
        <v>93</v>
      </c>
      <c r="G95" s="35"/>
    </row>
    <row r="96" spans="1:7" x14ac:dyDescent="0.25">
      <c r="A96" s="35" t="s">
        <v>85</v>
      </c>
      <c r="B96" s="37">
        <v>41430</v>
      </c>
      <c r="C96" s="35">
        <v>10</v>
      </c>
      <c r="D96" s="35">
        <v>46.6</v>
      </c>
      <c r="E96" s="35">
        <v>3.71</v>
      </c>
      <c r="F96" s="35">
        <f t="shared" si="3"/>
        <v>91</v>
      </c>
      <c r="G96" s="35"/>
    </row>
    <row r="97" spans="1:7" x14ac:dyDescent="0.25">
      <c r="A97" s="35" t="s">
        <v>85</v>
      </c>
      <c r="B97" s="37">
        <v>41430</v>
      </c>
      <c r="C97" s="35">
        <v>11</v>
      </c>
      <c r="D97" s="35">
        <v>45</v>
      </c>
      <c r="E97" s="35">
        <v>3.34</v>
      </c>
      <c r="F97" s="35">
        <f t="shared" si="3"/>
        <v>85.5</v>
      </c>
      <c r="G97" s="35"/>
    </row>
    <row r="98" spans="1:7" x14ac:dyDescent="0.25">
      <c r="A98" s="35" t="s">
        <v>85</v>
      </c>
      <c r="B98" s="37">
        <v>41430</v>
      </c>
      <c r="C98" s="35">
        <v>12</v>
      </c>
      <c r="D98" s="35">
        <v>43.6</v>
      </c>
      <c r="E98" s="35">
        <v>4</v>
      </c>
      <c r="F98" s="35">
        <f t="shared" si="3"/>
        <v>91.5</v>
      </c>
      <c r="G98" s="35"/>
    </row>
    <row r="99" spans="1:7" x14ac:dyDescent="0.25">
      <c r="A99" s="35" t="s">
        <v>85</v>
      </c>
      <c r="B99" s="37">
        <v>41438</v>
      </c>
      <c r="C99" s="35">
        <v>1</v>
      </c>
      <c r="D99" s="35">
        <v>53</v>
      </c>
      <c r="E99" s="35">
        <v>3.73</v>
      </c>
      <c r="F99" s="35">
        <v>99</v>
      </c>
      <c r="G99" s="35"/>
    </row>
    <row r="100" spans="1:7" x14ac:dyDescent="0.25">
      <c r="A100" s="35" t="s">
        <v>85</v>
      </c>
      <c r="B100" s="37">
        <v>41438</v>
      </c>
      <c r="C100" s="35">
        <v>2</v>
      </c>
      <c r="D100" s="35">
        <v>46.1</v>
      </c>
      <c r="E100" s="35">
        <v>3.54</v>
      </c>
      <c r="F100" s="35">
        <v>105</v>
      </c>
      <c r="G100" s="35"/>
    </row>
    <row r="101" spans="1:7" x14ac:dyDescent="0.25">
      <c r="A101" s="35" t="s">
        <v>85</v>
      </c>
      <c r="B101" s="37">
        <v>41438</v>
      </c>
      <c r="C101" s="35">
        <v>3</v>
      </c>
      <c r="D101" s="35">
        <v>43.3</v>
      </c>
      <c r="E101" s="35">
        <v>3.46</v>
      </c>
      <c r="F101" s="35">
        <v>100</v>
      </c>
      <c r="G101" s="35"/>
    </row>
    <row r="102" spans="1:7" x14ac:dyDescent="0.25">
      <c r="A102" s="35" t="s">
        <v>85</v>
      </c>
      <c r="B102" s="37">
        <v>41438</v>
      </c>
      <c r="C102" s="35">
        <v>4</v>
      </c>
      <c r="D102" s="35">
        <v>48.2</v>
      </c>
      <c r="E102" s="35">
        <v>4.1100000000000003</v>
      </c>
      <c r="F102" s="35">
        <v>104</v>
      </c>
      <c r="G102" s="35"/>
    </row>
    <row r="103" spans="1:7" x14ac:dyDescent="0.25">
      <c r="A103" s="35" t="s">
        <v>85</v>
      </c>
      <c r="B103" s="37">
        <v>41438</v>
      </c>
      <c r="C103" s="35">
        <v>5</v>
      </c>
      <c r="D103" s="35">
        <v>41.5</v>
      </c>
      <c r="E103" s="35">
        <v>4.71</v>
      </c>
      <c r="F103" s="35">
        <v>110</v>
      </c>
      <c r="G103" s="35"/>
    </row>
    <row r="104" spans="1:7" x14ac:dyDescent="0.25">
      <c r="A104" s="35" t="s">
        <v>85</v>
      </c>
      <c r="B104" s="37">
        <v>41438</v>
      </c>
      <c r="C104" s="35">
        <v>6</v>
      </c>
      <c r="D104" s="35">
        <v>46.2</v>
      </c>
      <c r="E104" s="35">
        <v>3.76</v>
      </c>
      <c r="F104" s="35">
        <v>105</v>
      </c>
      <c r="G104" s="35"/>
    </row>
    <row r="105" spans="1:7" x14ac:dyDescent="0.25">
      <c r="A105" s="35" t="s">
        <v>85</v>
      </c>
      <c r="B105" s="37">
        <v>41438</v>
      </c>
      <c r="C105" s="35">
        <v>7</v>
      </c>
      <c r="D105" s="35">
        <v>42.7</v>
      </c>
      <c r="E105" s="35">
        <v>3.43</v>
      </c>
      <c r="F105" s="35">
        <v>97</v>
      </c>
      <c r="G105" s="35"/>
    </row>
    <row r="106" spans="1:7" x14ac:dyDescent="0.25">
      <c r="A106" s="35" t="s">
        <v>85</v>
      </c>
      <c r="B106" s="37">
        <v>41438</v>
      </c>
      <c r="C106" s="35">
        <v>8</v>
      </c>
      <c r="D106" s="35">
        <v>47.7</v>
      </c>
      <c r="E106" s="35">
        <v>3.79</v>
      </c>
      <c r="F106" s="35">
        <v>104</v>
      </c>
      <c r="G106" s="35"/>
    </row>
    <row r="107" spans="1:7" x14ac:dyDescent="0.25">
      <c r="A107" s="35" t="s">
        <v>85</v>
      </c>
      <c r="B107" s="37">
        <v>41438</v>
      </c>
      <c r="C107" s="35">
        <v>9</v>
      </c>
      <c r="D107" s="35">
        <v>46.9</v>
      </c>
      <c r="E107" s="35">
        <v>3.56</v>
      </c>
      <c r="F107" s="35">
        <v>106</v>
      </c>
      <c r="G107" s="35"/>
    </row>
    <row r="108" spans="1:7" x14ac:dyDescent="0.25">
      <c r="A108" s="35" t="s">
        <v>85</v>
      </c>
      <c r="B108" s="37">
        <v>41438</v>
      </c>
      <c r="C108" s="35">
        <v>10</v>
      </c>
      <c r="D108" s="35">
        <v>46.8</v>
      </c>
      <c r="E108" s="35">
        <v>3.27</v>
      </c>
      <c r="F108" s="35">
        <v>104</v>
      </c>
      <c r="G108" s="35"/>
    </row>
    <row r="109" spans="1:7" x14ac:dyDescent="0.25">
      <c r="A109" s="35" t="s">
        <v>85</v>
      </c>
      <c r="B109" s="37">
        <v>41438</v>
      </c>
      <c r="C109" s="35">
        <v>11</v>
      </c>
      <c r="D109" s="35">
        <v>48.2</v>
      </c>
      <c r="E109" s="35">
        <v>3.67</v>
      </c>
      <c r="F109" s="35">
        <v>100</v>
      </c>
      <c r="G109" s="35"/>
    </row>
    <row r="110" spans="1:7" x14ac:dyDescent="0.25">
      <c r="A110" s="35" t="s">
        <v>85</v>
      </c>
      <c r="B110" s="37">
        <v>41438</v>
      </c>
      <c r="C110" s="35">
        <v>12</v>
      </c>
      <c r="D110" s="35">
        <v>50.4</v>
      </c>
      <c r="E110" s="35">
        <v>3.85</v>
      </c>
      <c r="F110" s="35">
        <v>108</v>
      </c>
      <c r="G110" s="35"/>
    </row>
    <row r="111" spans="1:7" x14ac:dyDescent="0.25">
      <c r="A111" s="35" t="s">
        <v>85</v>
      </c>
      <c r="B111" s="37">
        <v>41447</v>
      </c>
      <c r="C111" s="35">
        <v>1</v>
      </c>
      <c r="D111" s="35">
        <v>48.1</v>
      </c>
      <c r="E111" s="35">
        <v>3.05</v>
      </c>
      <c r="F111" s="35">
        <v>100</v>
      </c>
      <c r="G111" s="35"/>
    </row>
    <row r="112" spans="1:7" x14ac:dyDescent="0.25">
      <c r="A112" s="35" t="s">
        <v>85</v>
      </c>
      <c r="B112" s="37">
        <v>41447</v>
      </c>
      <c r="C112" s="35">
        <v>2</v>
      </c>
      <c r="D112" s="35">
        <v>44.7</v>
      </c>
      <c r="E112" s="35">
        <v>3.05</v>
      </c>
      <c r="F112" s="35">
        <v>105</v>
      </c>
      <c r="G112" s="35"/>
    </row>
    <row r="113" spans="1:7" x14ac:dyDescent="0.25">
      <c r="A113" s="35" t="s">
        <v>85</v>
      </c>
      <c r="B113" s="37">
        <v>41447</v>
      </c>
      <c r="C113" s="35">
        <v>3</v>
      </c>
      <c r="D113" s="35">
        <v>38.4</v>
      </c>
      <c r="E113" s="35">
        <v>2.41</v>
      </c>
      <c r="F113" s="35">
        <v>95</v>
      </c>
      <c r="G113" s="35"/>
    </row>
    <row r="114" spans="1:7" x14ac:dyDescent="0.25">
      <c r="A114" s="35" t="s">
        <v>85</v>
      </c>
      <c r="B114" s="37">
        <v>41447</v>
      </c>
      <c r="C114" s="35">
        <v>4</v>
      </c>
      <c r="D114" s="35">
        <v>47.9</v>
      </c>
      <c r="E114" s="35">
        <v>3.6</v>
      </c>
      <c r="F114" s="35">
        <v>108</v>
      </c>
      <c r="G114" s="35"/>
    </row>
    <row r="115" spans="1:7" x14ac:dyDescent="0.25">
      <c r="A115" s="35" t="s">
        <v>85</v>
      </c>
      <c r="B115" s="37">
        <v>41447</v>
      </c>
      <c r="C115" s="35">
        <v>5</v>
      </c>
      <c r="D115" s="35">
        <v>39.700000000000003</v>
      </c>
      <c r="E115" s="35">
        <v>3.55</v>
      </c>
      <c r="F115" s="35">
        <v>106</v>
      </c>
      <c r="G115" s="35"/>
    </row>
    <row r="116" spans="1:7" x14ac:dyDescent="0.25">
      <c r="A116" s="35" t="s">
        <v>85</v>
      </c>
      <c r="B116" s="37">
        <v>41447</v>
      </c>
      <c r="C116" s="35">
        <v>6</v>
      </c>
      <c r="D116" s="35">
        <v>40.700000000000003</v>
      </c>
      <c r="E116" s="35">
        <v>3.7</v>
      </c>
      <c r="F116" s="35">
        <v>105</v>
      </c>
      <c r="G116" s="35"/>
    </row>
    <row r="117" spans="1:7" x14ac:dyDescent="0.25">
      <c r="A117" s="35" t="s">
        <v>85</v>
      </c>
      <c r="B117" s="37">
        <v>41447</v>
      </c>
      <c r="C117" s="35">
        <v>7</v>
      </c>
      <c r="D117" s="35">
        <v>41.8</v>
      </c>
      <c r="E117" s="35">
        <v>2.73</v>
      </c>
      <c r="F117" s="35">
        <v>95</v>
      </c>
      <c r="G117" s="35"/>
    </row>
    <row r="118" spans="1:7" x14ac:dyDescent="0.25">
      <c r="A118" s="35" t="s">
        <v>85</v>
      </c>
      <c r="B118" s="37">
        <v>41447</v>
      </c>
      <c r="C118" s="35">
        <v>8</v>
      </c>
      <c r="D118" s="35">
        <v>48.2</v>
      </c>
      <c r="E118" s="35">
        <v>3.84</v>
      </c>
      <c r="F118" s="35">
        <v>103</v>
      </c>
      <c r="G118" s="35"/>
    </row>
    <row r="119" spans="1:7" x14ac:dyDescent="0.25">
      <c r="A119" s="35" t="s">
        <v>85</v>
      </c>
      <c r="B119" s="37">
        <v>41447</v>
      </c>
      <c r="C119" s="35">
        <v>9</v>
      </c>
      <c r="D119" s="35">
        <v>47.8</v>
      </c>
      <c r="E119" s="35">
        <v>3.49</v>
      </c>
      <c r="F119" s="35">
        <v>110</v>
      </c>
      <c r="G119" s="35"/>
    </row>
    <row r="120" spans="1:7" x14ac:dyDescent="0.25">
      <c r="A120" s="35" t="s">
        <v>85</v>
      </c>
      <c r="B120" s="37">
        <v>41447</v>
      </c>
      <c r="C120" s="35">
        <v>10</v>
      </c>
      <c r="D120" s="35">
        <v>45.6</v>
      </c>
      <c r="E120" s="35">
        <v>3.36</v>
      </c>
      <c r="F120" s="35">
        <v>105</v>
      </c>
      <c r="G120" s="35"/>
    </row>
    <row r="121" spans="1:7" x14ac:dyDescent="0.25">
      <c r="A121" s="35" t="s">
        <v>85</v>
      </c>
      <c r="B121" s="37">
        <v>41447</v>
      </c>
      <c r="C121" s="35">
        <v>11</v>
      </c>
      <c r="D121" s="35">
        <v>44.7</v>
      </c>
      <c r="E121" s="35">
        <v>2.88</v>
      </c>
      <c r="F121" s="35">
        <v>103</v>
      </c>
      <c r="G121" s="35"/>
    </row>
    <row r="122" spans="1:7" x14ac:dyDescent="0.25">
      <c r="A122" s="35" t="s">
        <v>85</v>
      </c>
      <c r="B122" s="37">
        <v>41447</v>
      </c>
      <c r="C122" s="35">
        <v>12</v>
      </c>
      <c r="D122" s="35">
        <v>37.200000000000003</v>
      </c>
      <c r="E122" s="35">
        <v>3.1</v>
      </c>
      <c r="F122" s="35">
        <v>107</v>
      </c>
      <c r="G122" s="35"/>
    </row>
    <row r="123" spans="1:7" x14ac:dyDescent="0.25">
      <c r="A123" s="35" t="s">
        <v>85</v>
      </c>
      <c r="B123" s="37">
        <v>41451</v>
      </c>
      <c r="C123" s="35">
        <v>1</v>
      </c>
      <c r="D123" s="35">
        <v>43.2</v>
      </c>
      <c r="E123" s="35">
        <v>3.21</v>
      </c>
      <c r="F123" s="35">
        <f>AVERAGE(F111,F135)</f>
        <v>97</v>
      </c>
      <c r="G123" s="35" t="s">
        <v>87</v>
      </c>
    </row>
    <row r="124" spans="1:7" x14ac:dyDescent="0.25">
      <c r="A124" s="35" t="s">
        <v>85</v>
      </c>
      <c r="B124" s="37">
        <v>41451</v>
      </c>
      <c r="C124" s="35">
        <v>2</v>
      </c>
      <c r="D124" s="35">
        <v>42.1</v>
      </c>
      <c r="E124" s="35">
        <v>3.59</v>
      </c>
      <c r="F124" s="35">
        <f t="shared" ref="F124:F134" si="4">AVERAGE(F112,F136)</f>
        <v>103</v>
      </c>
      <c r="G124" s="35"/>
    </row>
    <row r="125" spans="1:7" x14ac:dyDescent="0.25">
      <c r="A125" s="35" t="s">
        <v>85</v>
      </c>
      <c r="B125" s="37">
        <v>41451</v>
      </c>
      <c r="C125" s="35">
        <v>3</v>
      </c>
      <c r="D125" s="35">
        <v>30.5</v>
      </c>
      <c r="E125" s="35">
        <v>3.08</v>
      </c>
      <c r="F125" s="35">
        <f t="shared" si="4"/>
        <v>97.5</v>
      </c>
      <c r="G125" s="35"/>
    </row>
    <row r="126" spans="1:7" x14ac:dyDescent="0.25">
      <c r="A126" s="35" t="s">
        <v>85</v>
      </c>
      <c r="B126" s="37">
        <v>41451</v>
      </c>
      <c r="C126" s="35">
        <v>4</v>
      </c>
      <c r="D126" s="35">
        <v>37.700000000000003</v>
      </c>
      <c r="E126" s="35">
        <v>3.78</v>
      </c>
      <c r="F126" s="35">
        <f t="shared" si="4"/>
        <v>104.5</v>
      </c>
      <c r="G126" s="35"/>
    </row>
    <row r="127" spans="1:7" x14ac:dyDescent="0.25">
      <c r="A127" s="35" t="s">
        <v>85</v>
      </c>
      <c r="B127" s="37">
        <v>41451</v>
      </c>
      <c r="C127" s="35">
        <v>5</v>
      </c>
      <c r="D127" s="35">
        <v>30.1</v>
      </c>
      <c r="E127" s="35">
        <v>3.29</v>
      </c>
      <c r="F127" s="35">
        <f t="shared" si="4"/>
        <v>106.5</v>
      </c>
      <c r="G127" s="35"/>
    </row>
    <row r="128" spans="1:7" x14ac:dyDescent="0.25">
      <c r="A128" s="35" t="s">
        <v>85</v>
      </c>
      <c r="B128" s="37">
        <v>41451</v>
      </c>
      <c r="C128" s="35">
        <v>6</v>
      </c>
      <c r="D128" s="35">
        <v>37.5</v>
      </c>
      <c r="E128" s="35">
        <v>3.44</v>
      </c>
      <c r="F128" s="35">
        <f t="shared" si="4"/>
        <v>103.5</v>
      </c>
      <c r="G128" s="35"/>
    </row>
    <row r="129" spans="1:7" x14ac:dyDescent="0.25">
      <c r="A129" s="35" t="s">
        <v>85</v>
      </c>
      <c r="B129" s="37">
        <v>41451</v>
      </c>
      <c r="C129" s="35">
        <v>7</v>
      </c>
      <c r="D129" s="35">
        <v>32.6</v>
      </c>
      <c r="E129" s="35">
        <v>2.89</v>
      </c>
      <c r="F129" s="35">
        <f t="shared" si="4"/>
        <v>97</v>
      </c>
      <c r="G129" s="35"/>
    </row>
    <row r="130" spans="1:7" x14ac:dyDescent="0.25">
      <c r="A130" s="35" t="s">
        <v>85</v>
      </c>
      <c r="B130" s="37">
        <v>41451</v>
      </c>
      <c r="C130" s="35">
        <v>8</v>
      </c>
      <c r="D130" s="35">
        <v>47.4</v>
      </c>
      <c r="E130" s="35">
        <v>3.82</v>
      </c>
      <c r="F130" s="35">
        <f t="shared" si="4"/>
        <v>103</v>
      </c>
      <c r="G130" s="35"/>
    </row>
    <row r="131" spans="1:7" x14ac:dyDescent="0.25">
      <c r="A131" s="35" t="s">
        <v>85</v>
      </c>
      <c r="B131" s="37">
        <v>41451</v>
      </c>
      <c r="C131" s="35">
        <v>9</v>
      </c>
      <c r="D131" s="35">
        <v>40.1</v>
      </c>
      <c r="E131" s="35">
        <v>4.09</v>
      </c>
      <c r="F131" s="35">
        <f t="shared" si="4"/>
        <v>107.5</v>
      </c>
      <c r="G131" s="35"/>
    </row>
    <row r="132" spans="1:7" x14ac:dyDescent="0.25">
      <c r="A132" s="35" t="s">
        <v>85</v>
      </c>
      <c r="B132" s="37">
        <v>41451</v>
      </c>
      <c r="C132" s="35">
        <v>10</v>
      </c>
      <c r="D132" s="35">
        <v>35.6</v>
      </c>
      <c r="E132" s="35">
        <v>4.05</v>
      </c>
      <c r="F132" s="35">
        <f t="shared" si="4"/>
        <v>106.5</v>
      </c>
      <c r="G132" s="35"/>
    </row>
    <row r="133" spans="1:7" x14ac:dyDescent="0.25">
      <c r="A133" s="35" t="s">
        <v>85</v>
      </c>
      <c r="B133" s="37">
        <v>41451</v>
      </c>
      <c r="C133" s="35">
        <v>11</v>
      </c>
      <c r="D133" s="35">
        <v>37.5</v>
      </c>
      <c r="E133" s="35">
        <v>3.01</v>
      </c>
      <c r="F133" s="35">
        <f t="shared" si="4"/>
        <v>102</v>
      </c>
      <c r="G133" s="35"/>
    </row>
    <row r="134" spans="1:7" x14ac:dyDescent="0.25">
      <c r="A134" s="35" t="s">
        <v>85</v>
      </c>
      <c r="B134" s="37">
        <v>41451</v>
      </c>
      <c r="C134" s="35">
        <v>12</v>
      </c>
      <c r="D134" s="35">
        <v>34.799999999999997</v>
      </c>
      <c r="E134" s="35">
        <v>4.2300000000000004</v>
      </c>
      <c r="F134" s="35">
        <f t="shared" si="4"/>
        <v>106.5</v>
      </c>
      <c r="G134" s="35"/>
    </row>
    <row r="135" spans="1:7" x14ac:dyDescent="0.25">
      <c r="A135" s="35" t="s">
        <v>85</v>
      </c>
      <c r="B135" s="37">
        <v>41456</v>
      </c>
      <c r="C135" s="35">
        <v>1</v>
      </c>
      <c r="D135" s="35">
        <v>40.9</v>
      </c>
      <c r="E135" s="35">
        <v>3.14</v>
      </c>
      <c r="F135" s="35">
        <v>94</v>
      </c>
      <c r="G135" s="35" t="s">
        <v>88</v>
      </c>
    </row>
    <row r="136" spans="1:7" x14ac:dyDescent="0.25">
      <c r="A136" s="35" t="s">
        <v>85</v>
      </c>
      <c r="B136" s="37">
        <v>41456</v>
      </c>
      <c r="C136" s="35">
        <v>2</v>
      </c>
      <c r="D136" s="35">
        <v>31.7</v>
      </c>
      <c r="E136" s="35">
        <v>3.18</v>
      </c>
      <c r="F136" s="35">
        <v>101</v>
      </c>
      <c r="G136" s="35"/>
    </row>
    <row r="137" spans="1:7" x14ac:dyDescent="0.25">
      <c r="A137" s="35" t="s">
        <v>85</v>
      </c>
      <c r="B137" s="37">
        <v>41456</v>
      </c>
      <c r="C137" s="35">
        <v>3</v>
      </c>
      <c r="D137" s="35">
        <v>23.1</v>
      </c>
      <c r="E137" s="35">
        <v>2.98</v>
      </c>
      <c r="F137" s="35">
        <v>100</v>
      </c>
      <c r="G137" s="35"/>
    </row>
    <row r="138" spans="1:7" x14ac:dyDescent="0.25">
      <c r="A138" s="35" t="s">
        <v>85</v>
      </c>
      <c r="B138" s="37">
        <v>41456</v>
      </c>
      <c r="C138" s="35">
        <v>4</v>
      </c>
      <c r="D138" s="35">
        <v>37</v>
      </c>
      <c r="E138" s="35">
        <v>3.56</v>
      </c>
      <c r="F138" s="35">
        <v>101</v>
      </c>
      <c r="G138" s="35"/>
    </row>
    <row r="139" spans="1:7" x14ac:dyDescent="0.25">
      <c r="A139" s="35" t="s">
        <v>85</v>
      </c>
      <c r="B139" s="37">
        <v>41456</v>
      </c>
      <c r="C139" s="35">
        <v>5</v>
      </c>
      <c r="D139" s="35">
        <v>27.5</v>
      </c>
      <c r="E139" s="35">
        <v>2.99</v>
      </c>
      <c r="F139" s="35">
        <v>107</v>
      </c>
      <c r="G139" s="35"/>
    </row>
    <row r="140" spans="1:7" x14ac:dyDescent="0.25">
      <c r="A140" s="35" t="s">
        <v>85</v>
      </c>
      <c r="B140" s="37">
        <v>41456</v>
      </c>
      <c r="C140" s="35">
        <v>6</v>
      </c>
      <c r="D140" s="35">
        <v>30.4</v>
      </c>
      <c r="E140" s="35">
        <v>3.52</v>
      </c>
      <c r="F140" s="35">
        <v>102</v>
      </c>
      <c r="G140" s="35"/>
    </row>
    <row r="141" spans="1:7" x14ac:dyDescent="0.25">
      <c r="A141" s="35" t="s">
        <v>85</v>
      </c>
      <c r="B141" s="37">
        <v>41456</v>
      </c>
      <c r="C141" s="35">
        <v>7</v>
      </c>
      <c r="D141" s="35">
        <v>30.3</v>
      </c>
      <c r="E141" s="35">
        <v>2.63</v>
      </c>
      <c r="F141" s="35">
        <v>99</v>
      </c>
      <c r="G141" s="35"/>
    </row>
    <row r="142" spans="1:7" x14ac:dyDescent="0.25">
      <c r="A142" s="35" t="s">
        <v>85</v>
      </c>
      <c r="B142" s="37">
        <v>41456</v>
      </c>
      <c r="C142" s="35">
        <v>8</v>
      </c>
      <c r="D142" s="35">
        <v>40.200000000000003</v>
      </c>
      <c r="E142" s="35">
        <v>3.49</v>
      </c>
      <c r="F142" s="35">
        <v>103</v>
      </c>
      <c r="G142" s="35"/>
    </row>
    <row r="143" spans="1:7" x14ac:dyDescent="0.25">
      <c r="A143" s="35" t="s">
        <v>85</v>
      </c>
      <c r="B143" s="37">
        <v>41456</v>
      </c>
      <c r="C143" s="35">
        <v>9</v>
      </c>
      <c r="D143" s="35">
        <v>33.700000000000003</v>
      </c>
      <c r="E143" s="35">
        <v>3.53</v>
      </c>
      <c r="F143" s="35">
        <v>105</v>
      </c>
      <c r="G143" s="35"/>
    </row>
    <row r="144" spans="1:7" x14ac:dyDescent="0.25">
      <c r="A144" s="35" t="s">
        <v>85</v>
      </c>
      <c r="B144" s="37">
        <v>41456</v>
      </c>
      <c r="C144" s="35">
        <v>10</v>
      </c>
      <c r="D144" s="35">
        <v>34.200000000000003</v>
      </c>
      <c r="E144" s="35">
        <v>3.69</v>
      </c>
      <c r="F144" s="35">
        <v>108</v>
      </c>
      <c r="G144" s="35"/>
    </row>
    <row r="145" spans="1:7" x14ac:dyDescent="0.25">
      <c r="A145" s="35" t="s">
        <v>85</v>
      </c>
      <c r="B145" s="37">
        <v>41456</v>
      </c>
      <c r="C145" s="35">
        <v>11</v>
      </c>
      <c r="D145" s="35">
        <v>33.4</v>
      </c>
      <c r="E145" s="35">
        <v>2.77</v>
      </c>
      <c r="F145" s="35">
        <v>101</v>
      </c>
      <c r="G145" s="35"/>
    </row>
    <row r="146" spans="1:7" x14ac:dyDescent="0.25">
      <c r="A146" s="35" t="s">
        <v>85</v>
      </c>
      <c r="B146" s="37">
        <v>41456</v>
      </c>
      <c r="C146" s="35">
        <v>12</v>
      </c>
      <c r="D146" s="35">
        <v>30.3</v>
      </c>
      <c r="E146" s="35">
        <v>3.7</v>
      </c>
      <c r="F146" s="35">
        <v>106</v>
      </c>
      <c r="G146" s="35"/>
    </row>
    <row r="147" spans="1:7" x14ac:dyDescent="0.25">
      <c r="A147" s="35" t="s">
        <v>85</v>
      </c>
      <c r="B147" s="37">
        <v>41463</v>
      </c>
      <c r="C147" s="35">
        <v>1</v>
      </c>
      <c r="D147" s="35">
        <v>17.2</v>
      </c>
      <c r="E147" s="35">
        <v>3.5</v>
      </c>
      <c r="F147" s="35">
        <v>98</v>
      </c>
      <c r="G147" s="35"/>
    </row>
    <row r="148" spans="1:7" x14ac:dyDescent="0.25">
      <c r="A148" s="35" t="s">
        <v>85</v>
      </c>
      <c r="B148" s="37">
        <v>41463</v>
      </c>
      <c r="C148" s="35">
        <v>2</v>
      </c>
      <c r="D148" s="35">
        <v>14.9</v>
      </c>
      <c r="E148" s="35">
        <v>3.26</v>
      </c>
      <c r="F148" s="35">
        <v>104</v>
      </c>
      <c r="G148" s="35"/>
    </row>
    <row r="149" spans="1:7" x14ac:dyDescent="0.25">
      <c r="A149" s="35" t="s">
        <v>85</v>
      </c>
      <c r="B149" s="37">
        <v>41463</v>
      </c>
      <c r="C149" s="35">
        <v>3</v>
      </c>
      <c r="D149" s="35">
        <v>6.4</v>
      </c>
      <c r="E149" s="35">
        <v>2.91</v>
      </c>
      <c r="F149" s="35">
        <v>97</v>
      </c>
      <c r="G149" s="35"/>
    </row>
    <row r="150" spans="1:7" x14ac:dyDescent="0.25">
      <c r="A150" s="35" t="s">
        <v>85</v>
      </c>
      <c r="B150" s="37">
        <v>41463</v>
      </c>
      <c r="C150" s="35">
        <v>4</v>
      </c>
      <c r="D150" s="35">
        <v>21.5</v>
      </c>
      <c r="E150" s="35">
        <v>4.47</v>
      </c>
      <c r="F150" s="35">
        <v>108</v>
      </c>
      <c r="G150" s="35"/>
    </row>
    <row r="151" spans="1:7" x14ac:dyDescent="0.25">
      <c r="A151" s="35" t="s">
        <v>85</v>
      </c>
      <c r="B151" s="37">
        <v>41463</v>
      </c>
      <c r="C151" s="35">
        <v>5</v>
      </c>
      <c r="D151" s="35">
        <v>13.2</v>
      </c>
      <c r="E151" s="35">
        <v>4.46</v>
      </c>
      <c r="F151" s="35">
        <v>105</v>
      </c>
      <c r="G151" s="35"/>
    </row>
    <row r="152" spans="1:7" x14ac:dyDescent="0.25">
      <c r="A152" s="35" t="s">
        <v>85</v>
      </c>
      <c r="B152" s="37">
        <v>41463</v>
      </c>
      <c r="C152" s="35">
        <v>6</v>
      </c>
      <c r="D152" s="35">
        <v>15.1</v>
      </c>
      <c r="E152" s="35">
        <v>3.24</v>
      </c>
      <c r="F152" s="35">
        <v>108</v>
      </c>
      <c r="G152" s="35"/>
    </row>
    <row r="153" spans="1:7" x14ac:dyDescent="0.25">
      <c r="A153" s="35" t="s">
        <v>85</v>
      </c>
      <c r="B153" s="37">
        <v>41463</v>
      </c>
      <c r="C153" s="35">
        <v>7</v>
      </c>
      <c r="D153" s="35">
        <v>8.5</v>
      </c>
      <c r="E153" s="35">
        <v>2.44</v>
      </c>
      <c r="F153" s="35">
        <v>96</v>
      </c>
      <c r="G153" s="35"/>
    </row>
    <row r="154" spans="1:7" x14ac:dyDescent="0.25">
      <c r="A154" s="35" t="s">
        <v>85</v>
      </c>
      <c r="B154" s="37">
        <v>41463</v>
      </c>
      <c r="C154" s="35">
        <v>8</v>
      </c>
      <c r="D154" s="35">
        <v>22.5</v>
      </c>
      <c r="E154" s="35">
        <v>2.75</v>
      </c>
      <c r="F154" s="35">
        <v>103</v>
      </c>
      <c r="G154" s="35"/>
    </row>
    <row r="155" spans="1:7" x14ac:dyDescent="0.25">
      <c r="A155" s="35" t="s">
        <v>85</v>
      </c>
      <c r="B155" s="37">
        <v>41463</v>
      </c>
      <c r="C155" s="35">
        <v>9</v>
      </c>
      <c r="D155" s="35">
        <v>9.1</v>
      </c>
      <c r="E155" s="35">
        <v>2.2200000000000002</v>
      </c>
      <c r="F155" s="35">
        <v>101</v>
      </c>
      <c r="G155" s="35"/>
    </row>
    <row r="156" spans="1:7" x14ac:dyDescent="0.25">
      <c r="A156" s="35" t="s">
        <v>85</v>
      </c>
      <c r="B156" s="37">
        <v>41463</v>
      </c>
      <c r="C156" s="35">
        <v>10</v>
      </c>
      <c r="D156" s="35">
        <v>5.7</v>
      </c>
      <c r="E156" s="35">
        <v>2.29</v>
      </c>
      <c r="F156" s="35">
        <v>104</v>
      </c>
      <c r="G156" s="35"/>
    </row>
    <row r="157" spans="1:7" x14ac:dyDescent="0.25">
      <c r="A157" s="35" t="s">
        <v>85</v>
      </c>
      <c r="B157" s="37">
        <v>41463</v>
      </c>
      <c r="C157" s="35">
        <v>11</v>
      </c>
      <c r="D157" s="35">
        <v>17.5</v>
      </c>
      <c r="E157" s="35">
        <v>2.31</v>
      </c>
      <c r="F157" s="35">
        <v>104</v>
      </c>
      <c r="G157" s="35"/>
    </row>
    <row r="158" spans="1:7" x14ac:dyDescent="0.25">
      <c r="A158" s="35" t="s">
        <v>85</v>
      </c>
      <c r="B158" s="37">
        <v>41463</v>
      </c>
      <c r="C158" s="35">
        <v>12</v>
      </c>
      <c r="D158" s="35">
        <v>7.5</v>
      </c>
      <c r="E158" s="35">
        <v>3.32</v>
      </c>
      <c r="F158" s="35">
        <v>109</v>
      </c>
      <c r="G158" s="35"/>
    </row>
    <row r="159" spans="1:7" x14ac:dyDescent="0.25">
      <c r="A159" s="35" t="s">
        <v>85</v>
      </c>
      <c r="B159" s="37">
        <v>41470</v>
      </c>
      <c r="C159" s="35">
        <v>1</v>
      </c>
      <c r="D159" s="35">
        <v>10.8</v>
      </c>
      <c r="E159" s="35">
        <v>3.12</v>
      </c>
      <c r="F159" s="35">
        <v>98</v>
      </c>
      <c r="G159" s="35"/>
    </row>
    <row r="160" spans="1:7" x14ac:dyDescent="0.25">
      <c r="A160" s="35" t="s">
        <v>85</v>
      </c>
      <c r="B160" s="37">
        <v>41470</v>
      </c>
      <c r="C160" s="35">
        <v>2</v>
      </c>
      <c r="D160" s="35">
        <v>4.5999999999999996</v>
      </c>
      <c r="E160" s="35">
        <v>1.98</v>
      </c>
      <c r="F160" s="35">
        <v>104</v>
      </c>
      <c r="G160" s="35"/>
    </row>
    <row r="161" spans="1:7" x14ac:dyDescent="0.25">
      <c r="A161" s="35" t="s">
        <v>85</v>
      </c>
      <c r="B161" s="37">
        <v>41470</v>
      </c>
      <c r="C161" s="35">
        <v>3</v>
      </c>
      <c r="D161" s="35">
        <v>4.3</v>
      </c>
      <c r="E161" s="35">
        <v>1.45</v>
      </c>
      <c r="F161" s="41">
        <v>103</v>
      </c>
      <c r="G161" s="35"/>
    </row>
    <row r="162" spans="1:7" x14ac:dyDescent="0.25">
      <c r="A162" s="35" t="s">
        <v>85</v>
      </c>
      <c r="B162" s="37">
        <v>41470</v>
      </c>
      <c r="C162" s="35">
        <v>4</v>
      </c>
      <c r="D162" s="35">
        <v>7.2</v>
      </c>
      <c r="E162" s="35">
        <v>3.3</v>
      </c>
      <c r="F162" s="35">
        <v>106</v>
      </c>
      <c r="G162" s="35"/>
    </row>
    <row r="163" spans="1:7" x14ac:dyDescent="0.25">
      <c r="A163" s="35" t="s">
        <v>85</v>
      </c>
      <c r="B163" s="37">
        <v>41470</v>
      </c>
      <c r="C163" s="35">
        <v>5</v>
      </c>
      <c r="D163" s="35">
        <v>6.5</v>
      </c>
      <c r="E163" s="35">
        <v>2.42</v>
      </c>
      <c r="F163" s="35">
        <v>108</v>
      </c>
      <c r="G163" s="35"/>
    </row>
    <row r="164" spans="1:7" x14ac:dyDescent="0.25">
      <c r="A164" s="35" t="s">
        <v>85</v>
      </c>
      <c r="B164" s="37">
        <v>41470</v>
      </c>
      <c r="C164" s="35">
        <v>6</v>
      </c>
      <c r="D164" s="35">
        <v>8.5</v>
      </c>
      <c r="E164" s="35">
        <v>2.21</v>
      </c>
      <c r="F164" s="35">
        <v>107</v>
      </c>
      <c r="G164" s="35"/>
    </row>
    <row r="165" spans="1:7" x14ac:dyDescent="0.25">
      <c r="A165" s="35" t="s">
        <v>85</v>
      </c>
      <c r="B165" s="37">
        <v>41470</v>
      </c>
      <c r="C165" s="35">
        <v>7</v>
      </c>
      <c r="D165" s="35">
        <v>5.5</v>
      </c>
      <c r="E165" s="35">
        <v>2.93</v>
      </c>
      <c r="F165" s="35">
        <v>96</v>
      </c>
      <c r="G165" s="35"/>
    </row>
    <row r="166" spans="1:7" x14ac:dyDescent="0.25">
      <c r="A166" s="35" t="s">
        <v>85</v>
      </c>
      <c r="B166" s="37">
        <v>41470</v>
      </c>
      <c r="C166" s="35">
        <v>8</v>
      </c>
      <c r="D166" s="35">
        <v>8.1</v>
      </c>
      <c r="E166" s="35">
        <v>2.4500000000000002</v>
      </c>
      <c r="F166" s="35">
        <v>102</v>
      </c>
      <c r="G166" s="35"/>
    </row>
    <row r="167" spans="1:7" x14ac:dyDescent="0.25">
      <c r="A167" s="35" t="s">
        <v>85</v>
      </c>
      <c r="B167" s="37">
        <v>41470</v>
      </c>
      <c r="C167" s="35">
        <v>9</v>
      </c>
      <c r="D167" s="35">
        <v>5.4</v>
      </c>
      <c r="E167" s="35">
        <v>2.9</v>
      </c>
      <c r="F167" s="35">
        <v>100</v>
      </c>
      <c r="G167" s="35"/>
    </row>
    <row r="168" spans="1:7" x14ac:dyDescent="0.25">
      <c r="A168" s="35" t="s">
        <v>85</v>
      </c>
      <c r="B168" s="37">
        <v>41470</v>
      </c>
      <c r="C168" s="35">
        <v>10</v>
      </c>
      <c r="D168" s="35">
        <v>5.6</v>
      </c>
      <c r="E168" s="35">
        <v>3.53</v>
      </c>
      <c r="F168" s="35">
        <v>101</v>
      </c>
      <c r="G168" s="35"/>
    </row>
    <row r="169" spans="1:7" x14ac:dyDescent="0.25">
      <c r="A169" s="35" t="s">
        <v>85</v>
      </c>
      <c r="B169" s="37">
        <v>41470</v>
      </c>
      <c r="C169" s="35">
        <v>11</v>
      </c>
      <c r="D169" s="35">
        <v>9</v>
      </c>
      <c r="E169" s="35">
        <v>2.0499999999999998</v>
      </c>
      <c r="F169" s="35">
        <v>104</v>
      </c>
      <c r="G169" s="35"/>
    </row>
    <row r="170" spans="1:7" x14ac:dyDescent="0.25">
      <c r="A170" s="35" t="s">
        <v>85</v>
      </c>
      <c r="B170" s="37">
        <v>41470</v>
      </c>
      <c r="C170" s="35">
        <v>12</v>
      </c>
      <c r="D170" s="35">
        <v>6.5</v>
      </c>
      <c r="E170" s="35">
        <v>2.96</v>
      </c>
      <c r="F170" s="35">
        <v>103</v>
      </c>
      <c r="G170" s="35"/>
    </row>
    <row r="171" spans="1:7" x14ac:dyDescent="0.25">
      <c r="A171" s="35" t="s">
        <v>85</v>
      </c>
      <c r="B171" s="37">
        <v>41478</v>
      </c>
      <c r="C171" s="35">
        <v>1</v>
      </c>
      <c r="D171" s="35">
        <v>7.9</v>
      </c>
      <c r="E171" s="35">
        <v>2.79</v>
      </c>
      <c r="F171" s="35">
        <v>96</v>
      </c>
      <c r="G171" s="35"/>
    </row>
    <row r="172" spans="1:7" x14ac:dyDescent="0.25">
      <c r="A172" s="35" t="s">
        <v>85</v>
      </c>
      <c r="B172" s="37">
        <v>41478</v>
      </c>
      <c r="C172" s="35">
        <v>2</v>
      </c>
      <c r="D172" s="35">
        <v>5.9</v>
      </c>
      <c r="E172" s="35">
        <v>2.25</v>
      </c>
      <c r="F172" s="35">
        <v>105</v>
      </c>
      <c r="G172" s="35"/>
    </row>
    <row r="173" spans="1:7" x14ac:dyDescent="0.25">
      <c r="A173" s="35" t="s">
        <v>85</v>
      </c>
      <c r="B173" s="37">
        <v>41478</v>
      </c>
      <c r="C173" s="35">
        <v>3</v>
      </c>
      <c r="D173" s="35">
        <v>6</v>
      </c>
      <c r="E173" s="35">
        <v>2.4700000000000002</v>
      </c>
      <c r="F173" s="41">
        <v>97</v>
      </c>
      <c r="G173" s="35"/>
    </row>
    <row r="174" spans="1:7" x14ac:dyDescent="0.25">
      <c r="A174" s="35" t="s">
        <v>85</v>
      </c>
      <c r="B174" s="37">
        <v>41478</v>
      </c>
      <c r="C174" s="35">
        <v>4</v>
      </c>
      <c r="D174" s="35">
        <v>7.1</v>
      </c>
      <c r="E174" s="35">
        <v>3.72</v>
      </c>
      <c r="F174" s="35">
        <v>104</v>
      </c>
      <c r="G174" s="35"/>
    </row>
    <row r="175" spans="1:7" x14ac:dyDescent="0.25">
      <c r="A175" s="35" t="s">
        <v>85</v>
      </c>
      <c r="B175" s="37">
        <v>41478</v>
      </c>
      <c r="C175" s="35">
        <v>5</v>
      </c>
      <c r="D175" s="35">
        <v>5.5</v>
      </c>
      <c r="E175" s="35">
        <v>2.8</v>
      </c>
      <c r="F175" s="35">
        <v>105</v>
      </c>
      <c r="G175" s="35"/>
    </row>
    <row r="176" spans="1:7" x14ac:dyDescent="0.25">
      <c r="A176" s="35" t="s">
        <v>85</v>
      </c>
      <c r="B176" s="37">
        <v>41478</v>
      </c>
      <c r="C176" s="35">
        <v>6</v>
      </c>
      <c r="D176" s="35">
        <v>6.9</v>
      </c>
      <c r="E176" s="35">
        <v>2.4300000000000002</v>
      </c>
      <c r="F176" s="35">
        <v>103</v>
      </c>
      <c r="G176" s="35"/>
    </row>
    <row r="177" spans="1:7" x14ac:dyDescent="0.25">
      <c r="A177" s="35" t="s">
        <v>85</v>
      </c>
      <c r="B177" s="37">
        <v>41478</v>
      </c>
      <c r="C177" s="35">
        <v>7</v>
      </c>
      <c r="D177" s="35">
        <v>5.7</v>
      </c>
      <c r="E177" s="35">
        <v>2.2000000000000002</v>
      </c>
      <c r="F177" s="35">
        <v>93</v>
      </c>
      <c r="G177" s="35"/>
    </row>
    <row r="178" spans="1:7" x14ac:dyDescent="0.25">
      <c r="A178" s="35" t="s">
        <v>85</v>
      </c>
      <c r="B178" s="37">
        <v>41478</v>
      </c>
      <c r="C178" s="35">
        <v>8</v>
      </c>
      <c r="D178" s="35">
        <v>7.6</v>
      </c>
      <c r="E178" s="35">
        <v>2.71</v>
      </c>
      <c r="F178" s="35">
        <v>91</v>
      </c>
      <c r="G178" s="35"/>
    </row>
    <row r="179" spans="1:7" x14ac:dyDescent="0.25">
      <c r="A179" s="35" t="s">
        <v>85</v>
      </c>
      <c r="B179" s="37">
        <v>41478</v>
      </c>
      <c r="C179" s="35">
        <v>9</v>
      </c>
      <c r="D179" s="35">
        <v>4.5999999999999996</v>
      </c>
      <c r="E179" s="35">
        <v>2.33</v>
      </c>
      <c r="F179" s="35">
        <v>99</v>
      </c>
      <c r="G179" s="35"/>
    </row>
    <row r="180" spans="1:7" x14ac:dyDescent="0.25">
      <c r="A180" s="35" t="s">
        <v>85</v>
      </c>
      <c r="B180" s="37">
        <v>41478</v>
      </c>
      <c r="C180" s="35">
        <v>10</v>
      </c>
      <c r="D180" s="35">
        <v>5</v>
      </c>
      <c r="E180" s="35">
        <v>2.77</v>
      </c>
      <c r="F180" s="35">
        <v>98</v>
      </c>
      <c r="G180" s="35"/>
    </row>
    <row r="181" spans="1:7" x14ac:dyDescent="0.25">
      <c r="A181" s="35" t="s">
        <v>85</v>
      </c>
      <c r="B181" s="37">
        <v>41478</v>
      </c>
      <c r="C181" s="35">
        <v>11</v>
      </c>
      <c r="D181" s="35">
        <v>5.3</v>
      </c>
      <c r="E181" s="35">
        <v>2.0299999999999998</v>
      </c>
      <c r="F181" s="35">
        <v>98</v>
      </c>
      <c r="G181" s="35"/>
    </row>
    <row r="182" spans="1:7" x14ac:dyDescent="0.25">
      <c r="A182" s="35" t="s">
        <v>85</v>
      </c>
      <c r="B182" s="37">
        <v>41478</v>
      </c>
      <c r="C182" s="35">
        <v>12</v>
      </c>
      <c r="D182" s="35">
        <v>4.7</v>
      </c>
      <c r="E182" s="35">
        <v>3.15</v>
      </c>
      <c r="F182" s="35">
        <v>102</v>
      </c>
      <c r="G182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E1:FW130"/>
  <sheetViews>
    <sheetView tabSelected="1" topLeftCell="H1" workbookViewId="0">
      <pane xSplit="2" ySplit="4" topLeftCell="J20" activePane="bottomRight" state="frozen"/>
      <selection activeCell="H1" sqref="H1"/>
      <selection pane="topRight" activeCell="J1" sqref="J1"/>
      <selection pane="bottomLeft" activeCell="H5" sqref="H5"/>
      <selection pane="bottomRight" activeCell="DD59" sqref="DD59"/>
    </sheetView>
  </sheetViews>
  <sheetFormatPr defaultRowHeight="12.75" x14ac:dyDescent="0.2"/>
  <cols>
    <col min="10" max="12" width="9.140625" style="8"/>
    <col min="13" max="18" width="9.140625" customWidth="1"/>
    <col min="19" max="21" width="9.140625" style="8" customWidth="1"/>
    <col min="22" max="24" width="9.140625" customWidth="1"/>
    <col min="25" max="26" width="11.85546875" style="8" customWidth="1"/>
    <col min="27" max="34" width="11.85546875" style="55" customWidth="1"/>
    <col min="35" max="35" width="9.140625" style="55" customWidth="1"/>
    <col min="36" max="44" width="9.140625" customWidth="1"/>
    <col min="45" max="46" width="9.85546875" customWidth="1"/>
    <col min="47" max="48" width="9.140625" customWidth="1"/>
    <col min="49" max="49" width="13.140625" customWidth="1"/>
    <col min="50" max="56" width="9.140625" customWidth="1"/>
    <col min="57" max="57" width="12.42578125" customWidth="1"/>
    <col min="58" max="59" width="9.140625" customWidth="1"/>
    <col min="61" max="61" width="12.7109375" customWidth="1"/>
    <col min="62" max="62" width="12.42578125" customWidth="1"/>
    <col min="74" max="74" width="19" customWidth="1"/>
    <col min="75" max="75" width="11.7109375" customWidth="1"/>
    <col min="76" max="76" width="19" customWidth="1"/>
    <col min="77" max="105" width="11.7109375" customWidth="1"/>
    <col min="108" max="108" width="20.5703125" customWidth="1"/>
    <col min="109" max="109" width="12" customWidth="1"/>
    <col min="110" max="110" width="6.85546875" customWidth="1"/>
    <col min="111" max="111" width="16" customWidth="1"/>
    <col min="112" max="113" width="15.28515625" customWidth="1"/>
    <col min="114" max="116" width="14.140625" customWidth="1"/>
    <col min="117" max="117" width="16.28515625" customWidth="1"/>
    <col min="118" max="118" width="2" customWidth="1"/>
    <col min="119" max="121" width="3" customWidth="1"/>
    <col min="122" max="122" width="30.7109375" customWidth="1"/>
    <col min="123" max="123" width="21" customWidth="1"/>
    <col min="124" max="124" width="17.7109375" style="8" customWidth="1"/>
    <col min="125" max="125" width="17.7109375" customWidth="1"/>
    <col min="126" max="126" width="21" customWidth="1"/>
    <col min="127" max="127" width="17.85546875" customWidth="1"/>
    <col min="128" max="138" width="14" customWidth="1"/>
    <col min="139" max="139" width="17.7109375" customWidth="1"/>
    <col min="140" max="140" width="11.5703125" customWidth="1"/>
    <col min="141" max="141" width="6.5703125" customWidth="1"/>
    <col min="142" max="142" width="7.42578125" customWidth="1"/>
    <col min="143" max="143" width="6.85546875" customWidth="1"/>
    <col min="144" max="147" width="22.42578125" customWidth="1"/>
    <col min="148" max="148" width="18.85546875" customWidth="1"/>
    <col min="149" max="155" width="14.7109375" customWidth="1"/>
    <col min="156" max="157" width="19.28515625" customWidth="1"/>
    <col min="158" max="162" width="14.7109375" customWidth="1"/>
    <col min="169" max="169" width="11.140625" customWidth="1"/>
    <col min="171" max="171" width="13.140625" customWidth="1"/>
    <col min="172" max="172" width="11.28515625" customWidth="1"/>
    <col min="174" max="174" width="10.42578125" customWidth="1"/>
    <col min="175" max="175" width="15.7109375" customWidth="1"/>
    <col min="176" max="181" width="13.42578125" customWidth="1"/>
  </cols>
  <sheetData>
    <row r="1" spans="6:179" x14ac:dyDescent="0.2">
      <c r="AA1" s="8"/>
      <c r="AB1" s="8"/>
      <c r="AC1" s="8"/>
      <c r="AD1" s="8"/>
      <c r="AE1" s="8"/>
      <c r="AF1" s="8"/>
      <c r="AG1" s="8" t="s">
        <v>77</v>
      </c>
      <c r="AH1" s="8"/>
      <c r="AI1" s="8"/>
      <c r="BJ1" s="49" t="s">
        <v>105</v>
      </c>
      <c r="BR1" t="s">
        <v>131</v>
      </c>
      <c r="CC1" t="s">
        <v>234</v>
      </c>
    </row>
    <row r="2" spans="6:179" x14ac:dyDescent="0.2">
      <c r="H2">
        <v>100</v>
      </c>
      <c r="AA2" s="8"/>
      <c r="AB2" s="8"/>
      <c r="AC2" s="8"/>
      <c r="AD2" s="8"/>
      <c r="AE2" s="8"/>
      <c r="AF2" s="8"/>
      <c r="AG2" s="8"/>
      <c r="AH2" s="8"/>
      <c r="AI2" s="8"/>
      <c r="BJ2" t="s">
        <v>108</v>
      </c>
      <c r="BL2" s="55" t="s">
        <v>194</v>
      </c>
      <c r="BR2" s="13" t="s">
        <v>130</v>
      </c>
      <c r="DI2">
        <f>0.072*60</f>
        <v>4.3199999999999994</v>
      </c>
    </row>
    <row r="3" spans="6:179" ht="15.75" x14ac:dyDescent="0.25">
      <c r="J3" s="91" t="s">
        <v>63</v>
      </c>
      <c r="K3" s="91"/>
      <c r="L3" s="91"/>
      <c r="M3" s="90" t="s">
        <v>64</v>
      </c>
      <c r="N3" s="90"/>
      <c r="O3" s="90" t="s">
        <v>63</v>
      </c>
      <c r="P3" s="90"/>
      <c r="Q3" s="33"/>
      <c r="R3" s="33"/>
      <c r="AA3" s="90" t="s">
        <v>51</v>
      </c>
      <c r="AB3" s="90"/>
      <c r="AC3" s="90"/>
      <c r="AD3" s="90"/>
      <c r="AE3" s="90"/>
      <c r="AF3" s="90"/>
      <c r="AG3" s="90"/>
      <c r="AH3" s="90"/>
      <c r="AI3" s="90"/>
      <c r="AJ3">
        <v>100</v>
      </c>
      <c r="AL3" s="92" t="s">
        <v>123</v>
      </c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 t="s">
        <v>195</v>
      </c>
      <c r="BC3" s="92"/>
      <c r="BD3" s="92"/>
      <c r="BE3" s="93" t="s">
        <v>73</v>
      </c>
      <c r="BF3" s="93"/>
      <c r="BG3" s="93"/>
      <c r="BH3" s="93"/>
      <c r="BI3" s="93"/>
      <c r="BJ3" t="s">
        <v>126</v>
      </c>
      <c r="BK3" s="48"/>
      <c r="BL3" s="48"/>
      <c r="BM3" s="48"/>
      <c r="BN3" s="48"/>
      <c r="BO3" s="48"/>
      <c r="BP3" s="48"/>
      <c r="BQ3" s="13"/>
      <c r="BR3" s="48"/>
      <c r="BS3" s="48"/>
      <c r="BT3" s="48"/>
      <c r="BU3" s="48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</row>
    <row r="4" spans="6:179" ht="15" x14ac:dyDescent="0.25">
      <c r="G4" t="s">
        <v>6</v>
      </c>
      <c r="H4" t="s">
        <v>1</v>
      </c>
      <c r="I4" t="s">
        <v>7</v>
      </c>
      <c r="J4" s="8" t="s">
        <v>60</v>
      </c>
      <c r="K4" s="8" t="s">
        <v>61</v>
      </c>
      <c r="L4" s="8" t="s">
        <v>62</v>
      </c>
      <c r="M4" t="s">
        <v>148</v>
      </c>
      <c r="N4" t="s">
        <v>149</v>
      </c>
      <c r="O4" t="s">
        <v>151</v>
      </c>
      <c r="P4" t="s">
        <v>150</v>
      </c>
      <c r="Q4" t="s">
        <v>152</v>
      </c>
      <c r="R4" t="s">
        <v>153</v>
      </c>
      <c r="S4" s="8" t="s">
        <v>8</v>
      </c>
      <c r="T4" s="8" t="s">
        <v>9</v>
      </c>
      <c r="U4" s="8" t="s">
        <v>10</v>
      </c>
      <c r="V4" t="s">
        <v>11</v>
      </c>
      <c r="W4" t="s">
        <v>11</v>
      </c>
      <c r="X4" t="s">
        <v>11</v>
      </c>
      <c r="Y4" s="8" t="s">
        <v>180</v>
      </c>
      <c r="Z4" s="8" t="s">
        <v>181</v>
      </c>
      <c r="AA4" s="8" t="s">
        <v>42</v>
      </c>
      <c r="AB4" s="8" t="s">
        <v>43</v>
      </c>
      <c r="AC4" s="8" t="s">
        <v>48</v>
      </c>
      <c r="AD4" s="8" t="s">
        <v>49</v>
      </c>
      <c r="AE4" s="84" t="s">
        <v>50</v>
      </c>
      <c r="AF4" s="8" t="s">
        <v>44</v>
      </c>
      <c r="AG4" s="8" t="s">
        <v>45</v>
      </c>
      <c r="AH4" s="84" t="s">
        <v>46</v>
      </c>
      <c r="AI4" s="84" t="s">
        <v>47</v>
      </c>
      <c r="AJ4" s="23" t="s">
        <v>52</v>
      </c>
      <c r="AK4" s="23" t="s">
        <v>160</v>
      </c>
      <c r="AL4" t="s">
        <v>53</v>
      </c>
      <c r="AM4" t="s">
        <v>154</v>
      </c>
      <c r="AN4" t="s">
        <v>54</v>
      </c>
      <c r="AO4" t="s">
        <v>155</v>
      </c>
      <c r="AP4" t="s">
        <v>55</v>
      </c>
      <c r="AQ4" t="s">
        <v>156</v>
      </c>
      <c r="AR4" s="23" t="s">
        <v>56</v>
      </c>
      <c r="AS4" s="24" t="s">
        <v>57</v>
      </c>
      <c r="AT4" s="24" t="s">
        <v>157</v>
      </c>
      <c r="AU4" s="25" t="s">
        <v>58</v>
      </c>
      <c r="AV4" s="25" t="s">
        <v>158</v>
      </c>
      <c r="AW4" s="25" t="s">
        <v>128</v>
      </c>
      <c r="AX4" s="25" t="s">
        <v>59</v>
      </c>
      <c r="AY4" s="25" t="s">
        <v>159</v>
      </c>
      <c r="AZ4" s="25" t="s">
        <v>145</v>
      </c>
      <c r="BA4" s="25" t="s">
        <v>144</v>
      </c>
      <c r="BB4" t="s">
        <v>121</v>
      </c>
      <c r="BC4" t="s">
        <v>122</v>
      </c>
      <c r="BD4" s="25" t="s">
        <v>133</v>
      </c>
      <c r="BE4" t="s">
        <v>115</v>
      </c>
      <c r="BF4" t="s">
        <v>116</v>
      </c>
      <c r="BG4" t="s">
        <v>120</v>
      </c>
      <c r="BH4" t="s">
        <v>118</v>
      </c>
      <c r="BI4" t="s">
        <v>119</v>
      </c>
      <c r="BJ4" s="23" t="s">
        <v>106</v>
      </c>
      <c r="BK4" s="58" t="s">
        <v>124</v>
      </c>
      <c r="BL4" s="58" t="s">
        <v>127</v>
      </c>
      <c r="BM4" s="58" t="s">
        <v>132</v>
      </c>
      <c r="BN4" s="58" t="s">
        <v>161</v>
      </c>
      <c r="BO4" s="58" t="s">
        <v>162</v>
      </c>
      <c r="BP4" s="58" t="s">
        <v>163</v>
      </c>
      <c r="BQ4" s="23" t="s">
        <v>146</v>
      </c>
      <c r="BR4" t="s">
        <v>138</v>
      </c>
      <c r="BS4" t="s">
        <v>109</v>
      </c>
      <c r="BT4" s="23" t="s">
        <v>137</v>
      </c>
      <c r="BU4" t="s">
        <v>139</v>
      </c>
      <c r="BV4" s="23" t="s">
        <v>140</v>
      </c>
      <c r="BW4" s="23" t="s">
        <v>141</v>
      </c>
      <c r="BX4" s="23" t="s">
        <v>142</v>
      </c>
      <c r="BY4" s="23" t="s">
        <v>143</v>
      </c>
      <c r="BZ4" s="23" t="s">
        <v>147</v>
      </c>
      <c r="CA4" s="84" t="s">
        <v>219</v>
      </c>
      <c r="CB4" s="84" t="s">
        <v>220</v>
      </c>
      <c r="CC4" s="84" t="s">
        <v>221</v>
      </c>
      <c r="CD4" s="84" t="s">
        <v>222</v>
      </c>
      <c r="CE4" s="84" t="s">
        <v>223</v>
      </c>
      <c r="CF4" s="84" t="s">
        <v>224</v>
      </c>
      <c r="CG4" s="84" t="s">
        <v>225</v>
      </c>
      <c r="CH4" s="84" t="s">
        <v>226</v>
      </c>
      <c r="CI4" s="84" t="s">
        <v>227</v>
      </c>
      <c r="CJ4" s="8" t="s">
        <v>228</v>
      </c>
      <c r="CK4" s="8" t="s">
        <v>229</v>
      </c>
      <c r="CL4" s="8" t="s">
        <v>230</v>
      </c>
      <c r="CM4" s="8" t="s">
        <v>231</v>
      </c>
      <c r="CN4" s="8" t="s">
        <v>232</v>
      </c>
      <c r="CO4" s="8" t="s">
        <v>233</v>
      </c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 t="s">
        <v>136</v>
      </c>
      <c r="DC4" s="23" t="s">
        <v>135</v>
      </c>
      <c r="DD4" t="s">
        <v>35</v>
      </c>
      <c r="EP4" s="30"/>
      <c r="EQ4" s="30"/>
      <c r="ER4" s="30"/>
      <c r="ES4" s="30"/>
    </row>
    <row r="5" spans="6:179" ht="15" x14ac:dyDescent="0.25">
      <c r="F5">
        <v>100</v>
      </c>
      <c r="G5" t="s">
        <v>5</v>
      </c>
      <c r="H5">
        <v>1</v>
      </c>
      <c r="I5">
        <v>1</v>
      </c>
      <c r="J5" s="8">
        <v>8.5189504535219296</v>
      </c>
      <c r="K5" s="8">
        <v>59.692754285601922</v>
      </c>
      <c r="L5" s="8">
        <v>31.788295260876097</v>
      </c>
      <c r="M5" s="83">
        <v>0.13683999999999999</v>
      </c>
      <c r="N5" s="83">
        <v>1.8867</v>
      </c>
      <c r="O5" s="8">
        <v>0.14416333333333334</v>
      </c>
      <c r="P5" s="8">
        <v>1.8669333333333331</v>
      </c>
      <c r="Q5">
        <f t="shared" ref="Q5:Q36" si="0">IF(OR(M5="",O5=""),"",M5-O5)</f>
        <v>-7.3233333333333483E-3</v>
      </c>
      <c r="R5">
        <f t="shared" ref="R5:R36" si="1">IF(OR(N5="",P5=""),"",N5-P5)</f>
        <v>1.9766666666666932E-2</v>
      </c>
      <c r="S5" s="8">
        <v>1.3220403826072837</v>
      </c>
      <c r="T5" s="8">
        <v>1.3962638011739728</v>
      </c>
      <c r="U5" s="8">
        <v>1.4704645636826319</v>
      </c>
      <c r="V5">
        <f t="shared" ref="V5:V36" si="2">IF(OR(S5="",T5=""),"",(S5-T5)/AVERAGE(S5:U5))</f>
        <v>-5.3158880120771503E-2</v>
      </c>
      <c r="W5">
        <f t="shared" ref="W5:W36" si="3">IF(OR(T5="",U5=""),"",(T5-U5)/AVERAGE(S5:U5))</f>
        <v>-5.3142653831332445E-2</v>
      </c>
      <c r="X5">
        <f t="shared" ref="X5:X36" si="4">IF(OR(S5="",U5=""),"",(S5-U5)/AVERAGE(S5:U5))</f>
        <v>-0.10630153395210394</v>
      </c>
      <c r="Y5" s="8">
        <f>AVERAGE(S5:U5)</f>
        <v>1.3962562491546295</v>
      </c>
      <c r="Z5" s="8">
        <v>1.0139864580366289</v>
      </c>
      <c r="AA5" s="83">
        <v>0.1527124006481981</v>
      </c>
      <c r="AB5" s="83">
        <v>0.25637834474175464</v>
      </c>
      <c r="AC5" s="83">
        <f t="shared" ref="AC5:AC36" si="5">IF(OR(AA5="",Y5=""),"",Y5*AA5)</f>
        <v>0.2132256437284521</v>
      </c>
      <c r="AD5" s="83">
        <f t="shared" ref="AD5:AD36" si="6">IF(OR(AB5="",Y5=""),"",Y5*AB5)</f>
        <v>0.35796986599359487</v>
      </c>
      <c r="AE5" s="83">
        <f>IF(OR(AC5="",AD5=""),"",AD5-AC5)</f>
        <v>0.14474422226514277</v>
      </c>
      <c r="AF5" s="8">
        <v>6.5469446311899802</v>
      </c>
      <c r="AG5" s="8">
        <v>51.500460143953305</v>
      </c>
      <c r="AH5" s="8">
        <f>IF(OR(AG5=0,AF5=0),"",AG5-AF5)</f>
        <v>44.953515512763325</v>
      </c>
      <c r="AI5" s="8">
        <f>IF(OR(AB5=0,AA5=0),"",AB5-AA5)</f>
        <v>0.10366594409355653</v>
      </c>
      <c r="AJ5">
        <f t="shared" ref="AJ5:AJ36" si="7">IF(Y5="","",1-Y5/2.65)</f>
        <v>0.47311084937561143</v>
      </c>
      <c r="AK5">
        <f>IF(Z5="","",1-Z5/2.65)</f>
        <v>0.61736360074089469</v>
      </c>
      <c r="AL5">
        <f t="shared" ref="AL5:AL36" si="8">IFERROR($AX5+(porosity-$AX5)*($AS5/330)^$AU5,"")</f>
        <v>0.35716828233609782</v>
      </c>
      <c r="AM5">
        <f>IFERROR($AY5+(AK5-$AY5)*($AT5/330)^$AV5,"")</f>
        <v>0.37070702238573117</v>
      </c>
      <c r="AN5">
        <f t="shared" ref="AN5:AN36" si="9">IFERROR($AX5+(porosity-$AX5)*($AS5/15000)^$AU5,"")</f>
        <v>0.19644813984579187</v>
      </c>
      <c r="AO5">
        <f>IFERROR($AY5+(AK5-$AY5)*($AT5/15000)^$AV5,"")</f>
        <v>0.19141987463803498</v>
      </c>
      <c r="AP5">
        <f>IF(OR(AL5="",AN5=""),"",AL5-AN5)</f>
        <v>0.16072014249030595</v>
      </c>
      <c r="AQ5">
        <f>IF(OR(AM5="",AO5=""),"",AM5-AO5)</f>
        <v>0.17928714774769619</v>
      </c>
      <c r="AR5">
        <f>IF(OR(AJ5="",AL5=""),"",AJ5-AL5)</f>
        <v>0.11594256703951361</v>
      </c>
      <c r="AS5">
        <f t="shared" ref="AS5:AS37" si="10">EXP(5.3396738+0.1845038*clay-2.48394546*porosity-0.00213853*clay^2-0.04356349*sand*porosity-0.61745089*clay*porosity+0.00143598*sand^2*porosity^2-0.00855375*clay^2*porosity^2-0.00001282*sand^2*clay+0.00895359*clay^2*porosity-0.00072472*sand^2*porosity+0.0000054*clay^2*sand+0.5002806*porosity^2*clay)</f>
        <v>75.769912526813428</v>
      </c>
      <c r="AT5">
        <f t="shared" ref="AT5:AT36" si="11">IF(AK5="","",EXP(5.3396738+0.1845038*clay-2.48394546*AK5-0.00213853*clay^2-0.04356349*sand*AK5-0.61745089*clay*AK5+0.00143598*sand^2*AK5^2-0.00855375*clay^2*AK5^2-0.00001282*sand^2*clay+0.00895359*clay^2*AK5-0.00072472*sand^2*AK5+0.0000054*clay^2*sand+0.5002806*AK5^2*clay))</f>
        <v>34.480569122619983</v>
      </c>
      <c r="AU5" s="24">
        <f t="shared" ref="AU5:AU37" si="12">EXP(-0.7842831+0.0177544*sand-1.062498*porosity-0.00005304*sand^2-0.00273493*clay^2+1.11134946*porosity^2-0.03088295*sand*porosity+0.00026587*sand^2*porosity^2-0.00610522*clay^2*porosity^2-0.00000235*sand^2*clay+0.00798746*clay^2*porosity-0.00674491*porosity^2*clay)</f>
        <v>0.24900386455072646</v>
      </c>
      <c r="AV5" s="24">
        <f t="shared" ref="AV5:AV36" si="13">IF(AK5="","",EXP(-0.7842831+0.0177544*sand-1.062498*AK5-0.00005304*sand^2-0.00273493*clay^2+1.11134946*AK5^2-0.03088295*sand*AK5+0.00026587*sand^2*AK5^2-0.00610522*clay^2*AK5^2-0.00000235*sand^2*clay+0.00798746*clay^2*AK5-0.00674491*AK5^2*clay))</f>
        <v>0.28836511792609998</v>
      </c>
      <c r="AW5" s="24">
        <f>1/AU5</f>
        <v>4.0160019275374843</v>
      </c>
      <c r="AX5" s="24">
        <f t="shared" ref="AX5:AX37" si="14">-0.0182482+0.00087269*sand+0.00513488*clay+0.02939286*porosity-0.00015395*clay^2-0.0010827*sand*porosity-0.00018233*clay^2*porosity^2+0.00030703*clay^2*porosity-0.0023584*porosity^2*clay</f>
        <v>9.5154955883105449E-2</v>
      </c>
      <c r="AY5" s="24">
        <f t="shared" ref="AY5:AY36" si="15">IF(AK5="","",-0.0182482+0.00087269*sand+0.00513488*clay+0.02939286*AK5-0.00015395*clay^2-0.0010827*sand*AK5-0.00018233*clay^2*AK5^2+0.00030703*clay^2*AK5-0.0023584*AK5^2*clay)</f>
        <v>0.10204396541271191</v>
      </c>
      <c r="AZ5" s="24">
        <f t="shared" ref="AZ5:AZ37" si="16"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4.8563545118126203E-2</v>
      </c>
      <c r="BA5" s="24">
        <f>AZ5*10000/3600</f>
        <v>0.13489873643923947</v>
      </c>
      <c r="BB5">
        <f t="shared" ref="BB5:BB37" si="17">ROUND(0.005*clay+0.0158*1.72*AVERAGE(N5,P5)+0.026,2)</f>
        <v>0.24</v>
      </c>
      <c r="BC5">
        <f t="shared" ref="BC5:BC37" si="18">ROUND(0.2576-0.002*sand+0.0036*clay+0.0229*1.72*AVERAGE(N5,P5),2)</f>
        <v>0.43</v>
      </c>
      <c r="BD5">
        <f>BC5-BB5</f>
        <v>0.19</v>
      </c>
      <c r="BE5">
        <f t="shared" ref="BE5:BE37" si="19">100*EXP(-4.396-0.0715*clay-4.88*10^-4*sand^2-4.285*10^-5*sand^2*clay)</f>
        <v>0.11102927170520933</v>
      </c>
      <c r="BF5">
        <f t="shared" ref="BF5:BF37" si="20">-3.14-0.00222*clay^2-3.484*10^-5*sand^2*clay</f>
        <v>-5.4636748563089128</v>
      </c>
      <c r="BG5">
        <f>ROUND((1500/BE5)^(1/BF5),2)</f>
        <v>0.18</v>
      </c>
      <c r="BH5">
        <f t="shared" ref="BH5:BH37" si="21">ROUND((33/BE5)^(1/BF5),2)</f>
        <v>0.35</v>
      </c>
      <c r="BI5">
        <f t="shared" ref="BI5:BI37" si="22">BH5-BG5</f>
        <v>0.16999999999999998</v>
      </c>
      <c r="BJ5">
        <f t="shared" ref="BJ5:BJ36" si="23">IF(Y5="","",-0.39*Y5+0.72)</f>
        <v>0.1754600628296944</v>
      </c>
      <c r="BK5">
        <f t="shared" ref="BK5:BK36" si="24">IF(Y5="","",0.2376*Y5-0.172)</f>
        <v>0.15975048479914</v>
      </c>
      <c r="BL5">
        <f t="shared" ref="BL5:BL36" si="25">IF(Y5="","",MIN((1-Y5/2.65)-0.03,0.1737*Y5+0.084))</f>
        <v>0.32652971047815915</v>
      </c>
      <c r="BM5">
        <f>BL5-BK5</f>
        <v>0.16677922567901915</v>
      </c>
      <c r="BN5">
        <f t="shared" ref="BN5:BN36" si="26">IF(Z5="","",0.2376*Z5-0.172)</f>
        <v>6.8923182429503044E-2</v>
      </c>
      <c r="BO5">
        <f t="shared" ref="BO5:BO36" si="27">IF(Z5="","",MIN((1-Z5/2.65)-0.03,0.1737*Z5+0.084))</f>
        <v>0.26012944776096242</v>
      </c>
      <c r="BP5">
        <f>IF(OR(BN5="",BO5=""),"",BO5-BN5)</f>
        <v>0.19120626533145937</v>
      </c>
      <c r="BQ5">
        <v>70</v>
      </c>
      <c r="BR5" s="10">
        <v>4</v>
      </c>
      <c r="BS5" s="10">
        <f>ROUND(CONVERT(BR5,"ft","cm"),0)</f>
        <v>122</v>
      </c>
      <c r="BT5" s="10">
        <v>4</v>
      </c>
      <c r="BU5" s="10">
        <f>ROUND(CONVERT(BT5,"ft","cm"),0)</f>
        <v>122</v>
      </c>
      <c r="BV5">
        <f>IF($I5=1,IF($BR5=2,AVERAGE($AP5:$AP6),IF($BR5=3,AVERAGE($AP5:$AP7),IF($BR5=4,AVERAGE($AP5:$AP8),AVERAGE($AP5:$AP9))))*$BS5,BV4)</f>
        <v>16.305031685706322</v>
      </c>
      <c r="BW5">
        <f t="shared" ref="BW5:BW36" si="28">IF($I5=1,IF($BR5=2,AVERAGE($BM5:$BM6),IF($BR5=3,AVERAGE($BM5:$BM7),IF($BR5=4,AVERAGE($BM5:$BM8),AVERAGE($BM5:$BM9))))*$BS5,BW4)</f>
        <v>18.330927043347646</v>
      </c>
      <c r="BX5">
        <f t="shared" ref="BX5:BX36" si="29">IF($I5=1,IF($BT5=2,AVERAGE($AP5:$AP6),IF($BT5=3,AVERAGE($AP5:$AP7),IF($BT5=4,AVERAGE($AP5:$AP8),AVERAGE($AP5:$AP9))))*$BU5,BX4)</f>
        <v>16.305031685706322</v>
      </c>
      <c r="BY5">
        <f t="shared" ref="BY5:BY36" si="30">IF($I5=1,IF($BT5=2,AVERAGE($BM5:$BM6),IF($BT5=3,AVERAGE($BM5:$BM7),IF($BT5=4,AVERAGE($BM5:$BM8),AVERAGE($BM5:$BM9))))*$BU5,BY4)</f>
        <v>18.330927043347646</v>
      </c>
      <c r="BZ5">
        <f t="shared" ref="BZ5:BZ36" si="31">IF(I5=1,IF(BQ5&lt;60,BQ5*AVERAGE(AP5:AP6),IF(BQ5&lt;90,BQ5*AVERAGE(AP5:AP7),IF(BQ5&lt;122,BQ5*AVERAGE(AP5:AP8),BQ5*AVERAGE(AP5:AP9)))),BZ4)</f>
        <v>10.052670948139909</v>
      </c>
      <c r="CA5" s="83">
        <v>0.1162044897189209</v>
      </c>
      <c r="CB5" s="83">
        <v>0.10945072697899842</v>
      </c>
      <c r="CE5" s="83">
        <v>0.26679841897233203</v>
      </c>
      <c r="CF5" s="83">
        <v>2.0663735615921524</v>
      </c>
      <c r="CG5" s="83">
        <v>4.1188358239095315</v>
      </c>
      <c r="CH5" s="83">
        <v>17.650724637681162</v>
      </c>
      <c r="CI5" s="8">
        <f>IF(OR(CH5="",CF5=""),"",CH5-CF5)</f>
        <v>15.584351076089009</v>
      </c>
      <c r="CJ5" s="8">
        <f>IF(OR(CH5="",CG5=""),"",CH5-CG5)</f>
        <v>13.53188881377163</v>
      </c>
      <c r="CK5" s="8" t="str">
        <f>IF(OR(CE5="",CC5=""),"",CE5-CC5)</f>
        <v/>
      </c>
      <c r="CL5" s="8">
        <f>IF(OR(CE5="",CB5=""),"",CE5-CB5)</f>
        <v>0.15734769199333359</v>
      </c>
      <c r="CM5" s="8" t="str">
        <f>IF(OR(CD5="",CA5=""),"",CD5-CA5)</f>
        <v/>
      </c>
      <c r="CN5" s="8" t="str">
        <f>IF(OR(CD5="",BZ5=""),"",CD5-BZ5)</f>
        <v/>
      </c>
      <c r="DB5">
        <v>4</v>
      </c>
      <c r="DC5">
        <v>4</v>
      </c>
      <c r="DD5" t="s">
        <v>28</v>
      </c>
      <c r="DE5" s="14" t="s">
        <v>7</v>
      </c>
      <c r="DF5" s="14" t="s">
        <v>1</v>
      </c>
      <c r="DG5" t="s">
        <v>235</v>
      </c>
      <c r="DJ5" s="84" t="s">
        <v>219</v>
      </c>
      <c r="DK5" s="84" t="s">
        <v>220</v>
      </c>
      <c r="DL5" s="84" t="s">
        <v>221</v>
      </c>
      <c r="DM5" s="84" t="s">
        <v>222</v>
      </c>
      <c r="DN5" s="84" t="s">
        <v>223</v>
      </c>
      <c r="DO5" s="84" t="s">
        <v>224</v>
      </c>
      <c r="DP5" s="84" t="s">
        <v>225</v>
      </c>
      <c r="DQ5" s="84" t="s">
        <v>226</v>
      </c>
      <c r="DR5" s="84" t="s">
        <v>227</v>
      </c>
      <c r="DS5" s="8" t="s">
        <v>228</v>
      </c>
      <c r="DT5" s="8" t="s">
        <v>229</v>
      </c>
      <c r="DU5" s="8" t="s">
        <v>230</v>
      </c>
      <c r="DV5" s="8" t="s">
        <v>231</v>
      </c>
      <c r="DW5" s="8" t="s">
        <v>232</v>
      </c>
      <c r="DX5" s="8" t="s">
        <v>233</v>
      </c>
      <c r="EB5" s="1"/>
      <c r="EC5" s="16"/>
      <c r="ED5" s="17"/>
      <c r="EE5" s="17"/>
      <c r="EF5" s="18"/>
      <c r="EG5" s="11"/>
      <c r="EH5" s="11"/>
      <c r="EI5" s="11"/>
      <c r="EJ5" s="11"/>
      <c r="EN5" s="50"/>
      <c r="EP5" s="10"/>
      <c r="EQ5" s="10"/>
      <c r="ER5" s="10"/>
      <c r="ES5" s="10"/>
      <c r="ET5" s="10"/>
      <c r="EU5" s="10"/>
      <c r="EV5" s="10"/>
      <c r="EW5" s="10"/>
    </row>
    <row r="6" spans="6:179" x14ac:dyDescent="0.2">
      <c r="G6" t="s">
        <v>5</v>
      </c>
      <c r="H6">
        <v>1</v>
      </c>
      <c r="I6">
        <v>2</v>
      </c>
      <c r="J6" s="8">
        <v>12.755848226586775</v>
      </c>
      <c r="K6" s="8">
        <v>56.429397735070893</v>
      </c>
      <c r="L6" s="8">
        <v>30.814754038342301</v>
      </c>
      <c r="M6" s="83">
        <v>0.10146999999999999</v>
      </c>
      <c r="N6" s="83">
        <v>1.1727666666666667</v>
      </c>
      <c r="O6" s="8">
        <v>6.8599999999999994E-2</v>
      </c>
      <c r="P6" s="8">
        <v>0.63563999999999998</v>
      </c>
      <c r="Q6">
        <f t="shared" si="0"/>
        <v>3.2869999999999996E-2</v>
      </c>
      <c r="R6">
        <f t="shared" si="1"/>
        <v>0.53712666666666675</v>
      </c>
      <c r="S6" s="8">
        <v>1.3815800527134903</v>
      </c>
      <c r="T6" s="8">
        <v>1.5389002975246144</v>
      </c>
      <c r="U6" s="8">
        <v>1.6321948335741385</v>
      </c>
      <c r="V6">
        <f t="shared" si="2"/>
        <v>-0.10366668285747763</v>
      </c>
      <c r="W6">
        <f t="shared" si="3"/>
        <v>-6.1476735512285767E-2</v>
      </c>
      <c r="X6">
        <f t="shared" si="4"/>
        <v>-0.1651434183697634</v>
      </c>
      <c r="Y6" s="8">
        <f>AVERAGE(S6:U6)</f>
        <v>1.5175583946040812</v>
      </c>
      <c r="Z6" s="8">
        <v>1.3500907510522218</v>
      </c>
      <c r="AA6" s="83">
        <v>0.16360627314997234</v>
      </c>
      <c r="AB6" s="83">
        <v>0.24185421565334211</v>
      </c>
      <c r="AC6" s="83">
        <f t="shared" si="5"/>
        <v>0.2482820732286288</v>
      </c>
      <c r="AD6" s="83">
        <f t="shared" si="6"/>
        <v>0.36702789523511509</v>
      </c>
      <c r="AE6" s="83">
        <f t="shared" ref="AE6:AE64" si="32">IF(OR(AC6="",AD6=""),"",AD6-AC6)</f>
        <v>0.11874582200648628</v>
      </c>
      <c r="AF6" s="8">
        <v>9.3656540783625637</v>
      </c>
      <c r="AG6" s="8">
        <v>48.030598320196525</v>
      </c>
      <c r="AH6" s="8">
        <f t="shared" ref="AH6:AH64" si="33">IF(OR(AG6=0,AF6=0),"",AG6-AF6)</f>
        <v>38.664944241833965</v>
      </c>
      <c r="AI6" s="8">
        <f t="shared" ref="AI6:AI64" si="34">IF(OR(AB6=0,AA6=0),"",AB6-AA6)</f>
        <v>7.8247942503369777E-2</v>
      </c>
      <c r="AJ6">
        <f t="shared" si="7"/>
        <v>0.4273364548663845</v>
      </c>
      <c r="AK6">
        <f t="shared" ref="AK6:AK64" si="35">IF(Z6="","",1-Z6/2.65)</f>
        <v>0.49053179205576536</v>
      </c>
      <c r="AL6">
        <f t="shared" si="8"/>
        <v>0.33983965953033141</v>
      </c>
      <c r="AM6">
        <f t="shared" ref="AM6:AM64" si="36">IFERROR($AY6+(AK6-$AY6)*($AT6/330)^$AV6,"")</f>
        <v>0.34827819868177584</v>
      </c>
      <c r="AN6">
        <f t="shared" si="9"/>
        <v>0.19210958495696828</v>
      </c>
      <c r="AO6">
        <f t="shared" ref="AO6:AO64" si="37">IFERROR($AY6+(AK6-$AY6)*($AT6/15000)^$AV6,"")</f>
        <v>0.1887977043978287</v>
      </c>
      <c r="AP6">
        <f t="shared" ref="AP6:AP64" si="38">IF(OR(AL6="",AN6=""),"",AL6-AN6)</f>
        <v>0.14773007457336312</v>
      </c>
      <c r="AQ6">
        <f t="shared" ref="AQ6:AQ64" si="39">IF(OR(AM6="",AO6=""),"",AM6-AO6)</f>
        <v>0.15948049428394714</v>
      </c>
      <c r="AR6">
        <f t="shared" ref="AR6:AR64" si="40">IF(OR(AJ6="",AL6=""),"",AJ6-AL6)</f>
        <v>8.749679533605309E-2</v>
      </c>
      <c r="AS6">
        <f t="shared" si="10"/>
        <v>92.13958893358631</v>
      </c>
      <c r="AT6">
        <f t="shared" si="11"/>
        <v>60.056106132701323</v>
      </c>
      <c r="AU6" s="24">
        <f t="shared" si="12"/>
        <v>0.23640589406778817</v>
      </c>
      <c r="AV6" s="24">
        <f t="shared" si="13"/>
        <v>0.26281875536594085</v>
      </c>
      <c r="AW6" s="24">
        <f t="shared" ref="AW6:AW64" si="41">1/AU6</f>
        <v>4.2300129780742912</v>
      </c>
      <c r="AX6" s="24">
        <f t="shared" si="14"/>
        <v>9.128718030631798E-2</v>
      </c>
      <c r="AY6" s="24">
        <f t="shared" si="15"/>
        <v>9.643796269331574E-2</v>
      </c>
      <c r="AZ6" s="24">
        <f t="shared" si="16"/>
        <v>2.3589991620740686E-2</v>
      </c>
      <c r="BA6" s="24">
        <f t="shared" ref="BA6:BA64" si="42">AZ6*10000/3600</f>
        <v>6.5527754502057459E-2</v>
      </c>
      <c r="BB6">
        <f t="shared" si="17"/>
        <v>0.2</v>
      </c>
      <c r="BC6">
        <f t="shared" si="18"/>
        <v>0.38</v>
      </c>
      <c r="BD6">
        <f t="shared" ref="BD6:BD64" si="43">BC6-BB6</f>
        <v>0.18</v>
      </c>
      <c r="BE6">
        <f t="shared" si="19"/>
        <v>0.1014352629235913</v>
      </c>
      <c r="BF6">
        <f t="shared" si="20"/>
        <v>-5.4226838969845446</v>
      </c>
      <c r="BG6">
        <f t="shared" ref="BG6:BG37" si="44">ROUND((1500/BE6)^(1/BF6),2)</f>
        <v>0.17</v>
      </c>
      <c r="BH6">
        <f t="shared" si="21"/>
        <v>0.34</v>
      </c>
      <c r="BI6">
        <f t="shared" si="22"/>
        <v>0.17</v>
      </c>
      <c r="BJ6">
        <f t="shared" si="23"/>
        <v>0.12815222610440835</v>
      </c>
      <c r="BK6">
        <f t="shared" si="24"/>
        <v>0.18857187455792973</v>
      </c>
      <c r="BL6">
        <f t="shared" si="25"/>
        <v>0.34759989314272888</v>
      </c>
      <c r="BM6">
        <f t="shared" ref="BM6:BM64" si="45">BL6-BK6</f>
        <v>0.15902801858479915</v>
      </c>
      <c r="BN6">
        <f t="shared" si="26"/>
        <v>0.1487815624500079</v>
      </c>
      <c r="BO6">
        <f t="shared" si="27"/>
        <v>0.31851076345777091</v>
      </c>
      <c r="BP6">
        <f t="shared" ref="BP6:BP64" si="46">IF(OR(BN6="",BO6=""),"",BO6-BN6)</f>
        <v>0.16972920100776301</v>
      </c>
      <c r="BQ6">
        <v>70</v>
      </c>
      <c r="BR6" s="10">
        <v>4</v>
      </c>
      <c r="BS6" s="10">
        <f t="shared" ref="BS6:BS64" si="47">ROUND(CONVERT(BR6,"ft","cm"),0)</f>
        <v>122</v>
      </c>
      <c r="BT6" s="10">
        <v>4</v>
      </c>
      <c r="BU6" s="10">
        <f t="shared" ref="BU6:BU64" si="48">ROUND(CONVERT(BT6,"ft","cm"),0)</f>
        <v>122</v>
      </c>
      <c r="BV6">
        <f t="shared" ref="BV6:BV37" si="49">IF(I6=1,IF(BR6=2,AVERAGE(AP6:AP7),IF(BR6=3,AVERAGE(AP6:AP8),IF(BR6=4,AVERAGE(AP6:AP9),AVERAGE(AP6:AP10))))*BS6,BV5)</f>
        <v>16.305031685706322</v>
      </c>
      <c r="BW6">
        <f t="shared" si="28"/>
        <v>18.330927043347646</v>
      </c>
      <c r="BX6">
        <f t="shared" si="29"/>
        <v>16.305031685706322</v>
      </c>
      <c r="BY6">
        <f t="shared" si="30"/>
        <v>18.330927043347646</v>
      </c>
      <c r="BZ6">
        <f t="shared" si="31"/>
        <v>10.052670948139909</v>
      </c>
      <c r="CA6" s="83">
        <v>0.1104489471593164</v>
      </c>
      <c r="CB6" s="83">
        <v>0.10230743128605364</v>
      </c>
      <c r="CE6" s="83">
        <v>0.24548032612548756</v>
      </c>
      <c r="CF6" s="83">
        <v>1.0169861607734072</v>
      </c>
      <c r="CG6" s="83">
        <v>1.1895734362628663</v>
      </c>
      <c r="CH6" s="83">
        <v>3.7696537870731421</v>
      </c>
      <c r="CI6" s="8">
        <f t="shared" ref="CI6:CI64" si="50">IF(OR(CH6="",CF6=""),"",CH6-CF6)</f>
        <v>2.7526676262997349</v>
      </c>
      <c r="CJ6" s="8">
        <f t="shared" ref="CJ6:CJ64" si="51">IF(OR(CH6="",CG6=""),"",CH6-CG6)</f>
        <v>2.5800803508102756</v>
      </c>
      <c r="CK6" s="8" t="str">
        <f t="shared" ref="CK6:CK64" si="52">IF(OR(CE6="",CC6=""),"",CE6-CC6)</f>
        <v/>
      </c>
      <c r="CL6" s="8">
        <f t="shared" ref="CL6:CL64" si="53">IF(OR(CE6="",CB6=""),"",CE6-CB6)</f>
        <v>0.14317289483943391</v>
      </c>
      <c r="CM6" s="8" t="str">
        <f t="shared" ref="CM6:CM64" si="54">IF(OR(CD6="",CA6=""),"",CD6-CA6)</f>
        <v/>
      </c>
      <c r="CN6" s="8" t="str">
        <f t="shared" ref="CN6:CN64" si="55">IF(OR(CD6="",BZ6=""),"",CD6-BZ6)</f>
        <v/>
      </c>
      <c r="DB6">
        <v>4</v>
      </c>
      <c r="DC6">
        <v>4</v>
      </c>
      <c r="DD6" t="s">
        <v>33</v>
      </c>
      <c r="DE6">
        <v>1</v>
      </c>
      <c r="DF6">
        <v>1</v>
      </c>
      <c r="DG6" s="10">
        <v>0.16072014249030595</v>
      </c>
      <c r="DJ6" s="83">
        <v>0.1162044897189209</v>
      </c>
      <c r="DK6" s="83">
        <v>0.10945072697899842</v>
      </c>
      <c r="DL6" s="83">
        <f>IF(OR(DJ6="",AG6=""),"",DJ6*AG6)</f>
        <v>5.5813711686928968</v>
      </c>
      <c r="DM6" s="83">
        <f>IF(OR(DK6="",AG6=""),"",DK6*AG6)</f>
        <v>5.2569839033817702</v>
      </c>
      <c r="DN6" s="83">
        <v>0.26679841897233203</v>
      </c>
      <c r="DO6" s="83">
        <f>IF(OR(DN6="",AG6=""),"",DN6*AG6)</f>
        <v>12.81448769412358</v>
      </c>
      <c r="DP6" s="83">
        <v>2.0663735615921524</v>
      </c>
      <c r="DQ6" s="83">
        <v>4.1188358239095315</v>
      </c>
      <c r="DR6" s="83">
        <v>17.650724637681162</v>
      </c>
      <c r="DS6" s="8">
        <f>IF(OR(DR6="",DP6=""),"",DR6-DP6)</f>
        <v>15.584351076089009</v>
      </c>
      <c r="DT6" s="8">
        <f>IF(OR(DR6="",DQ6=""),"",DR6-DQ6)</f>
        <v>13.53188881377163</v>
      </c>
      <c r="DU6" s="8">
        <f>IF(OR(DO6="",DM6=""),"",DO6-DM6)</f>
        <v>7.5575037907418094</v>
      </c>
      <c r="DV6" s="8">
        <f>IF(OR(DO6="",DL6=""),"",DO6-DL6)</f>
        <v>7.2331165254306828</v>
      </c>
      <c r="DW6" s="8">
        <f>IF(OR(DN6="",DK6=""),"",DN6-DK6)</f>
        <v>0.15734769199333359</v>
      </c>
      <c r="DX6" s="8">
        <f>IF(OR(DN6="",DJ6=""),"",DN6-DJ6)</f>
        <v>0.15059392925341114</v>
      </c>
      <c r="DY6" s="3"/>
      <c r="DZ6" s="4"/>
      <c r="EA6" s="2"/>
      <c r="EB6" s="3"/>
      <c r="EC6" s="8"/>
      <c r="ED6" s="8"/>
      <c r="EE6" s="8"/>
      <c r="EF6" s="19"/>
      <c r="EG6" s="12"/>
      <c r="EH6" s="12"/>
      <c r="EN6" s="50"/>
      <c r="EP6" s="10"/>
      <c r="EQ6" s="10"/>
      <c r="ER6" s="10"/>
      <c r="ES6" s="10"/>
      <c r="ET6" s="10"/>
      <c r="EU6" s="10"/>
      <c r="EV6" s="10"/>
      <c r="EW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V6" s="10"/>
      <c r="FW6" s="10"/>
    </row>
    <row r="7" spans="6:179" x14ac:dyDescent="0.2">
      <c r="G7" t="s">
        <v>5</v>
      </c>
      <c r="H7">
        <v>1</v>
      </c>
      <c r="I7">
        <v>3</v>
      </c>
      <c r="J7" s="8">
        <v>8.0475247524752405</v>
      </c>
      <c r="K7" s="8">
        <v>51.347395609126401</v>
      </c>
      <c r="L7" s="8">
        <v>40.605079638398401</v>
      </c>
      <c r="M7" s="83">
        <v>5.1500000000000004E-2</v>
      </c>
      <c r="N7" s="83">
        <v>0.42806</v>
      </c>
      <c r="O7" s="8">
        <v>5.0909999999999997E-2</v>
      </c>
      <c r="P7" s="8">
        <v>0.43242000000000003</v>
      </c>
      <c r="Q7">
        <f t="shared" si="0"/>
        <v>5.9000000000000719E-4</v>
      </c>
      <c r="R7">
        <f t="shared" si="1"/>
        <v>-4.3600000000000305E-3</v>
      </c>
      <c r="S7" s="8">
        <v>1.5795418563372601</v>
      </c>
      <c r="T7" s="8">
        <v>1.4961449954924144</v>
      </c>
      <c r="U7" s="8">
        <v>1.679045184164577</v>
      </c>
      <c r="V7">
        <f t="shared" si="2"/>
        <v>5.261928130555945E-2</v>
      </c>
      <c r="W7">
        <f t="shared" si="3"/>
        <v>-0.11540094412528765</v>
      </c>
      <c r="X7">
        <f t="shared" si="4"/>
        <v>-6.2781662819728204E-2</v>
      </c>
      <c r="Y7" s="8">
        <f>AVERAGE(S7:U7)</f>
        <v>1.5849106786647507</v>
      </c>
      <c r="Z7" s="8">
        <v>1.3571643040785279</v>
      </c>
      <c r="AA7" s="83">
        <v>0.18930390492359916</v>
      </c>
      <c r="AB7" s="83">
        <v>0.23213092852371417</v>
      </c>
      <c r="AC7" s="83">
        <f t="shared" si="5"/>
        <v>0.30002978042634898</v>
      </c>
      <c r="AD7" s="83">
        <f t="shared" si="6"/>
        <v>0.36790678746559857</v>
      </c>
      <c r="AE7" s="83">
        <f t="shared" si="32"/>
        <v>6.7877007039249593E-2</v>
      </c>
      <c r="AF7" s="8">
        <v>12.445678597038771</v>
      </c>
      <c r="AG7" s="8">
        <v>49.294483642623192</v>
      </c>
      <c r="AH7" s="8">
        <f t="shared" si="33"/>
        <v>36.84880504558442</v>
      </c>
      <c r="AI7" s="8">
        <f t="shared" si="34"/>
        <v>4.2827023600115005E-2</v>
      </c>
      <c r="AJ7">
        <f t="shared" si="7"/>
        <v>0.40192049861707524</v>
      </c>
      <c r="AK7">
        <f t="shared" si="35"/>
        <v>0.4878625267628196</v>
      </c>
      <c r="AL7">
        <f t="shared" si="8"/>
        <v>0.36885459774299251</v>
      </c>
      <c r="AM7">
        <f t="shared" si="36"/>
        <v>0.39176196764623228</v>
      </c>
      <c r="AN7">
        <f t="shared" si="9"/>
        <v>0.24647605988637974</v>
      </c>
      <c r="AO7">
        <f t="shared" si="37"/>
        <v>0.2349894439513511</v>
      </c>
      <c r="AP7">
        <f t="shared" si="38"/>
        <v>0.12237853785661276</v>
      </c>
      <c r="AQ7">
        <f t="shared" si="39"/>
        <v>0.15677252369488118</v>
      </c>
      <c r="AR7">
        <f t="shared" si="40"/>
        <v>3.3065900874082732E-2</v>
      </c>
      <c r="AS7">
        <f t="shared" si="10"/>
        <v>157.61584066114878</v>
      </c>
      <c r="AT7">
        <f t="shared" si="11"/>
        <v>82.152203603279759</v>
      </c>
      <c r="AU7" s="24">
        <f t="shared" si="12"/>
        <v>0.15226284089211178</v>
      </c>
      <c r="AV7" s="24">
        <f t="shared" si="13"/>
        <v>0.20858652271812381</v>
      </c>
      <c r="AW7" s="24">
        <f t="shared" si="41"/>
        <v>6.5675905831059964</v>
      </c>
      <c r="AX7" s="24">
        <f t="shared" si="14"/>
        <v>9.1189506378230756E-2</v>
      </c>
      <c r="AY7" s="24">
        <f t="shared" si="15"/>
        <v>0.10616120309304231</v>
      </c>
      <c r="AZ7" s="24">
        <f t="shared" si="16"/>
        <v>2.593631312176623E-3</v>
      </c>
      <c r="BA7" s="24">
        <f t="shared" si="42"/>
        <v>7.2045314227128414E-3</v>
      </c>
      <c r="BB7">
        <f t="shared" si="17"/>
        <v>0.24</v>
      </c>
      <c r="BC7">
        <f t="shared" si="18"/>
        <v>0.4</v>
      </c>
      <c r="BD7">
        <f t="shared" si="43"/>
        <v>0.16000000000000003</v>
      </c>
      <c r="BE7">
        <f t="shared" si="19"/>
        <v>5.8520420461816949E-2</v>
      </c>
      <c r="BF7">
        <f t="shared" si="20"/>
        <v>-6.8918934286046252</v>
      </c>
      <c r="BG7">
        <f t="shared" si="44"/>
        <v>0.23</v>
      </c>
      <c r="BH7">
        <f t="shared" si="21"/>
        <v>0.4</v>
      </c>
      <c r="BI7">
        <f t="shared" si="22"/>
        <v>0.17</v>
      </c>
      <c r="BJ7">
        <f t="shared" si="23"/>
        <v>0.10188483532074721</v>
      </c>
      <c r="BK7">
        <f t="shared" si="24"/>
        <v>0.2045747772507448</v>
      </c>
      <c r="BL7">
        <f t="shared" si="25"/>
        <v>0.3592989848840672</v>
      </c>
      <c r="BM7">
        <f t="shared" si="45"/>
        <v>0.1547242076333224</v>
      </c>
      <c r="BN7">
        <f t="shared" si="26"/>
        <v>0.15046223864905828</v>
      </c>
      <c r="BO7">
        <f t="shared" si="27"/>
        <v>0.31973943961844031</v>
      </c>
      <c r="BP7">
        <f t="shared" si="46"/>
        <v>0.16927720096938204</v>
      </c>
      <c r="BQ7">
        <v>70</v>
      </c>
      <c r="BR7" s="10">
        <v>4</v>
      </c>
      <c r="BS7" s="10">
        <f t="shared" si="47"/>
        <v>122</v>
      </c>
      <c r="BT7" s="10">
        <v>4</v>
      </c>
      <c r="BU7" s="10">
        <f t="shared" si="48"/>
        <v>122</v>
      </c>
      <c r="BV7">
        <f t="shared" si="49"/>
        <v>16.305031685706322</v>
      </c>
      <c r="BW7">
        <f t="shared" si="28"/>
        <v>18.330927043347646</v>
      </c>
      <c r="BX7">
        <f t="shared" si="29"/>
        <v>16.305031685706322</v>
      </c>
      <c r="BY7">
        <f t="shared" si="30"/>
        <v>18.330927043347646</v>
      </c>
      <c r="BZ7">
        <f t="shared" si="31"/>
        <v>10.052670948139909</v>
      </c>
      <c r="CA7" s="83">
        <v>0.16288852535639164</v>
      </c>
      <c r="CB7" s="83">
        <v>0.13665389527458482</v>
      </c>
      <c r="CE7" s="83">
        <v>0.24024559318676955</v>
      </c>
      <c r="CF7" s="83">
        <v>0.98893978343849809</v>
      </c>
      <c r="CG7" s="83">
        <v>0.86764580672626646</v>
      </c>
      <c r="CH7" s="83">
        <v>4.5124268832111962</v>
      </c>
      <c r="CI7" s="8">
        <f t="shared" si="50"/>
        <v>3.5234870997726979</v>
      </c>
      <c r="CJ7" s="8">
        <f t="shared" si="51"/>
        <v>3.6447810764849295</v>
      </c>
      <c r="CK7" s="8" t="str">
        <f t="shared" si="52"/>
        <v/>
      </c>
      <c r="CL7" s="8">
        <f t="shared" si="53"/>
        <v>0.10359169791218473</v>
      </c>
      <c r="CM7" s="8" t="str">
        <f t="shared" si="54"/>
        <v/>
      </c>
      <c r="CN7" s="8" t="str">
        <f t="shared" si="55"/>
        <v/>
      </c>
      <c r="DB7">
        <v>3</v>
      </c>
      <c r="DC7">
        <v>3</v>
      </c>
      <c r="DD7" t="s">
        <v>28</v>
      </c>
      <c r="DE7">
        <v>1</v>
      </c>
      <c r="DF7">
        <v>2</v>
      </c>
      <c r="DG7" s="10">
        <v>0.16888422266046996</v>
      </c>
      <c r="DJ7" s="83">
        <v>0.1104489471593164</v>
      </c>
      <c r="DK7" s="83">
        <v>0.10230743128605364</v>
      </c>
      <c r="DL7" s="83">
        <f t="shared" ref="DL7:DL65" si="56">IF(OR(DJ7="",AG7=""),"",DJ7*AG7)</f>
        <v>5.4445238190898753</v>
      </c>
      <c r="DM7" s="83">
        <f t="shared" ref="DM7:DM65" si="57">IF(OR(DK7="",AG7=""),"",DK7*AG7)</f>
        <v>5.0431919980491671</v>
      </c>
      <c r="DN7" s="83">
        <v>0.24548032612548756</v>
      </c>
      <c r="DO7" s="83">
        <f t="shared" ref="DO7:DO65" si="58">IF(OR(DN7="",AG7=""),"",DN7*AG7)</f>
        <v>12.100825920778654</v>
      </c>
      <c r="DP7" s="83">
        <v>1.0169861607734072</v>
      </c>
      <c r="DQ7" s="83">
        <v>1.1895734362628663</v>
      </c>
      <c r="DR7" s="83">
        <v>3.7696537870731421</v>
      </c>
      <c r="DS7" s="8">
        <f t="shared" ref="DS7:DS65" si="59">IF(OR(DR7="",DP7=""),"",DR7-DP7)</f>
        <v>2.7526676262997349</v>
      </c>
      <c r="DT7" s="8">
        <f t="shared" ref="DT7:DT65" si="60">IF(OR(DR7="",DQ7=""),"",DR7-DQ7)</f>
        <v>2.5800803508102756</v>
      </c>
      <c r="DU7" s="8">
        <f t="shared" ref="DU7:DU65" si="61">IF(OR(DO7="",DM7=""),"",DO7-DM7)</f>
        <v>7.0576339227294866</v>
      </c>
      <c r="DV7" s="8">
        <f t="shared" ref="DV7:DV65" si="62">IF(OR(DO7="",DL7=""),"",DO7-DL7)</f>
        <v>6.6563021016887784</v>
      </c>
      <c r="DW7" s="8">
        <f t="shared" ref="DW7:DW65" si="63">IF(OR(DN7="",DK7=""),"",DN7-DK7)</f>
        <v>0.14317289483943391</v>
      </c>
      <c r="DX7" s="8">
        <f t="shared" ref="DX7:DX65" si="64">IF(OR(DN7="",DJ7=""),"",DN7-DJ7)</f>
        <v>0.13503137896617118</v>
      </c>
      <c r="DY7" s="3"/>
      <c r="DZ7" s="4"/>
      <c r="EA7" s="2"/>
      <c r="EB7" s="3"/>
      <c r="EC7" s="8"/>
      <c r="ED7" s="8"/>
      <c r="EE7" s="8"/>
      <c r="EF7" s="19"/>
      <c r="EG7" s="12"/>
      <c r="EH7" s="12"/>
      <c r="EN7" s="50"/>
      <c r="EP7" s="10"/>
      <c r="EQ7" s="10"/>
      <c r="ER7" s="10"/>
      <c r="ES7" s="10"/>
      <c r="ET7" s="10"/>
      <c r="EU7" s="10"/>
      <c r="EV7" s="10"/>
      <c r="EW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V7" s="10"/>
      <c r="FW7" s="10"/>
    </row>
    <row r="8" spans="6:179" x14ac:dyDescent="0.2">
      <c r="G8" t="s">
        <v>5</v>
      </c>
      <c r="H8">
        <v>1</v>
      </c>
      <c r="I8">
        <v>4</v>
      </c>
      <c r="J8" s="8">
        <v>7.6440360889435901</v>
      </c>
      <c r="K8" s="8">
        <v>50.642246526592402</v>
      </c>
      <c r="L8" s="8">
        <v>41.713717384464097</v>
      </c>
      <c r="M8" s="83">
        <v>4.6399999999999997E-2</v>
      </c>
      <c r="N8" s="83">
        <v>0.52680000000000005</v>
      </c>
      <c r="O8" s="8">
        <v>5.0840000000000003E-2</v>
      </c>
      <c r="P8" s="8">
        <v>0.40794000000000002</v>
      </c>
      <c r="Q8">
        <f t="shared" si="0"/>
        <v>-4.4400000000000064E-3</v>
      </c>
      <c r="R8">
        <f t="shared" si="1"/>
        <v>0.11886000000000002</v>
      </c>
      <c r="S8" s="8">
        <v>1.6133813847038494</v>
      </c>
      <c r="T8" s="8">
        <v>1.6518794849473921</v>
      </c>
      <c r="U8" s="8">
        <v>1.7180874350562132</v>
      </c>
      <c r="V8">
        <f t="shared" si="2"/>
        <v>-2.3176044231451372E-2</v>
      </c>
      <c r="W8">
        <f t="shared" si="3"/>
        <v>-3.9857509084571884E-2</v>
      </c>
      <c r="X8">
        <f t="shared" si="4"/>
        <v>-6.3033553316023255E-2</v>
      </c>
      <c r="Y8" s="8">
        <f>AVERAGE(S8:U8)</f>
        <v>1.6611161015691513</v>
      </c>
      <c r="AA8" s="83">
        <v>0.22949105275389262</v>
      </c>
      <c r="AB8" s="83"/>
      <c r="AC8" s="83">
        <f t="shared" si="5"/>
        <v>0.38121128289554657</v>
      </c>
      <c r="AD8" s="83" t="str">
        <f t="shared" si="6"/>
        <v/>
      </c>
      <c r="AE8" s="83" t="str">
        <f t="shared" si="32"/>
        <v/>
      </c>
      <c r="AF8" s="8">
        <v>15.142075287778534</v>
      </c>
      <c r="AG8" s="8"/>
      <c r="AH8" s="8" t="str">
        <f t="shared" si="33"/>
        <v/>
      </c>
      <c r="AI8" s="8" t="str">
        <f t="shared" si="34"/>
        <v/>
      </c>
      <c r="AJ8">
        <f t="shared" si="7"/>
        <v>0.37316373525692403</v>
      </c>
      <c r="AK8" t="str">
        <f t="shared" si="35"/>
        <v/>
      </c>
      <c r="AL8">
        <f t="shared" si="8"/>
        <v>0.35685216460581848</v>
      </c>
      <c r="AM8" t="str">
        <f t="shared" si="36"/>
        <v/>
      </c>
      <c r="AN8">
        <f t="shared" si="9"/>
        <v>0.25308971671605696</v>
      </c>
      <c r="AO8" t="str">
        <f t="shared" si="37"/>
        <v/>
      </c>
      <c r="AP8">
        <f t="shared" si="38"/>
        <v>0.10376244788976152</v>
      </c>
      <c r="AQ8" t="str">
        <f t="shared" si="39"/>
        <v/>
      </c>
      <c r="AR8">
        <f t="shared" si="40"/>
        <v>1.6311570651105556E-2</v>
      </c>
      <c r="AS8">
        <f t="shared" si="10"/>
        <v>207.68296690949518</v>
      </c>
      <c r="AT8" t="str">
        <f t="shared" si="11"/>
        <v/>
      </c>
      <c r="AU8" s="24">
        <f t="shared" si="12"/>
        <v>0.12542951969218175</v>
      </c>
      <c r="AV8" s="24" t="str">
        <f t="shared" si="13"/>
        <v/>
      </c>
      <c r="AW8" s="24">
        <f t="shared" si="41"/>
        <v>7.9726048736701962</v>
      </c>
      <c r="AX8" s="24">
        <f t="shared" si="14"/>
        <v>8.4101226390006181E-2</v>
      </c>
      <c r="AY8" s="24" t="str">
        <f t="shared" si="15"/>
        <v/>
      </c>
      <c r="AZ8" s="24">
        <f t="shared" si="16"/>
        <v>7.8553137768051047E-4</v>
      </c>
      <c r="BA8" s="24">
        <f t="shared" si="42"/>
        <v>2.1820316046680848E-3</v>
      </c>
      <c r="BB8">
        <f t="shared" si="17"/>
        <v>0.25</v>
      </c>
      <c r="BC8">
        <f t="shared" si="18"/>
        <v>0.41</v>
      </c>
      <c r="BD8">
        <f t="shared" si="43"/>
        <v>0.15999999999999998</v>
      </c>
      <c r="BE8">
        <f t="shared" si="19"/>
        <v>5.4676729800129407E-2</v>
      </c>
      <c r="BF8">
        <f t="shared" si="20"/>
        <v>-7.0877945000289824</v>
      </c>
      <c r="BG8">
        <f t="shared" si="44"/>
        <v>0.24</v>
      </c>
      <c r="BH8">
        <f t="shared" si="21"/>
        <v>0.41</v>
      </c>
      <c r="BI8">
        <f t="shared" si="22"/>
        <v>0.16999999999999998</v>
      </c>
      <c r="BJ8">
        <f t="shared" si="23"/>
        <v>7.2164720388030901E-2</v>
      </c>
      <c r="BK8">
        <f t="shared" si="24"/>
        <v>0.22268118573283041</v>
      </c>
      <c r="BL8">
        <f t="shared" si="25"/>
        <v>0.34316373525692401</v>
      </c>
      <c r="BM8">
        <f t="shared" si="45"/>
        <v>0.1204825495240936</v>
      </c>
      <c r="BN8" t="str">
        <f t="shared" si="26"/>
        <v/>
      </c>
      <c r="BO8" t="str">
        <f t="shared" si="27"/>
        <v/>
      </c>
      <c r="BP8" t="str">
        <f t="shared" si="46"/>
        <v/>
      </c>
      <c r="BQ8">
        <v>70</v>
      </c>
      <c r="BR8" s="10">
        <v>4</v>
      </c>
      <c r="BS8" s="10">
        <f t="shared" si="47"/>
        <v>122</v>
      </c>
      <c r="BT8" s="10">
        <v>4</v>
      </c>
      <c r="BU8" s="10">
        <f t="shared" si="48"/>
        <v>122</v>
      </c>
      <c r="BV8">
        <f t="shared" si="49"/>
        <v>16.305031685706322</v>
      </c>
      <c r="BW8">
        <f t="shared" si="28"/>
        <v>18.330927043347646</v>
      </c>
      <c r="BX8">
        <f t="shared" si="29"/>
        <v>16.305031685706322</v>
      </c>
      <c r="BY8">
        <f t="shared" si="30"/>
        <v>18.330927043347646</v>
      </c>
      <c r="BZ8">
        <f t="shared" si="31"/>
        <v>10.052670948139909</v>
      </c>
      <c r="CA8" s="83">
        <v>0.17253948967193183</v>
      </c>
      <c r="CB8" s="83">
        <v>0.16964924838940604</v>
      </c>
      <c r="CE8" s="83">
        <v>0.24383466481417146</v>
      </c>
      <c r="CF8" s="83">
        <v>0.71476053057918199</v>
      </c>
      <c r="CG8" s="83">
        <v>3.0703292770221911</v>
      </c>
      <c r="CH8" s="83">
        <v>4.5057910732893358</v>
      </c>
      <c r="CI8" s="8">
        <f t="shared" si="50"/>
        <v>3.7910305427101538</v>
      </c>
      <c r="CJ8" s="8">
        <f t="shared" si="51"/>
        <v>1.4354617962671448</v>
      </c>
      <c r="CK8" s="8" t="str">
        <f t="shared" si="52"/>
        <v/>
      </c>
      <c r="CL8" s="8">
        <f t="shared" si="53"/>
        <v>7.4185416424765421E-2</v>
      </c>
      <c r="CM8" s="8" t="str">
        <f t="shared" si="54"/>
        <v/>
      </c>
      <c r="CN8" s="8" t="str">
        <f t="shared" si="55"/>
        <v/>
      </c>
      <c r="DB8">
        <v>5</v>
      </c>
      <c r="DC8">
        <v>5</v>
      </c>
      <c r="DD8" t="s">
        <v>28</v>
      </c>
      <c r="DE8">
        <v>1</v>
      </c>
      <c r="DF8">
        <v>3</v>
      </c>
      <c r="DG8" s="10">
        <v>0.14486147703720903</v>
      </c>
      <c r="DJ8" s="83">
        <v>0.16288852535639164</v>
      </c>
      <c r="DK8" s="83">
        <v>0.13665389527458482</v>
      </c>
      <c r="DL8" s="83" t="str">
        <f t="shared" si="56"/>
        <v/>
      </c>
      <c r="DM8" s="83" t="str">
        <f t="shared" si="57"/>
        <v/>
      </c>
      <c r="DN8" s="83">
        <v>0.24024559318676955</v>
      </c>
      <c r="DO8" s="83" t="str">
        <f t="shared" si="58"/>
        <v/>
      </c>
      <c r="DP8" s="83">
        <v>0.98893978343849809</v>
      </c>
      <c r="DQ8" s="83">
        <v>0.86764580672626646</v>
      </c>
      <c r="DR8" s="83">
        <v>4.5124268832111962</v>
      </c>
      <c r="DS8" s="8">
        <f t="shared" si="59"/>
        <v>3.5234870997726979</v>
      </c>
      <c r="DT8" s="8">
        <f t="shared" si="60"/>
        <v>3.6447810764849295</v>
      </c>
      <c r="DU8" s="8" t="str">
        <f t="shared" si="61"/>
        <v/>
      </c>
      <c r="DV8" s="8" t="str">
        <f t="shared" si="62"/>
        <v/>
      </c>
      <c r="DW8" s="8">
        <f t="shared" si="63"/>
        <v>0.10359169791218473</v>
      </c>
      <c r="DX8" s="8">
        <f t="shared" si="64"/>
        <v>7.7357067830377907E-2</v>
      </c>
      <c r="DY8" s="3"/>
      <c r="DZ8" s="4"/>
      <c r="EA8" s="2"/>
      <c r="EB8" s="3"/>
      <c r="EC8" s="8"/>
      <c r="ED8" s="8"/>
      <c r="EE8" s="8"/>
      <c r="EF8" s="19"/>
      <c r="EG8" s="12"/>
      <c r="EH8" s="12"/>
      <c r="EN8" s="50"/>
      <c r="EP8" s="10"/>
      <c r="EQ8" s="10"/>
      <c r="ER8" s="10"/>
      <c r="ES8" s="10"/>
      <c r="ET8" s="10"/>
      <c r="EU8" s="10"/>
      <c r="EV8" s="10"/>
      <c r="EW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V8" s="10"/>
      <c r="FW8" s="10"/>
    </row>
    <row r="9" spans="6:179" x14ac:dyDescent="0.2">
      <c r="G9" t="s">
        <v>5</v>
      </c>
      <c r="H9">
        <v>1</v>
      </c>
      <c r="I9">
        <v>5</v>
      </c>
      <c r="J9" s="8">
        <v>7.1050236590036304</v>
      </c>
      <c r="K9" s="8">
        <v>53.62939923217079</v>
      </c>
      <c r="L9" s="8">
        <v>39.265577108825603</v>
      </c>
      <c r="M9" s="83">
        <v>5.2609999999999997E-2</v>
      </c>
      <c r="N9" s="83">
        <v>0.29365000000000002</v>
      </c>
      <c r="O9" s="8">
        <v>4.4499999999999998E-2</v>
      </c>
      <c r="P9" s="8">
        <v>0.34082000000000001</v>
      </c>
      <c r="Q9">
        <f t="shared" si="0"/>
        <v>8.1099999999999992E-3</v>
      </c>
      <c r="R9">
        <f t="shared" si="1"/>
        <v>-4.716999999999999E-2</v>
      </c>
      <c r="S9" s="8">
        <v>1.650955326217856</v>
      </c>
      <c r="T9" s="8">
        <v>1.6387209459536456</v>
      </c>
      <c r="U9" s="8">
        <v>1.712736621655842</v>
      </c>
      <c r="V9">
        <f t="shared" si="2"/>
        <v>7.3370874359292865E-3</v>
      </c>
      <c r="W9">
        <f t="shared" si="3"/>
        <v>-4.4387984722448814E-2</v>
      </c>
      <c r="X9">
        <f t="shared" si="4"/>
        <v>-3.705089728651953E-2</v>
      </c>
      <c r="Y9" s="8">
        <f>AVERAGE(S9:U9)</f>
        <v>1.6674709646091144</v>
      </c>
      <c r="AA9" s="83">
        <v>0.22357723577235775</v>
      </c>
      <c r="AB9" s="83"/>
      <c r="AC9" s="83">
        <f t="shared" si="5"/>
        <v>0.37280854899797278</v>
      </c>
      <c r="AD9" s="83" t="str">
        <f t="shared" si="6"/>
        <v/>
      </c>
      <c r="AE9" s="83" t="str">
        <f t="shared" si="32"/>
        <v/>
      </c>
      <c r="AF9" s="8">
        <v>16.998471543194881</v>
      </c>
      <c r="AG9" s="8"/>
      <c r="AH9" s="8" t="str">
        <f t="shared" si="33"/>
        <v/>
      </c>
      <c r="AI9" s="8" t="str">
        <f t="shared" si="34"/>
        <v/>
      </c>
      <c r="AJ9">
        <f t="shared" si="7"/>
        <v>0.37076567373240965</v>
      </c>
      <c r="AK9" t="str">
        <f t="shared" si="35"/>
        <v/>
      </c>
      <c r="AL9">
        <f t="shared" si="8"/>
        <v>0.35139457399178686</v>
      </c>
      <c r="AM9" t="str">
        <f t="shared" si="36"/>
        <v/>
      </c>
      <c r="AN9">
        <f t="shared" si="9"/>
        <v>0.24096843371628135</v>
      </c>
      <c r="AO9" t="str">
        <f t="shared" si="37"/>
        <v/>
      </c>
      <c r="AP9">
        <f t="shared" si="38"/>
        <v>0.11042614027550551</v>
      </c>
      <c r="AQ9" t="str">
        <f t="shared" si="39"/>
        <v/>
      </c>
      <c r="AR9">
        <f t="shared" si="40"/>
        <v>1.9371099740622788E-2</v>
      </c>
      <c r="AS9">
        <f t="shared" si="10"/>
        <v>199.9829540750448</v>
      </c>
      <c r="AT9" t="str">
        <f t="shared" si="11"/>
        <v/>
      </c>
      <c r="AU9" s="24">
        <f t="shared" si="12"/>
        <v>0.13984240736207054</v>
      </c>
      <c r="AV9" s="24" t="str">
        <f t="shared" si="13"/>
        <v/>
      </c>
      <c r="AW9" s="24">
        <f t="shared" si="41"/>
        <v>7.1509066445836229</v>
      </c>
      <c r="AX9" s="24">
        <f t="shared" si="14"/>
        <v>8.4401197841648082E-2</v>
      </c>
      <c r="AY9" s="24" t="str">
        <f t="shared" si="15"/>
        <v/>
      </c>
      <c r="AZ9" s="24">
        <f t="shared" si="16"/>
        <v>1.1182274836769848E-3</v>
      </c>
      <c r="BA9" s="24">
        <f t="shared" si="42"/>
        <v>3.1061874546582909E-3</v>
      </c>
      <c r="BB9">
        <f t="shared" si="17"/>
        <v>0.23</v>
      </c>
      <c r="BC9">
        <f t="shared" si="18"/>
        <v>0.4</v>
      </c>
      <c r="BD9">
        <f t="shared" si="43"/>
        <v>0.17</v>
      </c>
      <c r="BE9">
        <f t="shared" si="19"/>
        <v>6.6677355253357856E-2</v>
      </c>
      <c r="BF9">
        <f t="shared" si="20"/>
        <v>-6.6318230549846051</v>
      </c>
      <c r="BG9">
        <f t="shared" si="44"/>
        <v>0.22</v>
      </c>
      <c r="BH9">
        <f t="shared" si="21"/>
        <v>0.39</v>
      </c>
      <c r="BI9">
        <f t="shared" si="22"/>
        <v>0.17</v>
      </c>
      <c r="BJ9">
        <f t="shared" si="23"/>
        <v>6.9686323802445327E-2</v>
      </c>
      <c r="BK9">
        <f t="shared" si="24"/>
        <v>0.22419110119112562</v>
      </c>
      <c r="BL9">
        <f t="shared" si="25"/>
        <v>0.34076567373240962</v>
      </c>
      <c r="BM9">
        <f t="shared" si="45"/>
        <v>0.11657457254128401</v>
      </c>
      <c r="BN9" t="str">
        <f t="shared" si="26"/>
        <v/>
      </c>
      <c r="BO9" t="str">
        <f t="shared" si="27"/>
        <v/>
      </c>
      <c r="BP9" t="str">
        <f t="shared" si="46"/>
        <v/>
      </c>
      <c r="BQ9">
        <v>70</v>
      </c>
      <c r="BR9" s="10">
        <v>4</v>
      </c>
      <c r="BS9" s="10">
        <f t="shared" si="47"/>
        <v>122</v>
      </c>
      <c r="BT9" s="10">
        <v>4</v>
      </c>
      <c r="BU9" s="10">
        <f t="shared" si="48"/>
        <v>122</v>
      </c>
      <c r="BV9">
        <f t="shared" si="49"/>
        <v>16.305031685706322</v>
      </c>
      <c r="BW9">
        <f t="shared" si="28"/>
        <v>18.330927043347646</v>
      </c>
      <c r="BX9">
        <f t="shared" si="29"/>
        <v>16.305031685706322</v>
      </c>
      <c r="BY9">
        <f t="shared" si="30"/>
        <v>18.330927043347646</v>
      </c>
      <c r="BZ9">
        <f t="shared" si="31"/>
        <v>10.052670948139909</v>
      </c>
      <c r="CA9" s="83">
        <v>0.19631454114212743</v>
      </c>
      <c r="CB9" s="83">
        <v>0.20946416144746005</v>
      </c>
      <c r="CE9" s="83"/>
      <c r="CF9" s="83">
        <v>2.250068266131485</v>
      </c>
      <c r="CG9" s="83">
        <v>3.9761134307585246</v>
      </c>
      <c r="CH9" s="83"/>
      <c r="CI9" s="8" t="str">
        <f t="shared" si="50"/>
        <v/>
      </c>
      <c r="CJ9" s="8" t="str">
        <f t="shared" si="51"/>
        <v/>
      </c>
      <c r="CK9" s="8" t="str">
        <f t="shared" si="52"/>
        <v/>
      </c>
      <c r="CL9" s="8" t="str">
        <f t="shared" si="53"/>
        <v/>
      </c>
      <c r="CM9" s="8" t="str">
        <f t="shared" si="54"/>
        <v/>
      </c>
      <c r="CN9" s="8" t="str">
        <f t="shared" si="55"/>
        <v/>
      </c>
      <c r="DB9">
        <v>4</v>
      </c>
      <c r="DC9">
        <v>5</v>
      </c>
      <c r="DD9" t="s">
        <v>34</v>
      </c>
      <c r="DE9">
        <v>1</v>
      </c>
      <c r="DF9">
        <v>4</v>
      </c>
      <c r="DG9" s="10">
        <v>0.16378550699397532</v>
      </c>
      <c r="DJ9" s="83">
        <v>0.17253948967193183</v>
      </c>
      <c r="DK9" s="83">
        <v>0.16964924838940604</v>
      </c>
      <c r="DL9" s="83" t="str">
        <f t="shared" si="56"/>
        <v/>
      </c>
      <c r="DM9" s="83" t="str">
        <f t="shared" si="57"/>
        <v/>
      </c>
      <c r="DN9" s="83">
        <v>0.24383466481417146</v>
      </c>
      <c r="DO9" s="83" t="str">
        <f t="shared" si="58"/>
        <v/>
      </c>
      <c r="DP9" s="83">
        <v>0.71476053057918199</v>
      </c>
      <c r="DQ9" s="83">
        <v>3.0703292770221911</v>
      </c>
      <c r="DR9" s="83">
        <v>4.5057910732893358</v>
      </c>
      <c r="DS9" s="8">
        <f t="shared" si="59"/>
        <v>3.7910305427101538</v>
      </c>
      <c r="DT9" s="8">
        <f t="shared" si="60"/>
        <v>1.4354617962671448</v>
      </c>
      <c r="DU9" s="8" t="str">
        <f t="shared" si="61"/>
        <v/>
      </c>
      <c r="DV9" s="8" t="str">
        <f t="shared" si="62"/>
        <v/>
      </c>
      <c r="DW9" s="8">
        <f t="shared" si="63"/>
        <v>7.4185416424765421E-2</v>
      </c>
      <c r="DX9" s="8">
        <f t="shared" si="64"/>
        <v>7.1295175142239625E-2</v>
      </c>
      <c r="DY9" s="3"/>
      <c r="DZ9" s="4"/>
      <c r="EA9" s="2"/>
      <c r="EB9" s="3"/>
      <c r="EC9" s="8"/>
      <c r="ED9" s="8"/>
      <c r="EE9" s="8"/>
      <c r="EF9" s="19"/>
      <c r="EG9" s="12"/>
      <c r="EH9" s="12"/>
      <c r="EN9" s="50"/>
      <c r="EP9" s="10"/>
      <c r="EQ9" s="10"/>
      <c r="ER9" s="10"/>
      <c r="ES9" s="10"/>
      <c r="ET9" s="10"/>
      <c r="EU9" s="10"/>
      <c r="EV9" s="10"/>
      <c r="EW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V9" s="10"/>
      <c r="FW9" s="10"/>
    </row>
    <row r="10" spans="6:179" x14ac:dyDescent="0.2">
      <c r="G10" t="s">
        <v>5</v>
      </c>
      <c r="H10">
        <v>2</v>
      </c>
      <c r="I10">
        <v>1</v>
      </c>
      <c r="J10" s="8">
        <v>8.2062055332568491</v>
      </c>
      <c r="K10" s="8">
        <v>60.025586651978138</v>
      </c>
      <c r="L10" s="8">
        <v>31.768207814765002</v>
      </c>
      <c r="M10" s="83"/>
      <c r="N10" s="83"/>
      <c r="O10" s="8">
        <v>0.12657666666666667</v>
      </c>
      <c r="P10" s="8">
        <v>1.4975666666666667</v>
      </c>
      <c r="Q10" t="str">
        <f t="shared" si="0"/>
        <v/>
      </c>
      <c r="R10" t="str">
        <f t="shared" si="1"/>
        <v/>
      </c>
      <c r="S10" s="8">
        <v>1.3275445082978903</v>
      </c>
      <c r="T10" s="8">
        <v>1.209532218518677</v>
      </c>
      <c r="U10" s="8">
        <v>1.5078020562000902</v>
      </c>
      <c r="V10">
        <f t="shared" si="2"/>
        <v>8.7527188904682168E-2</v>
      </c>
      <c r="W10">
        <f t="shared" si="3"/>
        <v>-0.22122035320348801</v>
      </c>
      <c r="X10">
        <f t="shared" si="4"/>
        <v>-0.13369316429880584</v>
      </c>
      <c r="Y10" s="8">
        <f>AVERAGE(S10,T10)</f>
        <v>1.2685383634082836</v>
      </c>
      <c r="Z10" s="8">
        <v>1.307557329339353</v>
      </c>
      <c r="AA10" s="83">
        <v>0.11112434492615549</v>
      </c>
      <c r="AB10" s="83">
        <v>0.23947667804323078</v>
      </c>
      <c r="AC10" s="83">
        <f t="shared" si="5"/>
        <v>0.14096549464744287</v>
      </c>
      <c r="AD10" s="83">
        <f t="shared" si="6"/>
        <v>0.30378535323941241</v>
      </c>
      <c r="AE10" s="83">
        <f t="shared" si="32"/>
        <v>0.16281985859196954</v>
      </c>
      <c r="AF10" s="8">
        <v>5.0111496029091498</v>
      </c>
      <c r="AG10" s="8">
        <v>40.190769038528103</v>
      </c>
      <c r="AH10" s="8">
        <f t="shared" si="33"/>
        <v>35.179619435618953</v>
      </c>
      <c r="AI10" s="8">
        <f t="shared" si="34"/>
        <v>0.12835233311707528</v>
      </c>
      <c r="AJ10">
        <f t="shared" si="7"/>
        <v>0.5213062779591382</v>
      </c>
      <c r="AK10">
        <f t="shared" si="35"/>
        <v>0.50658213987194223</v>
      </c>
      <c r="AL10">
        <f t="shared" si="8"/>
        <v>0.36223410168984682</v>
      </c>
      <c r="AM10">
        <f t="shared" si="36"/>
        <v>0.36103061223022631</v>
      </c>
      <c r="AN10">
        <f t="shared" si="9"/>
        <v>0.19334987902937686</v>
      </c>
      <c r="AO10">
        <f t="shared" si="37"/>
        <v>0.19424124129438777</v>
      </c>
      <c r="AP10">
        <f t="shared" si="38"/>
        <v>0.16888422266046996</v>
      </c>
      <c r="AQ10">
        <f t="shared" si="39"/>
        <v>0.16678937093583854</v>
      </c>
      <c r="AR10">
        <f t="shared" si="40"/>
        <v>0.15907217626929138</v>
      </c>
      <c r="AS10">
        <f t="shared" si="10"/>
        <v>56.699161604497903</v>
      </c>
      <c r="AT10">
        <f t="shared" si="11"/>
        <v>61.851524262303457</v>
      </c>
      <c r="AU10" s="24">
        <f t="shared" si="12"/>
        <v>0.26798390565656277</v>
      </c>
      <c r="AV10" s="24">
        <f t="shared" si="13"/>
        <v>0.26270063173178532</v>
      </c>
      <c r="AW10" s="24">
        <f t="shared" si="41"/>
        <v>3.7315673773392914</v>
      </c>
      <c r="AX10" s="24">
        <f t="shared" si="14"/>
        <v>9.8525416592107895E-2</v>
      </c>
      <c r="AY10" s="24">
        <f t="shared" si="15"/>
        <v>9.7579917259222326E-2</v>
      </c>
      <c r="AZ10" s="24">
        <f t="shared" si="16"/>
        <v>0.12410790201094019</v>
      </c>
      <c r="BA10" s="24">
        <f t="shared" si="42"/>
        <v>0.34474417225261161</v>
      </c>
      <c r="BB10">
        <f t="shared" si="17"/>
        <v>0.23</v>
      </c>
      <c r="BC10">
        <f t="shared" si="18"/>
        <v>0.41</v>
      </c>
      <c r="BD10">
        <f t="shared" si="43"/>
        <v>0.17999999999999997</v>
      </c>
      <c r="BE10">
        <f t="shared" si="19"/>
        <v>0.11227661162939227</v>
      </c>
      <c r="BF10">
        <f t="shared" si="20"/>
        <v>-5.4550004497424718</v>
      </c>
      <c r="BG10">
        <f t="shared" si="44"/>
        <v>0.18</v>
      </c>
      <c r="BH10">
        <f t="shared" si="21"/>
        <v>0.35</v>
      </c>
      <c r="BI10">
        <f t="shared" si="22"/>
        <v>0.16999999999999998</v>
      </c>
      <c r="BJ10">
        <f t="shared" si="23"/>
        <v>0.22527003827076936</v>
      </c>
      <c r="BK10">
        <f t="shared" si="24"/>
        <v>0.1294047151458082</v>
      </c>
      <c r="BL10">
        <f t="shared" si="25"/>
        <v>0.30434511372401885</v>
      </c>
      <c r="BM10">
        <f t="shared" si="45"/>
        <v>0.17494039857821064</v>
      </c>
      <c r="BN10">
        <f t="shared" si="26"/>
        <v>0.1386756214510303</v>
      </c>
      <c r="BO10">
        <f t="shared" si="27"/>
        <v>0.31112270810624559</v>
      </c>
      <c r="BP10">
        <f t="shared" si="46"/>
        <v>0.1724470866552153</v>
      </c>
      <c r="BQ10">
        <v>82</v>
      </c>
      <c r="BR10" s="10">
        <v>4</v>
      </c>
      <c r="BS10" s="10">
        <f t="shared" si="47"/>
        <v>122</v>
      </c>
      <c r="BT10" s="10">
        <v>4</v>
      </c>
      <c r="BU10" s="10">
        <f t="shared" si="48"/>
        <v>122</v>
      </c>
      <c r="BV10">
        <f t="shared" si="49"/>
        <v>18.139321704289721</v>
      </c>
      <c r="BW10">
        <f t="shared" si="28"/>
        <v>18.309766360864966</v>
      </c>
      <c r="BX10">
        <f t="shared" si="29"/>
        <v>18.139321704289721</v>
      </c>
      <c r="BY10">
        <f t="shared" si="30"/>
        <v>18.309766360864966</v>
      </c>
      <c r="BZ10">
        <f t="shared" si="31"/>
        <v>12.97932902589192</v>
      </c>
      <c r="CA10" s="83">
        <v>0.10689779703864215</v>
      </c>
      <c r="CB10" s="83">
        <v>0.11526104417670673</v>
      </c>
      <c r="CE10" s="83">
        <v>0.25601018946027698</v>
      </c>
      <c r="CF10" s="83">
        <v>3.5466850246779824</v>
      </c>
      <c r="CG10" s="83">
        <v>2.6255103748326638</v>
      </c>
      <c r="CH10" s="83">
        <v>2.4005494746059548</v>
      </c>
      <c r="CI10" s="8">
        <f t="shared" si="50"/>
        <v>-1.1461355500720276</v>
      </c>
      <c r="CJ10" s="8">
        <f t="shared" si="51"/>
        <v>-0.224960900226709</v>
      </c>
      <c r="CK10" s="8" t="str">
        <f t="shared" si="52"/>
        <v/>
      </c>
      <c r="CL10" s="8">
        <f t="shared" si="53"/>
        <v>0.14074914528357024</v>
      </c>
      <c r="CM10" s="8" t="str">
        <f t="shared" si="54"/>
        <v/>
      </c>
      <c r="CN10" s="8" t="str">
        <f t="shared" si="55"/>
        <v/>
      </c>
      <c r="DB10">
        <v>3</v>
      </c>
      <c r="DC10">
        <v>4</v>
      </c>
      <c r="DD10" t="s">
        <v>28</v>
      </c>
      <c r="DE10">
        <v>1</v>
      </c>
      <c r="DF10">
        <v>5</v>
      </c>
      <c r="DG10" s="10">
        <v>0.16877466605972827</v>
      </c>
      <c r="DJ10" s="83">
        <v>0.19631454114212743</v>
      </c>
      <c r="DK10" s="83">
        <v>0.20946416144746005</v>
      </c>
      <c r="DL10" s="83">
        <f t="shared" si="56"/>
        <v>7.8900323819478668</v>
      </c>
      <c r="DM10" s="83">
        <f t="shared" si="57"/>
        <v>8.4185257345838291</v>
      </c>
      <c r="DN10" s="83"/>
      <c r="DO10" s="83" t="str">
        <f t="shared" si="58"/>
        <v/>
      </c>
      <c r="DP10" s="83">
        <v>2.250068266131485</v>
      </c>
      <c r="DQ10" s="83">
        <v>3.9761134307585246</v>
      </c>
      <c r="DR10" s="83"/>
      <c r="DS10" s="8" t="str">
        <f t="shared" si="59"/>
        <v/>
      </c>
      <c r="DT10" s="8" t="str">
        <f t="shared" si="60"/>
        <v/>
      </c>
      <c r="DU10" s="8" t="str">
        <f t="shared" si="61"/>
        <v/>
      </c>
      <c r="DV10" s="8" t="str">
        <f t="shared" si="62"/>
        <v/>
      </c>
      <c r="DW10" s="8" t="str">
        <f t="shared" si="63"/>
        <v/>
      </c>
      <c r="DX10" s="8" t="str">
        <f t="shared" si="64"/>
        <v/>
      </c>
      <c r="DY10" s="3"/>
      <c r="DZ10" s="4"/>
      <c r="EA10" s="2"/>
      <c r="EB10" s="3"/>
      <c r="EC10" s="8"/>
      <c r="ED10" s="8"/>
      <c r="EE10" s="8"/>
      <c r="EF10" s="19"/>
      <c r="EG10" s="12"/>
      <c r="EH10" s="12"/>
      <c r="EN10" s="50"/>
      <c r="EP10" s="10"/>
      <c r="EQ10" s="10"/>
      <c r="ER10" s="10"/>
      <c r="ES10" s="10"/>
      <c r="ET10" s="10"/>
      <c r="EU10" s="10"/>
      <c r="EV10" s="10"/>
      <c r="EW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V10" s="10"/>
      <c r="FW10" s="10"/>
    </row>
    <row r="11" spans="6:179" x14ac:dyDescent="0.2">
      <c r="G11" t="s">
        <v>5</v>
      </c>
      <c r="H11">
        <v>2</v>
      </c>
      <c r="I11">
        <v>2</v>
      </c>
      <c r="J11" s="8">
        <v>8.1799339622963991</v>
      </c>
      <c r="K11" s="8">
        <v>62.076807244342803</v>
      </c>
      <c r="L11" s="8">
        <v>29.743258793360798</v>
      </c>
      <c r="M11" s="83">
        <v>7.9829999999999998E-2</v>
      </c>
      <c r="N11" s="83">
        <v>0.65612000000000004</v>
      </c>
      <c r="O11" s="8">
        <v>7.4940000000000007E-2</v>
      </c>
      <c r="P11" s="8">
        <v>0.71748000000000001</v>
      </c>
      <c r="Q11">
        <f t="shared" si="0"/>
        <v>4.8899999999999916E-3</v>
      </c>
      <c r="R11">
        <f t="shared" si="1"/>
        <v>-6.135999999999997E-2</v>
      </c>
      <c r="S11" s="8">
        <v>1.4766106154043515</v>
      </c>
      <c r="T11" s="8">
        <v>1.418808957927012</v>
      </c>
      <c r="U11" s="8">
        <v>1.4737442082956518</v>
      </c>
      <c r="V11">
        <f t="shared" si="2"/>
        <v>3.9688366263863149E-2</v>
      </c>
      <c r="W11">
        <f t="shared" si="3"/>
        <v>-3.7720204447119168E-2</v>
      </c>
      <c r="X11">
        <f t="shared" si="4"/>
        <v>1.9681618167439806E-3</v>
      </c>
      <c r="Y11" s="8">
        <f>AVERAGE(S11:U11)</f>
        <v>1.456387927209005</v>
      </c>
      <c r="Z11" s="8">
        <v>1.3712561479981229</v>
      </c>
      <c r="AA11" s="83">
        <v>0.10642655969958179</v>
      </c>
      <c r="AB11" s="83">
        <v>0.25817293003360814</v>
      </c>
      <c r="AC11" s="83">
        <f t="shared" si="5"/>
        <v>0.15499835668085934</v>
      </c>
      <c r="AD11" s="83">
        <f t="shared" si="6"/>
        <v>0.37599993843312202</v>
      </c>
      <c r="AE11" s="83">
        <f t="shared" si="32"/>
        <v>0.22100158175226267</v>
      </c>
      <c r="AF11" s="8">
        <v>3.4328877158600024</v>
      </c>
      <c r="AG11" s="8">
        <v>40.992981034171883</v>
      </c>
      <c r="AH11" s="8">
        <f t="shared" si="33"/>
        <v>37.560093318311878</v>
      </c>
      <c r="AI11" s="8">
        <f t="shared" si="34"/>
        <v>0.15174637033402635</v>
      </c>
      <c r="AJ11">
        <f t="shared" si="7"/>
        <v>0.45041965010980944</v>
      </c>
      <c r="AK11">
        <f t="shared" si="35"/>
        <v>0.48254484981202905</v>
      </c>
      <c r="AL11">
        <f t="shared" si="8"/>
        <v>0.34682723701785501</v>
      </c>
      <c r="AM11">
        <f t="shared" si="36"/>
        <v>0.35111095480919557</v>
      </c>
      <c r="AN11">
        <f t="shared" si="9"/>
        <v>0.18870852937046423</v>
      </c>
      <c r="AO11">
        <f t="shared" si="37"/>
        <v>0.18703976643481174</v>
      </c>
      <c r="AP11">
        <f t="shared" si="38"/>
        <v>0.15811870764739078</v>
      </c>
      <c r="AQ11">
        <f t="shared" si="39"/>
        <v>0.16407118837438384</v>
      </c>
      <c r="AR11">
        <f t="shared" si="40"/>
        <v>0.10359241309195444</v>
      </c>
      <c r="AS11">
        <f t="shared" si="10"/>
        <v>85.354190258926607</v>
      </c>
      <c r="AT11">
        <f t="shared" si="11"/>
        <v>69.445653890086319</v>
      </c>
      <c r="AU11" s="24">
        <f t="shared" si="12"/>
        <v>0.25063834479692521</v>
      </c>
      <c r="AV11" s="24">
        <f t="shared" si="13"/>
        <v>0.26367477867555705</v>
      </c>
      <c r="AW11" s="24">
        <f t="shared" si="41"/>
        <v>3.9898124958103693</v>
      </c>
      <c r="AX11" s="24">
        <f t="shared" si="14"/>
        <v>9.0061270011935354E-2</v>
      </c>
      <c r="AY11" s="24">
        <f t="shared" si="15"/>
        <v>9.2509929174364069E-2</v>
      </c>
      <c r="AZ11" s="24">
        <f t="shared" si="16"/>
        <v>3.537273154469333E-2</v>
      </c>
      <c r="BA11" s="24">
        <f t="shared" si="42"/>
        <v>9.8257587624148129E-2</v>
      </c>
      <c r="BB11">
        <f t="shared" si="17"/>
        <v>0.19</v>
      </c>
      <c r="BC11">
        <f t="shared" si="18"/>
        <v>0.38</v>
      </c>
      <c r="BD11">
        <f t="shared" si="43"/>
        <v>0.19</v>
      </c>
      <c r="BE11">
        <f t="shared" si="19"/>
        <v>0.13062770771827195</v>
      </c>
      <c r="BF11">
        <f t="shared" si="20"/>
        <v>-5.1732856035451125</v>
      </c>
      <c r="BG11">
        <f t="shared" si="44"/>
        <v>0.16</v>
      </c>
      <c r="BH11">
        <f t="shared" si="21"/>
        <v>0.34</v>
      </c>
      <c r="BI11">
        <f t="shared" si="22"/>
        <v>0.18000000000000002</v>
      </c>
      <c r="BJ11">
        <f t="shared" si="23"/>
        <v>0.15200870838848801</v>
      </c>
      <c r="BK11">
        <f t="shared" si="24"/>
        <v>0.17403777150485961</v>
      </c>
      <c r="BL11">
        <f t="shared" si="25"/>
        <v>0.33697458295620419</v>
      </c>
      <c r="BM11">
        <f t="shared" si="45"/>
        <v>0.16293681145134459</v>
      </c>
      <c r="BN11">
        <f t="shared" si="26"/>
        <v>0.15381046076435401</v>
      </c>
      <c r="BO11">
        <f t="shared" si="27"/>
        <v>0.32218719290727393</v>
      </c>
      <c r="BP11">
        <f t="shared" si="46"/>
        <v>0.16837673214291993</v>
      </c>
      <c r="BQ11">
        <v>82</v>
      </c>
      <c r="BR11" s="10">
        <v>4</v>
      </c>
      <c r="BS11" s="10">
        <f t="shared" si="47"/>
        <v>122</v>
      </c>
      <c r="BT11" s="10">
        <v>4</v>
      </c>
      <c r="BU11" s="10">
        <f t="shared" si="48"/>
        <v>122</v>
      </c>
      <c r="BV11">
        <f t="shared" si="49"/>
        <v>18.139321704289721</v>
      </c>
      <c r="BW11">
        <f t="shared" si="28"/>
        <v>18.309766360864966</v>
      </c>
      <c r="BX11">
        <f t="shared" si="29"/>
        <v>18.139321704289721</v>
      </c>
      <c r="BY11">
        <f t="shared" si="30"/>
        <v>18.309766360864966</v>
      </c>
      <c r="BZ11">
        <f t="shared" si="31"/>
        <v>12.97932902589192</v>
      </c>
      <c r="CA11" s="83">
        <v>0.12020460358056267</v>
      </c>
      <c r="CB11" s="83">
        <v>0.10703750526759374</v>
      </c>
      <c r="CE11" s="83">
        <v>0.25477249892349646</v>
      </c>
      <c r="CF11" s="83">
        <v>1.27423273657289</v>
      </c>
      <c r="CG11" s="83">
        <v>1.155470396123051</v>
      </c>
      <c r="CH11" s="83">
        <v>2.8566987225491602</v>
      </c>
      <c r="CI11" s="8">
        <f t="shared" si="50"/>
        <v>1.5824659859762702</v>
      </c>
      <c r="CJ11" s="8">
        <f t="shared" si="51"/>
        <v>1.7012283264261092</v>
      </c>
      <c r="CK11" s="8" t="str">
        <f t="shared" si="52"/>
        <v/>
      </c>
      <c r="CL11" s="8">
        <f t="shared" si="53"/>
        <v>0.1477349936559027</v>
      </c>
      <c r="CM11" s="8" t="str">
        <f t="shared" si="54"/>
        <v/>
      </c>
      <c r="CN11" s="8" t="str">
        <f t="shared" si="55"/>
        <v/>
      </c>
      <c r="DB11">
        <v>2</v>
      </c>
      <c r="DC11">
        <v>3</v>
      </c>
      <c r="DD11" t="s">
        <v>30</v>
      </c>
      <c r="DE11">
        <v>1</v>
      </c>
      <c r="DF11">
        <v>6</v>
      </c>
      <c r="DG11" s="10">
        <v>0.16601138842582153</v>
      </c>
      <c r="DJ11" s="83">
        <v>0.10689779703864215</v>
      </c>
      <c r="DK11" s="83">
        <v>0.11526104417670673</v>
      </c>
      <c r="DL11" s="83">
        <f t="shared" si="56"/>
        <v>4.3820593665998127</v>
      </c>
      <c r="DM11" s="83">
        <f t="shared" si="57"/>
        <v>4.7248937979145866</v>
      </c>
      <c r="DN11" s="83">
        <v>0.25601018946027698</v>
      </c>
      <c r="DO11" s="83">
        <f t="shared" si="58"/>
        <v>10.494620841099884</v>
      </c>
      <c r="DP11" s="83">
        <v>3.5466850246779824</v>
      </c>
      <c r="DQ11" s="83">
        <v>2.6255103748326638</v>
      </c>
      <c r="DR11" s="83">
        <v>2.4005494746059548</v>
      </c>
      <c r="DS11" s="8">
        <f t="shared" si="59"/>
        <v>-1.1461355500720276</v>
      </c>
      <c r="DT11" s="8">
        <f t="shared" si="60"/>
        <v>-0.224960900226709</v>
      </c>
      <c r="DU11" s="8">
        <f t="shared" si="61"/>
        <v>5.7697270431852976</v>
      </c>
      <c r="DV11" s="8">
        <f t="shared" si="62"/>
        <v>6.1125614745000716</v>
      </c>
      <c r="DW11" s="8">
        <f t="shared" si="63"/>
        <v>0.14074914528357024</v>
      </c>
      <c r="DX11" s="8">
        <f t="shared" si="64"/>
        <v>0.14911239242163482</v>
      </c>
      <c r="DY11" s="3"/>
      <c r="DZ11" s="4"/>
      <c r="EA11" s="2"/>
      <c r="EB11" s="3"/>
      <c r="EC11" s="8"/>
      <c r="ED11" s="8"/>
      <c r="EE11" s="8"/>
      <c r="EF11" s="19"/>
      <c r="EG11" s="12"/>
      <c r="EH11" s="12"/>
      <c r="EN11" s="50"/>
      <c r="EP11" s="10"/>
      <c r="EQ11" s="10"/>
      <c r="ER11" s="10"/>
      <c r="ES11" s="10"/>
      <c r="ET11" s="10"/>
      <c r="EU11" s="10"/>
      <c r="EV11" s="10"/>
      <c r="EW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V11" s="10"/>
      <c r="FW11" s="10"/>
    </row>
    <row r="12" spans="6:179" x14ac:dyDescent="0.2">
      <c r="G12" t="s">
        <v>5</v>
      </c>
      <c r="H12">
        <v>2</v>
      </c>
      <c r="I12">
        <v>3</v>
      </c>
      <c r="J12" s="8">
        <v>8.8572372476693797</v>
      </c>
      <c r="K12" s="8">
        <v>61.203012128211</v>
      </c>
      <c r="L12" s="8">
        <v>29.9397506241197</v>
      </c>
      <c r="M12" s="83">
        <v>3.0929999999999999E-2</v>
      </c>
      <c r="N12" s="83">
        <v>0.36159999999999998</v>
      </c>
      <c r="O12" s="8">
        <v>4.0930000000000001E-2</v>
      </c>
      <c r="P12" s="8">
        <v>0.38385999999999998</v>
      </c>
      <c r="Q12">
        <f t="shared" si="0"/>
        <v>-1.0000000000000002E-2</v>
      </c>
      <c r="R12">
        <f t="shared" si="1"/>
        <v>-2.2260000000000002E-2</v>
      </c>
      <c r="S12" s="8">
        <v>1.5908555471164876</v>
      </c>
      <c r="T12" s="8">
        <v>1.5884814164979077</v>
      </c>
      <c r="U12" s="8">
        <v>1.5037202894331958</v>
      </c>
      <c r="V12">
        <f t="shared" si="2"/>
        <v>1.5208850694926799E-3</v>
      </c>
      <c r="W12">
        <f t="shared" si="3"/>
        <v>5.4298584760768397E-2</v>
      </c>
      <c r="X12">
        <f t="shared" si="4"/>
        <v>5.5819469830261079E-2</v>
      </c>
      <c r="Y12" s="8">
        <f>AVERAGE(S12:U12)</f>
        <v>1.5610190843491971</v>
      </c>
      <c r="Z12" s="8">
        <v>1.5105904060475555</v>
      </c>
      <c r="AA12" s="83">
        <v>0.14723381582452727</v>
      </c>
      <c r="AB12" s="83">
        <v>0.23232603271416702</v>
      </c>
      <c r="AC12" s="83">
        <f t="shared" si="5"/>
        <v>0.22983479636364187</v>
      </c>
      <c r="AD12" s="83">
        <f t="shared" si="6"/>
        <v>0.36266537085795064</v>
      </c>
      <c r="AE12" s="83">
        <f t="shared" si="32"/>
        <v>0.13283057449430877</v>
      </c>
      <c r="AF12" s="8">
        <v>2.0993394989609642</v>
      </c>
      <c r="AG12" s="8">
        <v>24.841714110299947</v>
      </c>
      <c r="AH12" s="8">
        <f t="shared" si="33"/>
        <v>22.742374611338981</v>
      </c>
      <c r="AI12" s="8">
        <f t="shared" si="34"/>
        <v>8.5092216889639749E-2</v>
      </c>
      <c r="AJ12">
        <f t="shared" si="7"/>
        <v>0.41093619458520858</v>
      </c>
      <c r="AK12">
        <f t="shared" si="35"/>
        <v>0.42996588451035644</v>
      </c>
      <c r="AL12">
        <f t="shared" si="8"/>
        <v>0.33877002143965196</v>
      </c>
      <c r="AM12">
        <f t="shared" si="36"/>
        <v>0.34293626533554444</v>
      </c>
      <c r="AN12">
        <f t="shared" si="9"/>
        <v>0.19091945080024736</v>
      </c>
      <c r="AO12">
        <f t="shared" si="37"/>
        <v>0.19019002856071407</v>
      </c>
      <c r="AP12">
        <f t="shared" si="38"/>
        <v>0.1478505706394046</v>
      </c>
      <c r="AQ12">
        <f t="shared" si="39"/>
        <v>0.15274623677483037</v>
      </c>
      <c r="AR12">
        <f t="shared" si="40"/>
        <v>7.2166173145556622E-2</v>
      </c>
      <c r="AS12">
        <f t="shared" si="10"/>
        <v>111.25552993337861</v>
      </c>
      <c r="AT12">
        <f t="shared" si="11"/>
        <v>97.112332669380152</v>
      </c>
      <c r="AU12" s="24">
        <f t="shared" si="12"/>
        <v>0.23174651076847277</v>
      </c>
      <c r="AV12" s="24">
        <f t="shared" si="13"/>
        <v>0.24075556803643883</v>
      </c>
      <c r="AW12" s="24">
        <f t="shared" si="41"/>
        <v>4.3150595738593616</v>
      </c>
      <c r="AX12" s="24">
        <f t="shared" si="14"/>
        <v>8.693093682623218E-2</v>
      </c>
      <c r="AY12" s="24">
        <f t="shared" si="15"/>
        <v>8.8799833359672536E-2</v>
      </c>
      <c r="AZ12" s="24">
        <f t="shared" si="16"/>
        <v>1.481972292466323E-2</v>
      </c>
      <c r="BA12" s="24">
        <f t="shared" si="42"/>
        <v>4.1165897012953416E-2</v>
      </c>
      <c r="BB12">
        <f t="shared" si="17"/>
        <v>0.19</v>
      </c>
      <c r="BC12">
        <f t="shared" si="18"/>
        <v>0.36</v>
      </c>
      <c r="BD12">
        <f t="shared" si="43"/>
        <v>0.16999999999999998</v>
      </c>
      <c r="BE12">
        <f t="shared" si="19"/>
        <v>0.12612879905323077</v>
      </c>
      <c r="BF12">
        <f t="shared" si="20"/>
        <v>-5.2118147879795869</v>
      </c>
      <c r="BG12">
        <f t="shared" si="44"/>
        <v>0.17</v>
      </c>
      <c r="BH12">
        <f t="shared" si="21"/>
        <v>0.34</v>
      </c>
      <c r="BI12">
        <f t="shared" si="22"/>
        <v>0.17</v>
      </c>
      <c r="BJ12">
        <f t="shared" si="23"/>
        <v>0.1112025571038131</v>
      </c>
      <c r="BK12">
        <f t="shared" si="24"/>
        <v>0.19889813444136928</v>
      </c>
      <c r="BL12">
        <f t="shared" si="25"/>
        <v>0.35514901495145557</v>
      </c>
      <c r="BM12">
        <f t="shared" si="45"/>
        <v>0.15625088051008629</v>
      </c>
      <c r="BN12">
        <f t="shared" si="26"/>
        <v>0.18691628047689918</v>
      </c>
      <c r="BO12">
        <f t="shared" si="27"/>
        <v>0.34638955353046041</v>
      </c>
      <c r="BP12">
        <f t="shared" si="46"/>
        <v>0.15947327305356124</v>
      </c>
      <c r="BQ12">
        <v>82</v>
      </c>
      <c r="BR12" s="10">
        <v>4</v>
      </c>
      <c r="BS12" s="10">
        <f t="shared" si="47"/>
        <v>122</v>
      </c>
      <c r="BT12" s="10">
        <v>4</v>
      </c>
      <c r="BU12" s="10">
        <f t="shared" si="48"/>
        <v>122</v>
      </c>
      <c r="BV12">
        <f t="shared" si="49"/>
        <v>18.139321704289721</v>
      </c>
      <c r="BW12">
        <f t="shared" si="28"/>
        <v>18.309766360864966</v>
      </c>
      <c r="BX12">
        <f t="shared" si="29"/>
        <v>18.139321704289721</v>
      </c>
      <c r="BY12">
        <f t="shared" si="30"/>
        <v>18.309766360864966</v>
      </c>
      <c r="BZ12">
        <f t="shared" si="31"/>
        <v>12.97932902589192</v>
      </c>
      <c r="CA12" s="83">
        <v>0.11286321757618718</v>
      </c>
      <c r="CB12" s="83">
        <v>0.10881587508132748</v>
      </c>
      <c r="CE12" s="83">
        <v>0.22538177988414962</v>
      </c>
      <c r="CF12" s="83">
        <v>1.057220056697378</v>
      </c>
      <c r="CG12" s="83">
        <v>0.7512227553675993</v>
      </c>
      <c r="CH12" s="83">
        <v>2.2077295067579428</v>
      </c>
      <c r="CI12" s="8">
        <f t="shared" si="50"/>
        <v>1.1505094500605648</v>
      </c>
      <c r="CJ12" s="8">
        <f t="shared" si="51"/>
        <v>1.4565067513903434</v>
      </c>
      <c r="CK12" s="8" t="str">
        <f t="shared" si="52"/>
        <v/>
      </c>
      <c r="CL12" s="8">
        <f t="shared" si="53"/>
        <v>0.11656590480282214</v>
      </c>
      <c r="CM12" s="8" t="str">
        <f t="shared" si="54"/>
        <v/>
      </c>
      <c r="CN12" s="8" t="str">
        <f t="shared" si="55"/>
        <v/>
      </c>
      <c r="DB12">
        <v>4</v>
      </c>
      <c r="DC12">
        <v>4</v>
      </c>
      <c r="DD12" t="s">
        <v>29</v>
      </c>
      <c r="DE12">
        <v>1</v>
      </c>
      <c r="DF12">
        <v>7</v>
      </c>
      <c r="DG12" s="10">
        <v>0.14801773902111076</v>
      </c>
      <c r="DJ12" s="83">
        <v>0.12020460358056267</v>
      </c>
      <c r="DK12" s="83">
        <v>0.10703750526759374</v>
      </c>
      <c r="DL12" s="83">
        <f t="shared" si="56"/>
        <v>2.9860883968902754</v>
      </c>
      <c r="DM12" s="83">
        <f t="shared" si="57"/>
        <v>2.6589951049372882</v>
      </c>
      <c r="DN12" s="83">
        <v>0.25477249892349646</v>
      </c>
      <c r="DO12" s="83">
        <f t="shared" si="58"/>
        <v>6.3289855814241998</v>
      </c>
      <c r="DP12" s="83">
        <v>1.27423273657289</v>
      </c>
      <c r="DQ12" s="83">
        <v>1.155470396123051</v>
      </c>
      <c r="DR12" s="83">
        <v>2.8566987225491602</v>
      </c>
      <c r="DS12" s="8">
        <f t="shared" si="59"/>
        <v>1.5824659859762702</v>
      </c>
      <c r="DT12" s="8">
        <f t="shared" si="60"/>
        <v>1.7012283264261092</v>
      </c>
      <c r="DU12" s="8">
        <f t="shared" si="61"/>
        <v>3.6699904764869116</v>
      </c>
      <c r="DV12" s="8">
        <f t="shared" si="62"/>
        <v>3.3428971845339244</v>
      </c>
      <c r="DW12" s="8">
        <f t="shared" si="63"/>
        <v>0.1477349936559027</v>
      </c>
      <c r="DX12" s="8">
        <f t="shared" si="64"/>
        <v>0.13456789534293379</v>
      </c>
      <c r="DY12" s="3"/>
      <c r="DZ12" s="4"/>
      <c r="EA12" s="2"/>
      <c r="EB12" s="3"/>
      <c r="EC12" s="8"/>
      <c r="ED12" s="8"/>
      <c r="EE12" s="8"/>
      <c r="EF12" s="19"/>
      <c r="EG12" s="12"/>
      <c r="EH12" s="12"/>
      <c r="EN12" s="50"/>
      <c r="EP12" s="10"/>
      <c r="EQ12" s="10"/>
      <c r="ER12" s="10"/>
      <c r="ES12" s="10"/>
      <c r="ET12" s="10"/>
      <c r="EU12" s="10"/>
      <c r="EV12" s="10"/>
      <c r="EW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V12" s="10"/>
      <c r="FW12" s="10"/>
    </row>
    <row r="13" spans="6:179" x14ac:dyDescent="0.2">
      <c r="G13" t="s">
        <v>5</v>
      </c>
      <c r="H13">
        <v>2</v>
      </c>
      <c r="I13">
        <v>4</v>
      </c>
      <c r="J13" s="8">
        <v>8.0214029398830107</v>
      </c>
      <c r="K13" s="8">
        <v>56.864147054578297</v>
      </c>
      <c r="L13" s="8">
        <v>35.1144500055387</v>
      </c>
      <c r="M13" s="83">
        <v>2.7470000000000001E-2</v>
      </c>
      <c r="N13" s="83">
        <v>0.39072000000000001</v>
      </c>
      <c r="O13" s="8">
        <v>5.2429999999999997E-2</v>
      </c>
      <c r="P13" s="8">
        <v>0.38919999999999999</v>
      </c>
      <c r="Q13">
        <f t="shared" si="0"/>
        <v>-2.4959999999999996E-2</v>
      </c>
      <c r="R13">
        <f t="shared" si="1"/>
        <v>1.5200000000000213E-3</v>
      </c>
      <c r="S13" s="8">
        <v>1.6835608532380342</v>
      </c>
      <c r="T13" s="8">
        <v>1.6851474348068509</v>
      </c>
      <c r="U13" s="8">
        <v>1.533414056840315</v>
      </c>
      <c r="V13">
        <f t="shared" si="2"/>
        <v>-9.7095591900444656E-4</v>
      </c>
      <c r="W13">
        <f t="shared" si="3"/>
        <v>9.2857766876128012E-2</v>
      </c>
      <c r="X13">
        <f t="shared" si="4"/>
        <v>9.188681095712356E-2</v>
      </c>
      <c r="Y13" s="8">
        <f>AVERAGE(S13:T13)</f>
        <v>1.6843541440224425</v>
      </c>
      <c r="AA13" s="83">
        <v>0.17884990253411315</v>
      </c>
      <c r="AB13" s="83">
        <v>0.22129436325678484</v>
      </c>
      <c r="AC13" s="83">
        <f t="shared" si="5"/>
        <v>0.30124657449134346</v>
      </c>
      <c r="AD13" s="83">
        <f t="shared" si="6"/>
        <v>0.37273807780037327</v>
      </c>
      <c r="AE13" s="83">
        <f t="shared" si="32"/>
        <v>7.1491503309029814E-2</v>
      </c>
      <c r="AF13" s="8">
        <v>7.2343257976695128</v>
      </c>
      <c r="AG13" s="8">
        <v>34.771289896789938</v>
      </c>
      <c r="AH13" s="8">
        <f t="shared" si="33"/>
        <v>27.536964099120425</v>
      </c>
      <c r="AI13" s="8">
        <f t="shared" si="34"/>
        <v>4.244446072267169E-2</v>
      </c>
      <c r="AJ13">
        <f t="shared" si="7"/>
        <v>0.36439466263304054</v>
      </c>
      <c r="AK13" t="str">
        <f t="shared" si="35"/>
        <v/>
      </c>
      <c r="AL13">
        <f t="shared" si="8"/>
        <v>0.33874693680373591</v>
      </c>
      <c r="AM13" t="str">
        <f t="shared" si="36"/>
        <v/>
      </c>
      <c r="AN13">
        <f t="shared" si="9"/>
        <v>0.21886857859396128</v>
      </c>
      <c r="AO13" t="str">
        <f t="shared" si="37"/>
        <v/>
      </c>
      <c r="AP13">
        <f t="shared" si="38"/>
        <v>0.11987835820977463</v>
      </c>
      <c r="AQ13" t="str">
        <f t="shared" si="39"/>
        <v/>
      </c>
      <c r="AR13">
        <f t="shared" si="40"/>
        <v>2.5647725829304635E-2</v>
      </c>
      <c r="AS13">
        <f t="shared" si="10"/>
        <v>185.54129314344084</v>
      </c>
      <c r="AT13" t="str">
        <f t="shared" si="11"/>
        <v/>
      </c>
      <c r="AU13" s="24">
        <f t="shared" si="12"/>
        <v>0.16652241032369236</v>
      </c>
      <c r="AV13" s="24" t="str">
        <f t="shared" si="13"/>
        <v/>
      </c>
      <c r="AW13" s="24">
        <f t="shared" si="41"/>
        <v>6.0051977271777615</v>
      </c>
      <c r="AX13" s="24">
        <f t="shared" si="14"/>
        <v>8.3884820925511749E-2</v>
      </c>
      <c r="AY13" s="24" t="str">
        <f t="shared" si="15"/>
        <v/>
      </c>
      <c r="AZ13" s="24">
        <f t="shared" si="16"/>
        <v>1.9778098025124793E-3</v>
      </c>
      <c r="BA13" s="24">
        <f t="shared" si="42"/>
        <v>5.4939161180902205E-3</v>
      </c>
      <c r="BB13">
        <f t="shared" si="17"/>
        <v>0.21</v>
      </c>
      <c r="BC13">
        <f t="shared" si="18"/>
        <v>0.38</v>
      </c>
      <c r="BD13">
        <f t="shared" si="43"/>
        <v>0.17</v>
      </c>
      <c r="BE13">
        <f t="shared" si="19"/>
        <v>8.8060944908407018E-2</v>
      </c>
      <c r="BF13">
        <f t="shared" si="20"/>
        <v>-5.9560309120705792</v>
      </c>
      <c r="BG13">
        <f t="shared" si="44"/>
        <v>0.19</v>
      </c>
      <c r="BH13">
        <f t="shared" si="21"/>
        <v>0.37</v>
      </c>
      <c r="BI13">
        <f t="shared" si="22"/>
        <v>0.18</v>
      </c>
      <c r="BJ13">
        <f t="shared" si="23"/>
        <v>6.3101883831247374E-2</v>
      </c>
      <c r="BK13">
        <f t="shared" si="24"/>
        <v>0.22820254461973238</v>
      </c>
      <c r="BL13">
        <f t="shared" si="25"/>
        <v>0.33439466263304052</v>
      </c>
      <c r="BM13">
        <f t="shared" si="45"/>
        <v>0.10619211801330813</v>
      </c>
      <c r="BN13" t="str">
        <f t="shared" si="26"/>
        <v/>
      </c>
      <c r="BO13" t="str">
        <f t="shared" si="27"/>
        <v/>
      </c>
      <c r="BP13" t="str">
        <f t="shared" si="46"/>
        <v/>
      </c>
      <c r="BQ13">
        <v>82</v>
      </c>
      <c r="BR13" s="10">
        <v>4</v>
      </c>
      <c r="BS13" s="10">
        <f t="shared" si="47"/>
        <v>122</v>
      </c>
      <c r="BT13" s="10">
        <v>4</v>
      </c>
      <c r="BU13" s="10">
        <f t="shared" si="48"/>
        <v>122</v>
      </c>
      <c r="BV13">
        <f t="shared" si="49"/>
        <v>18.139321704289721</v>
      </c>
      <c r="BW13">
        <f t="shared" si="28"/>
        <v>18.309766360864966</v>
      </c>
      <c r="BX13">
        <f t="shared" si="29"/>
        <v>18.139321704289721</v>
      </c>
      <c r="BY13">
        <f t="shared" si="30"/>
        <v>18.309766360864966</v>
      </c>
      <c r="BZ13">
        <f t="shared" si="31"/>
        <v>12.97932902589192</v>
      </c>
      <c r="CA13" s="83">
        <v>0.15397713451714906</v>
      </c>
      <c r="CB13" s="83">
        <v>0.16351841251669513</v>
      </c>
      <c r="CE13" s="83">
        <v>0.22725245316681511</v>
      </c>
      <c r="CF13" s="83">
        <v>0.89288980783264404</v>
      </c>
      <c r="CG13" s="83">
        <v>0.85324683584557637</v>
      </c>
      <c r="CH13" s="83">
        <v>3.0916534716027355</v>
      </c>
      <c r="CI13" s="8">
        <f t="shared" si="50"/>
        <v>2.1987636637700914</v>
      </c>
      <c r="CJ13" s="8">
        <f t="shared" si="51"/>
        <v>2.2384066357571593</v>
      </c>
      <c r="CK13" s="8" t="str">
        <f t="shared" si="52"/>
        <v/>
      </c>
      <c r="CL13" s="8">
        <f t="shared" si="53"/>
        <v>6.3734040650119977E-2</v>
      </c>
      <c r="CM13" s="8" t="str">
        <f t="shared" si="54"/>
        <v/>
      </c>
      <c r="CN13" s="8" t="str">
        <f t="shared" si="55"/>
        <v/>
      </c>
      <c r="DB13">
        <v>4</v>
      </c>
      <c r="DC13">
        <v>4</v>
      </c>
      <c r="DD13" t="s">
        <v>31</v>
      </c>
      <c r="DE13">
        <v>1</v>
      </c>
      <c r="DF13">
        <v>8</v>
      </c>
      <c r="DG13" s="10">
        <v>0.15666775154275669</v>
      </c>
      <c r="DJ13" s="83">
        <v>0.11286321757618718</v>
      </c>
      <c r="DK13" s="83">
        <v>0.10881587508132748</v>
      </c>
      <c r="DL13" s="83">
        <f t="shared" si="56"/>
        <v>3.9243996570260817</v>
      </c>
      <c r="DM13" s="83">
        <f t="shared" si="57"/>
        <v>3.7836683378257181</v>
      </c>
      <c r="DN13" s="83">
        <v>0.22538177988414962</v>
      </c>
      <c r="DO13" s="83">
        <f t="shared" si="58"/>
        <v>7.836815205806265</v>
      </c>
      <c r="DP13" s="83">
        <v>1.057220056697378</v>
      </c>
      <c r="DQ13" s="83">
        <v>0.7512227553675993</v>
      </c>
      <c r="DR13" s="83">
        <v>2.2077295067579428</v>
      </c>
      <c r="DS13" s="8">
        <f t="shared" si="59"/>
        <v>1.1505094500605648</v>
      </c>
      <c r="DT13" s="8">
        <f t="shared" si="60"/>
        <v>1.4565067513903434</v>
      </c>
      <c r="DU13" s="8">
        <f t="shared" si="61"/>
        <v>4.0531468679805469</v>
      </c>
      <c r="DV13" s="8">
        <f t="shared" si="62"/>
        <v>3.9124155487801833</v>
      </c>
      <c r="DW13" s="8">
        <f t="shared" si="63"/>
        <v>0.11656590480282214</v>
      </c>
      <c r="DX13" s="8">
        <f t="shared" si="64"/>
        <v>0.11251856230796244</v>
      </c>
      <c r="DY13" s="3"/>
      <c r="DZ13" s="4"/>
      <c r="EA13" s="2"/>
      <c r="EB13" s="3"/>
      <c r="EC13" s="8"/>
      <c r="ED13" s="8"/>
      <c r="EE13" s="8"/>
      <c r="EF13" s="19"/>
      <c r="EG13" s="12"/>
      <c r="EH13" s="12"/>
      <c r="EN13" s="50"/>
      <c r="EP13" s="10"/>
      <c r="EQ13" s="10"/>
      <c r="ER13" s="10"/>
      <c r="ES13" s="10"/>
      <c r="ET13" s="10"/>
      <c r="EU13" s="10"/>
      <c r="EV13" s="10"/>
      <c r="EW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V13" s="10"/>
      <c r="FW13" s="10"/>
    </row>
    <row r="14" spans="6:179" x14ac:dyDescent="0.2">
      <c r="G14" t="s">
        <v>5</v>
      </c>
      <c r="H14">
        <v>2</v>
      </c>
      <c r="I14">
        <v>5</v>
      </c>
      <c r="J14" s="8">
        <v>8.7621672958174806</v>
      </c>
      <c r="K14" s="8">
        <v>54.4121126094158</v>
      </c>
      <c r="L14" s="8">
        <v>36.825720094766702</v>
      </c>
      <c r="M14" s="83">
        <v>4.709E-2</v>
      </c>
      <c r="N14" s="83">
        <v>0.36548999999999998</v>
      </c>
      <c r="O14" s="8">
        <v>5.1459999999999999E-2</v>
      </c>
      <c r="P14" s="8">
        <v>0.37509999999999999</v>
      </c>
      <c r="Q14">
        <f t="shared" si="0"/>
        <v>-4.3699999999999989E-3</v>
      </c>
      <c r="R14">
        <f t="shared" si="1"/>
        <v>-9.6100000000000074E-3</v>
      </c>
      <c r="S14" s="8">
        <v>1.7148745838108452</v>
      </c>
      <c r="T14" s="8">
        <v>1.688109002763067</v>
      </c>
      <c r="U14" s="8">
        <v>1.7217406486562192</v>
      </c>
      <c r="V14">
        <f t="shared" si="2"/>
        <v>1.5668500285601999E-2</v>
      </c>
      <c r="W14">
        <f t="shared" si="3"/>
        <v>-1.9687876468718123E-2</v>
      </c>
      <c r="X14">
        <f t="shared" si="4"/>
        <v>-4.0193761831161263E-3</v>
      </c>
      <c r="Y14" s="8">
        <f t="shared" ref="Y14:Y21" si="65">AVERAGE(S14:U14)</f>
        <v>1.7082414117433771</v>
      </c>
      <c r="AA14" s="83">
        <v>0.19895872071402013</v>
      </c>
      <c r="AB14" s="83"/>
      <c r="AC14" s="83">
        <f t="shared" si="5"/>
        <v>0.33986952595117403</v>
      </c>
      <c r="AD14" s="83" t="str">
        <f t="shared" si="6"/>
        <v/>
      </c>
      <c r="AE14" s="83" t="str">
        <f t="shared" si="32"/>
        <v/>
      </c>
      <c r="AF14" s="8">
        <v>9.7006505386986639</v>
      </c>
      <c r="AG14" s="8"/>
      <c r="AH14" s="8" t="str">
        <f t="shared" si="33"/>
        <v/>
      </c>
      <c r="AI14" s="8" t="str">
        <f t="shared" si="34"/>
        <v/>
      </c>
      <c r="AJ14">
        <f t="shared" si="7"/>
        <v>0.35538059934212185</v>
      </c>
      <c r="AK14" t="str">
        <f t="shared" si="35"/>
        <v/>
      </c>
      <c r="AL14">
        <f t="shared" si="8"/>
        <v>0.33716192900363051</v>
      </c>
      <c r="AM14" t="str">
        <f t="shared" si="36"/>
        <v/>
      </c>
      <c r="AN14">
        <f t="shared" si="9"/>
        <v>0.22697284750613173</v>
      </c>
      <c r="AO14" t="str">
        <f t="shared" si="37"/>
        <v/>
      </c>
      <c r="AP14">
        <f t="shared" si="38"/>
        <v>0.11018908149749879</v>
      </c>
      <c r="AQ14" t="str">
        <f t="shared" si="39"/>
        <v/>
      </c>
      <c r="AR14">
        <f t="shared" si="40"/>
        <v>1.8218670338491338E-2</v>
      </c>
      <c r="AS14">
        <f t="shared" si="10"/>
        <v>207.24209929102608</v>
      </c>
      <c r="AT14" t="str">
        <f t="shared" si="11"/>
        <v/>
      </c>
      <c r="AU14" s="24">
        <f t="shared" si="12"/>
        <v>0.14856819707855673</v>
      </c>
      <c r="AV14" s="24" t="str">
        <f t="shared" si="13"/>
        <v/>
      </c>
      <c r="AW14" s="24">
        <f t="shared" si="41"/>
        <v>6.7309156310972886</v>
      </c>
      <c r="AX14" s="24">
        <f t="shared" si="14"/>
        <v>8.2565697300461011E-2</v>
      </c>
      <c r="AY14" s="24" t="str">
        <f t="shared" si="15"/>
        <v/>
      </c>
      <c r="AZ14" s="24">
        <f t="shared" si="16"/>
        <v>1.1277884667055852E-3</v>
      </c>
      <c r="BA14" s="24">
        <f t="shared" si="42"/>
        <v>3.1327457408488481E-3</v>
      </c>
      <c r="BB14">
        <f t="shared" si="17"/>
        <v>0.22</v>
      </c>
      <c r="BC14">
        <f t="shared" si="18"/>
        <v>0.39</v>
      </c>
      <c r="BD14">
        <f t="shared" si="43"/>
        <v>0.17</v>
      </c>
      <c r="BE14">
        <f t="shared" si="19"/>
        <v>7.5585881460321899E-2</v>
      </c>
      <c r="BF14">
        <f t="shared" si="20"/>
        <v>-6.2491204109230774</v>
      </c>
      <c r="BG14">
        <f t="shared" si="44"/>
        <v>0.21</v>
      </c>
      <c r="BH14">
        <f t="shared" si="21"/>
        <v>0.38</v>
      </c>
      <c r="BI14">
        <f t="shared" si="22"/>
        <v>0.17</v>
      </c>
      <c r="BJ14">
        <f t="shared" si="23"/>
        <v>5.378584942008291E-2</v>
      </c>
      <c r="BK14">
        <f t="shared" si="24"/>
        <v>0.23387815943022644</v>
      </c>
      <c r="BL14">
        <f t="shared" si="25"/>
        <v>0.32538059934212182</v>
      </c>
      <c r="BM14">
        <f t="shared" si="45"/>
        <v>9.1502439911895384E-2</v>
      </c>
      <c r="BN14" t="str">
        <f t="shared" si="26"/>
        <v/>
      </c>
      <c r="BO14" t="str">
        <f t="shared" si="27"/>
        <v/>
      </c>
      <c r="BP14" t="str">
        <f t="shared" si="46"/>
        <v/>
      </c>
      <c r="BQ14">
        <v>82</v>
      </c>
      <c r="BR14" s="10">
        <v>4</v>
      </c>
      <c r="BS14" s="10">
        <f t="shared" si="47"/>
        <v>122</v>
      </c>
      <c r="BT14" s="10">
        <v>4</v>
      </c>
      <c r="BU14" s="10">
        <f t="shared" si="48"/>
        <v>122</v>
      </c>
      <c r="BV14">
        <f t="shared" si="49"/>
        <v>18.139321704289721</v>
      </c>
      <c r="BW14">
        <f t="shared" si="28"/>
        <v>18.309766360864966</v>
      </c>
      <c r="BX14">
        <f t="shared" si="29"/>
        <v>18.139321704289721</v>
      </c>
      <c r="BY14">
        <f t="shared" si="30"/>
        <v>18.309766360864966</v>
      </c>
      <c r="BZ14">
        <f t="shared" si="31"/>
        <v>12.97932902589192</v>
      </c>
      <c r="CA14" s="83">
        <v>0.19383465670247577</v>
      </c>
      <c r="CB14" s="83">
        <v>0.19474695707879575</v>
      </c>
      <c r="CE14" s="83"/>
      <c r="CF14" s="83">
        <v>2.3578234469873895</v>
      </c>
      <c r="CG14" s="83">
        <v>2.5811512385223145</v>
      </c>
      <c r="CH14" s="83"/>
      <c r="CI14" s="8" t="str">
        <f t="shared" si="50"/>
        <v/>
      </c>
      <c r="CJ14" s="8" t="str">
        <f t="shared" si="51"/>
        <v/>
      </c>
      <c r="CK14" s="8" t="str">
        <f t="shared" si="52"/>
        <v/>
      </c>
      <c r="CL14" s="8" t="str">
        <f t="shared" si="53"/>
        <v/>
      </c>
      <c r="CM14" s="8" t="str">
        <f t="shared" si="54"/>
        <v/>
      </c>
      <c r="CN14" s="8" t="str">
        <f t="shared" si="55"/>
        <v/>
      </c>
      <c r="DB14">
        <v>4</v>
      </c>
      <c r="DC14">
        <v>4</v>
      </c>
      <c r="DD14" t="s">
        <v>32</v>
      </c>
      <c r="DE14">
        <v>1</v>
      </c>
      <c r="DF14">
        <v>9</v>
      </c>
      <c r="DG14" s="10">
        <v>0.15704254235686615</v>
      </c>
      <c r="DJ14" s="83">
        <v>0.15397713451714906</v>
      </c>
      <c r="DK14" s="83">
        <v>0.16351841251669513</v>
      </c>
      <c r="DL14" s="83" t="str">
        <f t="shared" si="56"/>
        <v/>
      </c>
      <c r="DM14" s="83" t="str">
        <f t="shared" si="57"/>
        <v/>
      </c>
      <c r="DN14" s="83">
        <v>0.22725245316681511</v>
      </c>
      <c r="DO14" s="83" t="str">
        <f t="shared" si="58"/>
        <v/>
      </c>
      <c r="DP14" s="83">
        <v>0.89288980783264404</v>
      </c>
      <c r="DQ14" s="83">
        <v>0.85324683584557637</v>
      </c>
      <c r="DR14" s="83">
        <v>3.0916534716027355</v>
      </c>
      <c r="DS14" s="8">
        <f t="shared" si="59"/>
        <v>2.1987636637700914</v>
      </c>
      <c r="DT14" s="8">
        <f t="shared" si="60"/>
        <v>2.2384066357571593</v>
      </c>
      <c r="DU14" s="8" t="str">
        <f t="shared" si="61"/>
        <v/>
      </c>
      <c r="DV14" s="8" t="str">
        <f t="shared" si="62"/>
        <v/>
      </c>
      <c r="DW14" s="8">
        <f t="shared" si="63"/>
        <v>6.3734040650119977E-2</v>
      </c>
      <c r="DX14" s="8">
        <f t="shared" si="64"/>
        <v>7.3275318649666049E-2</v>
      </c>
      <c r="DY14" s="3"/>
      <c r="DZ14" s="4"/>
      <c r="EA14" s="2"/>
      <c r="EB14" s="3"/>
      <c r="EC14" s="8"/>
      <c r="ED14" s="8"/>
      <c r="EE14" s="8"/>
      <c r="EF14" s="19"/>
      <c r="EG14" s="12"/>
      <c r="EH14" s="12"/>
      <c r="EN14" s="50"/>
      <c r="EP14" s="10"/>
      <c r="EQ14" s="10"/>
      <c r="ER14" s="10"/>
      <c r="ES14" s="10"/>
      <c r="ET14" s="10"/>
      <c r="EU14" s="10"/>
      <c r="EV14" s="10"/>
      <c r="EW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V14" s="10"/>
      <c r="FW14" s="10"/>
    </row>
    <row r="15" spans="6:179" x14ac:dyDescent="0.2">
      <c r="G15" t="s">
        <v>5</v>
      </c>
      <c r="H15">
        <v>3</v>
      </c>
      <c r="I15">
        <v>1</v>
      </c>
      <c r="J15" s="8">
        <v>15.543499840865465</v>
      </c>
      <c r="K15" s="8">
        <v>52.291137977890465</v>
      </c>
      <c r="L15" s="8">
        <v>32.16536218124407</v>
      </c>
      <c r="M15" s="83">
        <v>9.9140000000000006E-2</v>
      </c>
      <c r="N15" s="83">
        <v>1.3157000000000001</v>
      </c>
      <c r="O15" s="8">
        <v>0.10883</v>
      </c>
      <c r="P15" s="8">
        <v>1.3419299999999998</v>
      </c>
      <c r="Q15">
        <f t="shared" si="0"/>
        <v>-9.6899999999999903E-3</v>
      </c>
      <c r="R15">
        <f t="shared" si="1"/>
        <v>-2.6229999999999754E-2</v>
      </c>
      <c r="S15" s="8">
        <v>1.4794227554544721</v>
      </c>
      <c r="T15" s="8">
        <v>1.4086441072367912</v>
      </c>
      <c r="U15" s="8">
        <v>1.6209789046209935</v>
      </c>
      <c r="V15">
        <f t="shared" si="2"/>
        <v>4.7091104329067698E-2</v>
      </c>
      <c r="W15">
        <f t="shared" si="3"/>
        <v>-0.1412725496756958</v>
      </c>
      <c r="X15">
        <f t="shared" si="4"/>
        <v>-9.4181445346628104E-2</v>
      </c>
      <c r="Y15" s="8">
        <f t="shared" si="65"/>
        <v>1.5030152557707523</v>
      </c>
      <c r="Z15" s="8">
        <v>1.0965112433435376</v>
      </c>
      <c r="AA15" s="83">
        <v>0.10381469306627922</v>
      </c>
      <c r="AB15" s="83">
        <v>0.2174948944860447</v>
      </c>
      <c r="AC15" s="83">
        <f t="shared" si="5"/>
        <v>0.15603506745177581</v>
      </c>
      <c r="AD15" s="83">
        <f t="shared" si="6"/>
        <v>0.32689814446477528</v>
      </c>
      <c r="AE15" s="83">
        <f t="shared" si="32"/>
        <v>0.17086307701299946</v>
      </c>
      <c r="AF15" s="8">
        <v>2.6074437263989201</v>
      </c>
      <c r="AG15" s="8">
        <v>36.577418313732231</v>
      </c>
      <c r="AH15" s="8">
        <f t="shared" si="33"/>
        <v>33.969974587333311</v>
      </c>
      <c r="AI15" s="8">
        <f t="shared" si="34"/>
        <v>0.11368020141976548</v>
      </c>
      <c r="AJ15">
        <f t="shared" si="7"/>
        <v>0.43282443178462171</v>
      </c>
      <c r="AK15">
        <f t="shared" si="35"/>
        <v>0.58622217232319329</v>
      </c>
      <c r="AL15">
        <f t="shared" si="8"/>
        <v>0.34154670999247816</v>
      </c>
      <c r="AM15">
        <f t="shared" si="36"/>
        <v>0.35600750821513516</v>
      </c>
      <c r="AN15">
        <f t="shared" si="9"/>
        <v>0.19668523295526913</v>
      </c>
      <c r="AO15">
        <f t="shared" si="37"/>
        <v>0.19021068634232549</v>
      </c>
      <c r="AP15">
        <f t="shared" si="38"/>
        <v>0.14486147703720903</v>
      </c>
      <c r="AQ15">
        <f t="shared" si="39"/>
        <v>0.16579682187280967</v>
      </c>
      <c r="AR15">
        <f t="shared" si="40"/>
        <v>9.1277721792143551E-2</v>
      </c>
      <c r="AS15">
        <f t="shared" si="10"/>
        <v>84.775420998942352</v>
      </c>
      <c r="AT15">
        <f t="shared" si="11"/>
        <v>32.752013974266539</v>
      </c>
      <c r="AU15" s="24">
        <f t="shared" si="12"/>
        <v>0.23141688037813521</v>
      </c>
      <c r="AV15" s="24">
        <f t="shared" si="13"/>
        <v>0.28082249362162875</v>
      </c>
      <c r="AW15" s="24">
        <f t="shared" si="41"/>
        <v>4.3212059481832092</v>
      </c>
      <c r="AX15" s="24">
        <f t="shared" si="14"/>
        <v>9.4580383363671167E-2</v>
      </c>
      <c r="AY15" s="24">
        <f t="shared" si="15"/>
        <v>0.10388905541532445</v>
      </c>
      <c r="AZ15" s="24">
        <f t="shared" si="16"/>
        <v>2.6881887616768137E-2</v>
      </c>
      <c r="BA15" s="24">
        <f t="shared" si="42"/>
        <v>7.4671910046578152E-2</v>
      </c>
      <c r="BB15">
        <f t="shared" si="17"/>
        <v>0.22</v>
      </c>
      <c r="BC15">
        <f t="shared" si="18"/>
        <v>0.39</v>
      </c>
      <c r="BD15">
        <f t="shared" si="43"/>
        <v>0.17</v>
      </c>
      <c r="BE15">
        <f t="shared" si="19"/>
        <v>7.8744363795227229E-2</v>
      </c>
      <c r="BF15">
        <f t="shared" si="20"/>
        <v>-5.7075827162281563</v>
      </c>
      <c r="BG15">
        <f t="shared" si="44"/>
        <v>0.18</v>
      </c>
      <c r="BH15">
        <f t="shared" si="21"/>
        <v>0.35</v>
      </c>
      <c r="BI15">
        <f t="shared" si="22"/>
        <v>0.16999999999999998</v>
      </c>
      <c r="BJ15">
        <f t="shared" si="23"/>
        <v>0.13382405024940658</v>
      </c>
      <c r="BK15">
        <f t="shared" si="24"/>
        <v>0.18511642477113077</v>
      </c>
      <c r="BL15">
        <f t="shared" si="25"/>
        <v>0.34507374992737971</v>
      </c>
      <c r="BM15">
        <f t="shared" si="45"/>
        <v>0.15995732515624894</v>
      </c>
      <c r="BN15">
        <f t="shared" si="26"/>
        <v>8.8531071418424534E-2</v>
      </c>
      <c r="BO15">
        <f t="shared" si="27"/>
        <v>0.27446400296877249</v>
      </c>
      <c r="BP15">
        <f t="shared" si="46"/>
        <v>0.18593293155034796</v>
      </c>
      <c r="BQ15">
        <v>65</v>
      </c>
      <c r="BR15" s="10">
        <v>3</v>
      </c>
      <c r="BS15" s="10">
        <f t="shared" si="47"/>
        <v>91</v>
      </c>
      <c r="BT15" s="10">
        <v>3</v>
      </c>
      <c r="BU15" s="10">
        <f t="shared" si="48"/>
        <v>91</v>
      </c>
      <c r="BV15">
        <f t="shared" si="49"/>
        <v>11.26820483538823</v>
      </c>
      <c r="BW15">
        <f t="shared" si="28"/>
        <v>11.955103681103175</v>
      </c>
      <c r="BX15">
        <f t="shared" si="29"/>
        <v>11.26820483538823</v>
      </c>
      <c r="BY15">
        <f t="shared" si="30"/>
        <v>11.955103681103175</v>
      </c>
      <c r="BZ15">
        <f t="shared" si="31"/>
        <v>8.0487177395630223</v>
      </c>
      <c r="CA15" s="83">
        <v>0.12034441329595497</v>
      </c>
      <c r="CB15" s="83">
        <v>0.1065</v>
      </c>
      <c r="CE15" s="83">
        <v>0.22422810865530635</v>
      </c>
      <c r="CF15" s="83">
        <v>2.4834301161393668</v>
      </c>
      <c r="CG15" s="83">
        <v>5.4910062499999999</v>
      </c>
      <c r="CH15" s="83">
        <v>5.4223103312524614</v>
      </c>
      <c r="CI15" s="8">
        <f t="shared" si="50"/>
        <v>2.9388802151130946</v>
      </c>
      <c r="CJ15" s="8">
        <f t="shared" si="51"/>
        <v>-6.8695918747538443E-2</v>
      </c>
      <c r="CK15" s="8" t="str">
        <f t="shared" si="52"/>
        <v/>
      </c>
      <c r="CL15" s="8">
        <f t="shared" si="53"/>
        <v>0.11772810865530635</v>
      </c>
      <c r="CM15" s="8" t="str">
        <f t="shared" si="54"/>
        <v/>
      </c>
      <c r="CN15" s="8" t="str">
        <f t="shared" si="55"/>
        <v/>
      </c>
      <c r="DB15">
        <v>3</v>
      </c>
      <c r="DC15">
        <v>4</v>
      </c>
      <c r="DD15" t="s">
        <v>28</v>
      </c>
      <c r="DE15">
        <v>1</v>
      </c>
      <c r="DF15">
        <v>10</v>
      </c>
      <c r="DG15" s="10">
        <v>0.15787701967823692</v>
      </c>
      <c r="DJ15" s="83">
        <v>0.19383465670247577</v>
      </c>
      <c r="DK15" s="83">
        <v>0.19474695707879575</v>
      </c>
      <c r="DL15" s="83">
        <f t="shared" si="56"/>
        <v>7.0899713219051375</v>
      </c>
      <c r="DM15" s="83">
        <f t="shared" si="57"/>
        <v>7.1233409143975681</v>
      </c>
      <c r="DN15" s="83"/>
      <c r="DO15" s="83" t="str">
        <f t="shared" si="58"/>
        <v/>
      </c>
      <c r="DP15" s="83">
        <v>2.3578234469873895</v>
      </c>
      <c r="DQ15" s="83">
        <v>2.5811512385223145</v>
      </c>
      <c r="DR15" s="83"/>
      <c r="DS15" s="8" t="str">
        <f t="shared" si="59"/>
        <v/>
      </c>
      <c r="DT15" s="8" t="str">
        <f t="shared" si="60"/>
        <v/>
      </c>
      <c r="DU15" s="8" t="str">
        <f t="shared" si="61"/>
        <v/>
      </c>
      <c r="DV15" s="8" t="str">
        <f t="shared" si="62"/>
        <v/>
      </c>
      <c r="DW15" s="8" t="str">
        <f t="shared" si="63"/>
        <v/>
      </c>
      <c r="DX15" s="8" t="str">
        <f t="shared" si="64"/>
        <v/>
      </c>
      <c r="DY15" s="3"/>
      <c r="DZ15" s="4"/>
      <c r="EA15" s="2"/>
      <c r="EB15" s="3"/>
      <c r="EC15" s="8"/>
      <c r="ED15" s="8"/>
      <c r="EE15" s="8"/>
      <c r="EF15" s="19"/>
      <c r="EG15" s="12"/>
      <c r="EH15" s="12"/>
      <c r="EN15" s="50"/>
      <c r="EP15" s="10"/>
      <c r="EQ15" s="10"/>
      <c r="ER15" s="10"/>
      <c r="ES15" s="10"/>
      <c r="ET15" s="10"/>
      <c r="EU15" s="10"/>
      <c r="EV15" s="10"/>
      <c r="EW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V15" s="10"/>
      <c r="FW15" s="10"/>
    </row>
    <row r="16" spans="6:179" x14ac:dyDescent="0.2">
      <c r="G16" t="s">
        <v>5</v>
      </c>
      <c r="H16">
        <v>3</v>
      </c>
      <c r="I16">
        <v>2</v>
      </c>
      <c r="J16" s="8">
        <v>9.8232649876897007</v>
      </c>
      <c r="K16" s="8">
        <v>57.448166623324902</v>
      </c>
      <c r="L16" s="8">
        <v>32.728568388985401</v>
      </c>
      <c r="M16" s="83">
        <v>3.4529999999999998E-2</v>
      </c>
      <c r="N16" s="83">
        <v>0.49</v>
      </c>
      <c r="O16" s="8">
        <v>6.1589999999999999E-2</v>
      </c>
      <c r="P16" s="8">
        <v>0.47860000000000003</v>
      </c>
      <c r="Q16">
        <f t="shared" si="0"/>
        <v>-2.7060000000000001E-2</v>
      </c>
      <c r="R16">
        <f t="shared" si="1"/>
        <v>1.1399999999999966E-2</v>
      </c>
      <c r="S16" s="8">
        <v>1.3898128877534097</v>
      </c>
      <c r="T16" s="8">
        <v>1.5888773335469619</v>
      </c>
      <c r="U16" s="8">
        <v>1.7391625477765664</v>
      </c>
      <c r="V16">
        <f t="shared" si="2"/>
        <v>-0.12658159688554657</v>
      </c>
      <c r="W16">
        <f t="shared" si="3"/>
        <v>-9.5563737309467753E-2</v>
      </c>
      <c r="X16">
        <f t="shared" si="4"/>
        <v>-0.22214533419501431</v>
      </c>
      <c r="Y16" s="8">
        <f t="shared" si="65"/>
        <v>1.5726175896923127</v>
      </c>
      <c r="Z16" s="8">
        <v>1.4659570232800021</v>
      </c>
      <c r="AA16" s="83">
        <v>0.13627209666592066</v>
      </c>
      <c r="AB16" s="83">
        <v>0.21623731459797033</v>
      </c>
      <c r="AC16" s="83">
        <f t="shared" si="5"/>
        <v>0.21430389620107798</v>
      </c>
      <c r="AD16" s="83">
        <f t="shared" si="6"/>
        <v>0.34005860448459846</v>
      </c>
      <c r="AE16" s="83">
        <f t="shared" si="32"/>
        <v>0.12575470828352048</v>
      </c>
      <c r="AF16" s="8">
        <v>2.012906420942306</v>
      </c>
      <c r="AG16" s="8">
        <v>31.633128190194054</v>
      </c>
      <c r="AH16" s="8">
        <f t="shared" si="33"/>
        <v>29.620221769251749</v>
      </c>
      <c r="AI16" s="8">
        <f t="shared" si="34"/>
        <v>7.9965217932049665E-2</v>
      </c>
      <c r="AJ16">
        <f t="shared" si="7"/>
        <v>0.40655940011610836</v>
      </c>
      <c r="AK16">
        <f t="shared" si="35"/>
        <v>0.44680867046037653</v>
      </c>
      <c r="AL16">
        <f t="shared" si="8"/>
        <v>0.34592203564476565</v>
      </c>
      <c r="AM16">
        <f t="shared" si="36"/>
        <v>0.35487661821032318</v>
      </c>
      <c r="AN16">
        <f t="shared" si="9"/>
        <v>0.20447780880311936</v>
      </c>
      <c r="AO16">
        <f t="shared" si="37"/>
        <v>0.20195293672702896</v>
      </c>
      <c r="AP16">
        <f t="shared" si="38"/>
        <v>0.14144422684164629</v>
      </c>
      <c r="AQ16">
        <f t="shared" si="39"/>
        <v>0.15292368148329422</v>
      </c>
      <c r="AR16">
        <f t="shared" si="40"/>
        <v>6.0637364471342714E-2</v>
      </c>
      <c r="AS16">
        <f t="shared" si="10"/>
        <v>120.2666067831008</v>
      </c>
      <c r="AT16">
        <f t="shared" si="11"/>
        <v>89.549019336276416</v>
      </c>
      <c r="AU16" s="24">
        <f t="shared" si="12"/>
        <v>0.21049193350958126</v>
      </c>
      <c r="AV16" s="24">
        <f t="shared" si="13"/>
        <v>0.23175684549890027</v>
      </c>
      <c r="AW16" s="24">
        <f t="shared" si="41"/>
        <v>4.7507758769030533</v>
      </c>
      <c r="AX16" s="24">
        <f t="shared" si="14"/>
        <v>8.9770873914827146E-2</v>
      </c>
      <c r="AY16" s="24">
        <f t="shared" si="15"/>
        <v>9.4403551331212157E-2</v>
      </c>
      <c r="AZ16" s="24">
        <f t="shared" si="16"/>
        <v>9.8620097836868686E-3</v>
      </c>
      <c r="BA16" s="24">
        <f t="shared" si="42"/>
        <v>2.7394471621352411E-2</v>
      </c>
      <c r="BB16">
        <f t="shared" si="17"/>
        <v>0.2</v>
      </c>
      <c r="BC16">
        <f t="shared" si="18"/>
        <v>0.37</v>
      </c>
      <c r="BD16">
        <f t="shared" si="43"/>
        <v>0.16999999999999998</v>
      </c>
      <c r="BE16">
        <f t="shared" si="19"/>
        <v>9.8930138263440104E-2</v>
      </c>
      <c r="BF16">
        <f t="shared" si="20"/>
        <v>-5.6280048587657445</v>
      </c>
      <c r="BG16">
        <f t="shared" si="44"/>
        <v>0.18</v>
      </c>
      <c r="BH16">
        <f t="shared" si="21"/>
        <v>0.36</v>
      </c>
      <c r="BI16">
        <f t="shared" si="22"/>
        <v>0.18</v>
      </c>
      <c r="BJ16">
        <f t="shared" si="23"/>
        <v>0.10667914001999801</v>
      </c>
      <c r="BK16">
        <f t="shared" si="24"/>
        <v>0.20165393931089354</v>
      </c>
      <c r="BL16">
        <f t="shared" si="25"/>
        <v>0.35716367532955473</v>
      </c>
      <c r="BM16">
        <f t="shared" si="45"/>
        <v>0.15550973601866119</v>
      </c>
      <c r="BN16">
        <f t="shared" si="26"/>
        <v>0.17631138873132851</v>
      </c>
      <c r="BO16">
        <f t="shared" si="27"/>
        <v>0.33863673494373636</v>
      </c>
      <c r="BP16">
        <f t="shared" si="46"/>
        <v>0.16232534621240785</v>
      </c>
      <c r="BQ16">
        <v>65</v>
      </c>
      <c r="BR16" s="10">
        <v>3</v>
      </c>
      <c r="BS16" s="10">
        <f t="shared" si="47"/>
        <v>91</v>
      </c>
      <c r="BT16" s="10">
        <v>3</v>
      </c>
      <c r="BU16" s="10">
        <f t="shared" si="48"/>
        <v>91</v>
      </c>
      <c r="BV16">
        <f t="shared" si="49"/>
        <v>11.26820483538823</v>
      </c>
      <c r="BW16">
        <f t="shared" si="28"/>
        <v>11.955103681103175</v>
      </c>
      <c r="BX16">
        <f t="shared" si="29"/>
        <v>11.26820483538823</v>
      </c>
      <c r="BY16">
        <f t="shared" si="30"/>
        <v>11.955103681103175</v>
      </c>
      <c r="BZ16">
        <f t="shared" si="31"/>
        <v>8.0487177395630223</v>
      </c>
      <c r="CA16" s="83">
        <v>0.1060884070058382</v>
      </c>
      <c r="CB16" s="83">
        <v>9.8938719616569692E-2</v>
      </c>
      <c r="CE16" s="83">
        <v>0.21277700831024915</v>
      </c>
      <c r="CF16" s="83">
        <v>1.0581579093689184</v>
      </c>
      <c r="CG16" s="83">
        <v>1.6781710030811365</v>
      </c>
      <c r="CH16" s="83">
        <v>1.4442152873961214</v>
      </c>
      <c r="CI16" s="8">
        <f t="shared" si="50"/>
        <v>0.38605737802720297</v>
      </c>
      <c r="CJ16" s="8">
        <f t="shared" si="51"/>
        <v>-0.23395571568501516</v>
      </c>
      <c r="CK16" s="8" t="str">
        <f t="shared" si="52"/>
        <v/>
      </c>
      <c r="CL16" s="8">
        <f t="shared" si="53"/>
        <v>0.11383828869367946</v>
      </c>
      <c r="CM16" s="8" t="str">
        <f t="shared" si="54"/>
        <v/>
      </c>
      <c r="CN16" s="8" t="str">
        <f t="shared" si="55"/>
        <v/>
      </c>
      <c r="DB16">
        <v>4</v>
      </c>
      <c r="DC16">
        <v>4</v>
      </c>
      <c r="DD16" t="s">
        <v>28</v>
      </c>
      <c r="DE16">
        <v>1</v>
      </c>
      <c r="DF16">
        <v>11</v>
      </c>
      <c r="DG16" s="10">
        <v>0.16346699613599158</v>
      </c>
      <c r="DJ16" s="83">
        <v>0.12034441329595497</v>
      </c>
      <c r="DK16" s="83">
        <v>0.1065</v>
      </c>
      <c r="DL16" s="83">
        <f t="shared" si="56"/>
        <v>3.8068702527646372</v>
      </c>
      <c r="DM16" s="83">
        <f t="shared" si="57"/>
        <v>3.3689281522556667</v>
      </c>
      <c r="DN16" s="83">
        <v>0.22422810865530635</v>
      </c>
      <c r="DO16" s="83">
        <f t="shared" si="58"/>
        <v>7.0930365049380661</v>
      </c>
      <c r="DP16" s="83">
        <v>2.4834301161393668</v>
      </c>
      <c r="DQ16" s="83">
        <v>5.4910062499999999</v>
      </c>
      <c r="DR16" s="83">
        <v>5.4223103312524614</v>
      </c>
      <c r="DS16" s="8">
        <f t="shared" si="59"/>
        <v>2.9388802151130946</v>
      </c>
      <c r="DT16" s="8">
        <f t="shared" si="60"/>
        <v>-6.8695918747538443E-2</v>
      </c>
      <c r="DU16" s="8">
        <f t="shared" si="61"/>
        <v>3.7241083526823995</v>
      </c>
      <c r="DV16" s="8">
        <f t="shared" si="62"/>
        <v>3.2861662521734289</v>
      </c>
      <c r="DW16" s="8">
        <f t="shared" si="63"/>
        <v>0.11772810865530635</v>
      </c>
      <c r="DX16" s="8">
        <f t="shared" si="64"/>
        <v>0.10388369535935138</v>
      </c>
      <c r="DY16" s="3"/>
      <c r="DZ16" s="4"/>
      <c r="EA16" s="2"/>
      <c r="EB16" s="3"/>
      <c r="EC16" s="8"/>
      <c r="ED16" s="8"/>
      <c r="EE16" s="8"/>
      <c r="EF16" s="20"/>
      <c r="EG16" s="12"/>
      <c r="EH16" s="12"/>
      <c r="EN16" s="51"/>
      <c r="EP16" s="10"/>
      <c r="EQ16" s="10"/>
      <c r="ER16" s="10"/>
      <c r="ES16" s="10"/>
      <c r="ET16" s="10"/>
      <c r="EU16" s="10"/>
      <c r="EV16" s="10"/>
      <c r="EW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V16" s="10"/>
      <c r="FW16" s="10"/>
    </row>
    <row r="17" spans="7:179" x14ac:dyDescent="0.2">
      <c r="G17" t="s">
        <v>5</v>
      </c>
      <c r="H17">
        <v>3</v>
      </c>
      <c r="I17">
        <v>3</v>
      </c>
      <c r="J17" s="8">
        <v>11.1554924455255</v>
      </c>
      <c r="K17" s="8">
        <v>45.936383727145397</v>
      </c>
      <c r="L17" s="8">
        <v>42.908123827329199</v>
      </c>
      <c r="M17" s="83">
        <v>5.1119999999999999E-2</v>
      </c>
      <c r="N17" s="83">
        <v>0.45290999999999998</v>
      </c>
      <c r="O17" s="8">
        <v>3.9440000000000003E-2</v>
      </c>
      <c r="P17" s="8">
        <v>0.37341000000000002</v>
      </c>
      <c r="Q17">
        <f t="shared" si="0"/>
        <v>1.1679999999999996E-2</v>
      </c>
      <c r="R17">
        <f t="shared" si="1"/>
        <v>7.949999999999996E-2</v>
      </c>
      <c r="S17" s="8">
        <v>1.7434854345670294</v>
      </c>
      <c r="T17" s="8">
        <v>1.7122502057364717</v>
      </c>
      <c r="U17" s="8">
        <v>1.7316523556745622</v>
      </c>
      <c r="V17">
        <f t="shared" si="2"/>
        <v>1.8064136818824045E-2</v>
      </c>
      <c r="W17">
        <f t="shared" si="3"/>
        <v>-1.1220762715146965E-2</v>
      </c>
      <c r="X17">
        <f t="shared" si="4"/>
        <v>6.8433741036770792E-3</v>
      </c>
      <c r="Y17" s="8">
        <f t="shared" si="65"/>
        <v>1.7291293319926879</v>
      </c>
      <c r="Z17" s="8">
        <v>1.5073115194884863</v>
      </c>
      <c r="AA17" s="83">
        <v>0.18127360333376744</v>
      </c>
      <c r="AB17" s="83">
        <v>0.21148148148148152</v>
      </c>
      <c r="AC17" s="83">
        <f t="shared" si="5"/>
        <v>0.31344550464042475</v>
      </c>
      <c r="AD17" s="83">
        <f t="shared" si="6"/>
        <v>0.36567883280289815</v>
      </c>
      <c r="AE17" s="83">
        <f t="shared" si="32"/>
        <v>5.2233328162473391E-2</v>
      </c>
      <c r="AF17" s="8">
        <v>4.1939629688794557</v>
      </c>
      <c r="AG17" s="8">
        <v>30.555059564480356</v>
      </c>
      <c r="AH17" s="8">
        <f t="shared" si="33"/>
        <v>26.361096595600898</v>
      </c>
      <c r="AI17" s="8">
        <f t="shared" si="34"/>
        <v>3.0207878147714085E-2</v>
      </c>
      <c r="AJ17">
        <f t="shared" si="7"/>
        <v>0.34749836528577815</v>
      </c>
      <c r="AK17">
        <f t="shared" si="35"/>
        <v>0.43120320019302405</v>
      </c>
      <c r="AL17">
        <f t="shared" si="8"/>
        <v>0.3401919540725008</v>
      </c>
      <c r="AM17">
        <f t="shared" si="36"/>
        <v>0.38325715514555025</v>
      </c>
      <c r="AN17">
        <f t="shared" si="9"/>
        <v>0.25501837766383206</v>
      </c>
      <c r="AO17">
        <f t="shared" si="37"/>
        <v>0.25349172287532817</v>
      </c>
      <c r="AP17">
        <f t="shared" si="38"/>
        <v>8.5173576408668739E-2</v>
      </c>
      <c r="AQ17">
        <f t="shared" si="39"/>
        <v>0.12976543227022208</v>
      </c>
      <c r="AR17">
        <f t="shared" si="40"/>
        <v>7.3064112132773529E-3</v>
      </c>
      <c r="AS17">
        <f t="shared" si="10"/>
        <v>252.66340651287538</v>
      </c>
      <c r="AT17">
        <f t="shared" si="11"/>
        <v>124.26730717100664</v>
      </c>
      <c r="AU17" s="24">
        <f t="shared" si="12"/>
        <v>0.10295548716798437</v>
      </c>
      <c r="AV17" s="24">
        <f t="shared" si="13"/>
        <v>0.15926018581286169</v>
      </c>
      <c r="AW17" s="24">
        <f t="shared" si="41"/>
        <v>9.7129354394523784</v>
      </c>
      <c r="AX17" s="24">
        <f t="shared" si="14"/>
        <v>7.8069835401301108E-2</v>
      </c>
      <c r="AY17" s="24">
        <f t="shared" si="15"/>
        <v>9.8358882463264352E-2</v>
      </c>
      <c r="AZ17" s="24">
        <f t="shared" si="16"/>
        <v>2.6799062256866059E-4</v>
      </c>
      <c r="BA17" s="24">
        <f t="shared" si="42"/>
        <v>7.4441839602405714E-4</v>
      </c>
      <c r="BB17">
        <f t="shared" si="17"/>
        <v>0.25</v>
      </c>
      <c r="BC17">
        <f t="shared" si="18"/>
        <v>0.41</v>
      </c>
      <c r="BD17">
        <f t="shared" si="43"/>
        <v>0.15999999999999998</v>
      </c>
      <c r="BE17">
        <f t="shared" si="19"/>
        <v>4.2925206440982924E-2</v>
      </c>
      <c r="BF17">
        <f t="shared" si="20"/>
        <v>-7.4132929573446189</v>
      </c>
      <c r="BG17">
        <f t="shared" si="44"/>
        <v>0.24</v>
      </c>
      <c r="BH17">
        <f t="shared" si="21"/>
        <v>0.41</v>
      </c>
      <c r="BI17">
        <f t="shared" si="22"/>
        <v>0.16999999999999998</v>
      </c>
      <c r="BJ17">
        <f t="shared" si="23"/>
        <v>4.5639560522851674E-2</v>
      </c>
      <c r="BK17">
        <f t="shared" si="24"/>
        <v>0.23884112928146267</v>
      </c>
      <c r="BL17">
        <f t="shared" si="25"/>
        <v>0.31749836528577813</v>
      </c>
      <c r="BM17">
        <f t="shared" si="45"/>
        <v>7.8657236004315456E-2</v>
      </c>
      <c r="BN17">
        <f t="shared" si="26"/>
        <v>0.18613721703046437</v>
      </c>
      <c r="BO17">
        <f t="shared" si="27"/>
        <v>0.34582001093515008</v>
      </c>
      <c r="BP17">
        <f t="shared" si="46"/>
        <v>0.1596827939046857</v>
      </c>
      <c r="BQ17">
        <v>65</v>
      </c>
      <c r="BR17" s="10">
        <v>3</v>
      </c>
      <c r="BS17" s="10">
        <f t="shared" si="47"/>
        <v>91</v>
      </c>
      <c r="BT17" s="10">
        <v>3</v>
      </c>
      <c r="BU17" s="10">
        <f t="shared" si="48"/>
        <v>91</v>
      </c>
      <c r="BV17">
        <f t="shared" si="49"/>
        <v>11.26820483538823</v>
      </c>
      <c r="BW17">
        <f t="shared" si="28"/>
        <v>11.955103681103175</v>
      </c>
      <c r="BX17">
        <f t="shared" si="29"/>
        <v>11.26820483538823</v>
      </c>
      <c r="BY17">
        <f t="shared" si="30"/>
        <v>11.955103681103175</v>
      </c>
      <c r="BZ17">
        <f t="shared" si="31"/>
        <v>8.0487177395630223</v>
      </c>
      <c r="CA17" s="83">
        <v>0.21816386969397814</v>
      </c>
      <c r="CB17" s="83">
        <v>0.12771255780860916</v>
      </c>
      <c r="CE17" s="83">
        <v>0.21976516634050888</v>
      </c>
      <c r="CF17" s="83">
        <v>0.67252796972688367</v>
      </c>
      <c r="CG17" s="83">
        <v>2.1802442784299778</v>
      </c>
      <c r="CH17" s="83">
        <v>1.0052897912589693</v>
      </c>
      <c r="CI17" s="8">
        <f t="shared" si="50"/>
        <v>0.33276182153208567</v>
      </c>
      <c r="CJ17" s="8">
        <f t="shared" si="51"/>
        <v>-1.1749544871710085</v>
      </c>
      <c r="CK17" s="8" t="str">
        <f t="shared" si="52"/>
        <v/>
      </c>
      <c r="CL17" s="8">
        <f t="shared" si="53"/>
        <v>9.2052608531899727E-2</v>
      </c>
      <c r="CM17" s="8" t="str">
        <f t="shared" si="54"/>
        <v/>
      </c>
      <c r="CN17" s="8" t="str">
        <f t="shared" si="55"/>
        <v/>
      </c>
      <c r="DE17">
        <v>1</v>
      </c>
      <c r="DF17">
        <v>12</v>
      </c>
      <c r="DG17" s="10">
        <v>0.15705283390501476</v>
      </c>
      <c r="DJ17" s="83">
        <v>0.1060884070058382</v>
      </c>
      <c r="DK17" s="83">
        <v>9.8938719616569692E-2</v>
      </c>
      <c r="DL17" s="83">
        <f t="shared" si="56"/>
        <v>3.2415375951642211</v>
      </c>
      <c r="DM17" s="83">
        <f t="shared" si="57"/>
        <v>3.0230784711177079</v>
      </c>
      <c r="DN17" s="83">
        <v>0.21277700831024915</v>
      </c>
      <c r="DO17" s="83">
        <f t="shared" si="58"/>
        <v>6.501414162871594</v>
      </c>
      <c r="DP17" s="83">
        <v>1.0581579093689184</v>
      </c>
      <c r="DQ17" s="83">
        <v>1.6781710030811365</v>
      </c>
      <c r="DR17" s="83">
        <v>1.4442152873961214</v>
      </c>
      <c r="DS17" s="8">
        <f t="shared" si="59"/>
        <v>0.38605737802720297</v>
      </c>
      <c r="DT17" s="8">
        <f t="shared" si="60"/>
        <v>-0.23395571568501516</v>
      </c>
      <c r="DU17" s="8">
        <f t="shared" si="61"/>
        <v>3.4783356917538861</v>
      </c>
      <c r="DV17" s="8">
        <f t="shared" si="62"/>
        <v>3.2598765677073729</v>
      </c>
      <c r="DW17" s="8">
        <f t="shared" si="63"/>
        <v>0.11383828869367946</v>
      </c>
      <c r="DX17" s="8">
        <f t="shared" si="64"/>
        <v>0.10668860130441095</v>
      </c>
      <c r="DY17" s="6"/>
      <c r="DZ17" s="7"/>
      <c r="EA17" s="5"/>
      <c r="EB17" s="6"/>
      <c r="EC17" s="8"/>
      <c r="ED17" s="21"/>
      <c r="EE17" s="21"/>
      <c r="EF17" s="22"/>
      <c r="EG17" s="12"/>
      <c r="EH17" s="12"/>
      <c r="EN17" s="50"/>
      <c r="EP17" s="10"/>
      <c r="EQ17" s="10"/>
      <c r="ER17" s="10"/>
      <c r="ES17" s="10"/>
      <c r="ET17" s="10"/>
      <c r="EU17" s="10"/>
      <c r="EV17" s="10"/>
      <c r="EW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V17" s="10"/>
      <c r="FW17" s="10"/>
    </row>
    <row r="18" spans="7:179" x14ac:dyDescent="0.2">
      <c r="G18" t="s">
        <v>5</v>
      </c>
      <c r="H18">
        <v>3</v>
      </c>
      <c r="I18">
        <v>4</v>
      </c>
      <c r="J18" s="8">
        <v>10.8194741086403</v>
      </c>
      <c r="K18" s="8">
        <v>47.069064995799302</v>
      </c>
      <c r="L18" s="8">
        <v>42.111460895560398</v>
      </c>
      <c r="M18" s="83">
        <v>4.1790000000000001E-2</v>
      </c>
      <c r="N18" s="83">
        <v>0.24584</v>
      </c>
      <c r="O18" s="8">
        <v>4.7870000000000003E-2</v>
      </c>
      <c r="P18" s="8">
        <v>0.30241000000000001</v>
      </c>
      <c r="Q18">
        <f t="shared" si="0"/>
        <v>-6.0800000000000021E-3</v>
      </c>
      <c r="R18">
        <f t="shared" si="1"/>
        <v>-5.6570000000000009E-2</v>
      </c>
      <c r="S18" s="8">
        <v>1.7435622062726466</v>
      </c>
      <c r="T18" s="8">
        <v>1.7011357472144035</v>
      </c>
      <c r="U18" s="8">
        <v>1.7704565469351836</v>
      </c>
      <c r="V18">
        <f t="shared" si="2"/>
        <v>2.4405677178772796E-2</v>
      </c>
      <c r="W18">
        <f t="shared" si="3"/>
        <v>-3.9876555746431487E-2</v>
      </c>
      <c r="X18">
        <f t="shared" si="4"/>
        <v>-1.5470878567658695E-2</v>
      </c>
      <c r="Y18" s="8">
        <f t="shared" si="65"/>
        <v>1.7383848334740779</v>
      </c>
      <c r="AA18" s="83">
        <v>0.19561049778541684</v>
      </c>
      <c r="AB18" s="83"/>
      <c r="AC18" s="83">
        <f t="shared" si="5"/>
        <v>0.34004632261848333</v>
      </c>
      <c r="AD18" s="83" t="str">
        <f t="shared" si="6"/>
        <v/>
      </c>
      <c r="AE18" s="83" t="str">
        <f t="shared" si="32"/>
        <v/>
      </c>
      <c r="AF18" s="8">
        <v>9.6975091247160723</v>
      </c>
      <c r="AG18" s="8"/>
      <c r="AH18" s="8" t="str">
        <f t="shared" si="33"/>
        <v/>
      </c>
      <c r="AI18" s="8" t="str">
        <f t="shared" si="34"/>
        <v/>
      </c>
      <c r="AJ18">
        <f t="shared" si="7"/>
        <v>0.34400572321732903</v>
      </c>
      <c r="AK18" t="str">
        <f t="shared" si="35"/>
        <v/>
      </c>
      <c r="AL18">
        <f t="shared" si="8"/>
        <v>0.33700457687363983</v>
      </c>
      <c r="AM18" t="str">
        <f t="shared" si="36"/>
        <v/>
      </c>
      <c r="AN18">
        <f t="shared" si="9"/>
        <v>0.25096880271440336</v>
      </c>
      <c r="AO18" t="str">
        <f t="shared" si="37"/>
        <v/>
      </c>
      <c r="AP18">
        <f t="shared" si="38"/>
        <v>8.6035774159236467E-2</v>
      </c>
      <c r="AQ18" t="str">
        <f t="shared" si="39"/>
        <v/>
      </c>
      <c r="AR18">
        <f t="shared" si="40"/>
        <v>7.0011463436892019E-3</v>
      </c>
      <c r="AS18">
        <f t="shared" si="10"/>
        <v>256.44059302905021</v>
      </c>
      <c r="AT18" t="str">
        <f t="shared" si="11"/>
        <v/>
      </c>
      <c r="AU18" s="24">
        <f t="shared" si="12"/>
        <v>0.10567443102937533</v>
      </c>
      <c r="AV18" s="24" t="str">
        <f t="shared" si="13"/>
        <v/>
      </c>
      <c r="AW18" s="24">
        <f t="shared" si="41"/>
        <v>9.4630270563938073</v>
      </c>
      <c r="AX18" s="24">
        <f t="shared" si="14"/>
        <v>7.7788621423673474E-2</v>
      </c>
      <c r="AY18" s="24" t="str">
        <f t="shared" si="15"/>
        <v/>
      </c>
      <c r="AZ18" s="24">
        <f t="shared" si="16"/>
        <v>2.7504561262366558E-4</v>
      </c>
      <c r="BA18" s="24">
        <f t="shared" si="42"/>
        <v>7.6401559062129324E-4</v>
      </c>
      <c r="BB18">
        <f t="shared" si="17"/>
        <v>0.24</v>
      </c>
      <c r="BC18">
        <f t="shared" si="18"/>
        <v>0.4</v>
      </c>
      <c r="BD18">
        <f t="shared" si="43"/>
        <v>0.16000000000000003</v>
      </c>
      <c r="BE18">
        <f t="shared" si="19"/>
        <v>4.6413781046520219E-2</v>
      </c>
      <c r="BF18">
        <f t="shared" si="20"/>
        <v>-7.2486404401489457</v>
      </c>
      <c r="BG18">
        <f t="shared" si="44"/>
        <v>0.24</v>
      </c>
      <c r="BH18">
        <f t="shared" si="21"/>
        <v>0.4</v>
      </c>
      <c r="BI18">
        <f t="shared" si="22"/>
        <v>0.16000000000000003</v>
      </c>
      <c r="BJ18">
        <f t="shared" si="23"/>
        <v>4.2029914945109548E-2</v>
      </c>
      <c r="BK18">
        <f t="shared" si="24"/>
        <v>0.24104023643344091</v>
      </c>
      <c r="BL18">
        <f t="shared" si="25"/>
        <v>0.314005723217329</v>
      </c>
      <c r="BM18">
        <f t="shared" si="45"/>
        <v>7.2965486783888089E-2</v>
      </c>
      <c r="BN18" t="str">
        <f t="shared" si="26"/>
        <v/>
      </c>
      <c r="BO18" t="str">
        <f t="shared" si="27"/>
        <v/>
      </c>
      <c r="BP18" t="str">
        <f t="shared" si="46"/>
        <v/>
      </c>
      <c r="BQ18">
        <v>65</v>
      </c>
      <c r="BR18" s="10">
        <v>3</v>
      </c>
      <c r="BS18" s="10">
        <f t="shared" si="47"/>
        <v>91</v>
      </c>
      <c r="BT18" s="10">
        <v>3</v>
      </c>
      <c r="BU18" s="10">
        <f t="shared" si="48"/>
        <v>91</v>
      </c>
      <c r="BV18">
        <f t="shared" si="49"/>
        <v>11.26820483538823</v>
      </c>
      <c r="BW18">
        <f t="shared" si="28"/>
        <v>11.955103681103175</v>
      </c>
      <c r="BX18">
        <f t="shared" si="29"/>
        <v>11.26820483538823</v>
      </c>
      <c r="BY18">
        <f t="shared" si="30"/>
        <v>11.955103681103175</v>
      </c>
      <c r="BZ18">
        <f t="shared" si="31"/>
        <v>8.0487177395630223</v>
      </c>
      <c r="CA18" s="83">
        <v>0.22212995640440084</v>
      </c>
      <c r="CB18" s="83">
        <v>0.16571537290715388</v>
      </c>
      <c r="CE18" s="83"/>
      <c r="CF18" s="83">
        <v>1.4421133485571929</v>
      </c>
      <c r="CG18" s="83">
        <v>2.7928597475900565</v>
      </c>
      <c r="CH18" s="83"/>
      <c r="CI18" s="8" t="str">
        <f t="shared" si="50"/>
        <v/>
      </c>
      <c r="CJ18" s="8" t="str">
        <f t="shared" si="51"/>
        <v/>
      </c>
      <c r="CK18" s="8" t="str">
        <f t="shared" si="52"/>
        <v/>
      </c>
      <c r="CL18" s="8" t="str">
        <f t="shared" si="53"/>
        <v/>
      </c>
      <c r="CM18" s="8" t="str">
        <f t="shared" si="54"/>
        <v/>
      </c>
      <c r="CN18" s="8" t="str">
        <f t="shared" si="55"/>
        <v/>
      </c>
      <c r="DE18">
        <v>2</v>
      </c>
      <c r="DF18">
        <v>1</v>
      </c>
      <c r="DG18" s="10">
        <v>0.14773007457336312</v>
      </c>
      <c r="DJ18" s="83">
        <v>0.21816386969397814</v>
      </c>
      <c r="DK18" s="83">
        <v>0.12771255780860916</v>
      </c>
      <c r="DL18" s="83" t="str">
        <f t="shared" si="56"/>
        <v/>
      </c>
      <c r="DM18" s="83" t="str">
        <f t="shared" si="57"/>
        <v/>
      </c>
      <c r="DN18" s="83">
        <v>0.21976516634050888</v>
      </c>
      <c r="DO18" s="83" t="str">
        <f t="shared" si="58"/>
        <v/>
      </c>
      <c r="DP18" s="83">
        <v>0.67252796972688367</v>
      </c>
      <c r="DQ18" s="83">
        <v>2.1802442784299778</v>
      </c>
      <c r="DR18" s="83">
        <v>1.0052897912589693</v>
      </c>
      <c r="DS18" s="8">
        <f t="shared" si="59"/>
        <v>0.33276182153208567</v>
      </c>
      <c r="DT18" s="8">
        <f t="shared" si="60"/>
        <v>-1.1749544871710085</v>
      </c>
      <c r="DU18" s="8" t="str">
        <f t="shared" si="61"/>
        <v/>
      </c>
      <c r="DV18" s="8" t="str">
        <f t="shared" si="62"/>
        <v/>
      </c>
      <c r="DW18" s="8">
        <f t="shared" si="63"/>
        <v>9.2052608531899727E-2</v>
      </c>
      <c r="DX18" s="8">
        <f t="shared" si="64"/>
        <v>1.6012966465307477E-3</v>
      </c>
      <c r="EN18" s="50"/>
      <c r="EP18" s="10"/>
      <c r="EQ18" s="10"/>
      <c r="ER18" s="10"/>
      <c r="ES18" s="10"/>
      <c r="ET18" s="10"/>
      <c r="EU18" s="10"/>
      <c r="EV18" s="10"/>
      <c r="EW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</row>
    <row r="19" spans="7:179" x14ac:dyDescent="0.2">
      <c r="G19" t="s">
        <v>5</v>
      </c>
      <c r="H19">
        <v>3</v>
      </c>
      <c r="I19">
        <v>5</v>
      </c>
      <c r="J19" s="8">
        <v>11.9775802372949</v>
      </c>
      <c r="K19" s="8">
        <v>47.519419154859698</v>
      </c>
      <c r="L19" s="8">
        <v>40.5030006078455</v>
      </c>
      <c r="M19" s="83">
        <v>3.1940000000000003E-2</v>
      </c>
      <c r="N19" s="83">
        <v>0.24504999999999999</v>
      </c>
      <c r="O19" s="8">
        <v>3.7969999999999997E-2</v>
      </c>
      <c r="P19" s="8">
        <v>0.27710000000000001</v>
      </c>
      <c r="Q19">
        <f t="shared" si="0"/>
        <v>-6.0299999999999937E-3</v>
      </c>
      <c r="R19">
        <f t="shared" si="1"/>
        <v>-3.2050000000000023E-2</v>
      </c>
      <c r="S19" s="8">
        <v>1.7901110505925868</v>
      </c>
      <c r="T19" s="8">
        <v>1.6525918277082774</v>
      </c>
      <c r="U19" s="8">
        <v>1.6829816533700999</v>
      </c>
      <c r="V19">
        <f t="shared" si="2"/>
        <v>8.0488306703970156E-2</v>
      </c>
      <c r="W19">
        <f t="shared" si="3"/>
        <v>-1.7786790510056286E-2</v>
      </c>
      <c r="X19">
        <f t="shared" si="4"/>
        <v>6.270151619391387E-2</v>
      </c>
      <c r="Y19" s="8">
        <f t="shared" si="65"/>
        <v>1.708561510556988</v>
      </c>
      <c r="AA19" s="83">
        <v>0.19395924308588039</v>
      </c>
      <c r="AB19" s="83"/>
      <c r="AC19" s="83">
        <f t="shared" si="5"/>
        <v>0.33139129735330181</v>
      </c>
      <c r="AD19" s="83" t="str">
        <f t="shared" si="6"/>
        <v/>
      </c>
      <c r="AE19" s="83" t="str">
        <f t="shared" si="32"/>
        <v/>
      </c>
      <c r="AF19" s="8">
        <v>9.2333846868014344</v>
      </c>
      <c r="AG19" s="8"/>
      <c r="AH19" s="8" t="str">
        <f t="shared" si="33"/>
        <v/>
      </c>
      <c r="AI19" s="8" t="str">
        <f t="shared" si="34"/>
        <v/>
      </c>
      <c r="AJ19">
        <f t="shared" si="7"/>
        <v>0.35525980733698559</v>
      </c>
      <c r="AK19" t="str">
        <f t="shared" si="35"/>
        <v/>
      </c>
      <c r="AL19">
        <f t="shared" si="8"/>
        <v>0.34135264572182528</v>
      </c>
      <c r="AM19" t="str">
        <f t="shared" si="36"/>
        <v/>
      </c>
      <c r="AN19">
        <f t="shared" si="9"/>
        <v>0.24373632352836808</v>
      </c>
      <c r="AO19" t="str">
        <f t="shared" si="37"/>
        <v/>
      </c>
      <c r="AP19">
        <f t="shared" si="38"/>
        <v>9.76163221934572E-2</v>
      </c>
      <c r="AQ19" t="str">
        <f t="shared" si="39"/>
        <v/>
      </c>
      <c r="AR19">
        <f t="shared" si="40"/>
        <v>1.3907161615160313E-2</v>
      </c>
      <c r="AS19">
        <f t="shared" si="10"/>
        <v>216.41662461472833</v>
      </c>
      <c r="AT19" t="str">
        <f t="shared" si="11"/>
        <v/>
      </c>
      <c r="AU19" s="24">
        <f t="shared" si="12"/>
        <v>0.12408829115742637</v>
      </c>
      <c r="AV19" s="24" t="str">
        <f t="shared" si="13"/>
        <v/>
      </c>
      <c r="AW19" s="24">
        <f t="shared" si="41"/>
        <v>8.0587780738420829</v>
      </c>
      <c r="AX19" s="24">
        <f t="shared" si="14"/>
        <v>8.259467766988593E-2</v>
      </c>
      <c r="AY19" s="24" t="str">
        <f t="shared" si="15"/>
        <v/>
      </c>
      <c r="AZ19" s="24">
        <f t="shared" si="16"/>
        <v>6.2600662593611731E-4</v>
      </c>
      <c r="BA19" s="24">
        <f t="shared" si="42"/>
        <v>1.7389072942669923E-3</v>
      </c>
      <c r="BB19">
        <f t="shared" si="17"/>
        <v>0.24</v>
      </c>
      <c r="BC19">
        <f t="shared" si="18"/>
        <v>0.39</v>
      </c>
      <c r="BD19">
        <f t="shared" si="43"/>
        <v>0.15000000000000002</v>
      </c>
      <c r="BE19">
        <f t="shared" si="19"/>
        <v>4.9499596891911531E-2</v>
      </c>
      <c r="BF19">
        <f t="shared" si="20"/>
        <v>-6.9843379426595256</v>
      </c>
      <c r="BG19">
        <f t="shared" si="44"/>
        <v>0.23</v>
      </c>
      <c r="BH19">
        <f t="shared" si="21"/>
        <v>0.39</v>
      </c>
      <c r="BI19">
        <f t="shared" si="22"/>
        <v>0.16</v>
      </c>
      <c r="BJ19">
        <f t="shared" si="23"/>
        <v>5.366101088277464E-2</v>
      </c>
      <c r="BK19">
        <f t="shared" si="24"/>
        <v>0.2339542149083404</v>
      </c>
      <c r="BL19">
        <f t="shared" si="25"/>
        <v>0.32525980733698556</v>
      </c>
      <c r="BM19">
        <f t="shared" si="45"/>
        <v>9.1305592428645166E-2</v>
      </c>
      <c r="BN19" t="str">
        <f t="shared" si="26"/>
        <v/>
      </c>
      <c r="BO19" t="str">
        <f t="shared" si="27"/>
        <v/>
      </c>
      <c r="BP19" t="str">
        <f t="shared" si="46"/>
        <v/>
      </c>
      <c r="BQ19">
        <v>65</v>
      </c>
      <c r="BR19" s="10">
        <v>3</v>
      </c>
      <c r="BS19" s="10">
        <f t="shared" si="47"/>
        <v>91</v>
      </c>
      <c r="BT19" s="10">
        <v>3</v>
      </c>
      <c r="BU19" s="10">
        <f t="shared" si="48"/>
        <v>91</v>
      </c>
      <c r="BV19">
        <f t="shared" si="49"/>
        <v>11.26820483538823</v>
      </c>
      <c r="BW19">
        <f t="shared" si="28"/>
        <v>11.955103681103175</v>
      </c>
      <c r="BX19">
        <f t="shared" si="29"/>
        <v>11.26820483538823</v>
      </c>
      <c r="BY19">
        <f t="shared" si="30"/>
        <v>11.955103681103175</v>
      </c>
      <c r="BZ19">
        <f t="shared" si="31"/>
        <v>8.0487177395630223</v>
      </c>
      <c r="CA19" s="83">
        <v>0.31943734015345299</v>
      </c>
      <c r="CB19" s="83">
        <v>0.19422776911076461</v>
      </c>
      <c r="CE19" s="83"/>
      <c r="CF19" s="83">
        <v>5.3547165387894307</v>
      </c>
      <c r="CG19" s="83">
        <v>2.5451979329173167</v>
      </c>
      <c r="CH19" s="83"/>
      <c r="CI19" s="8" t="str">
        <f t="shared" si="50"/>
        <v/>
      </c>
      <c r="CJ19" s="8" t="str">
        <f t="shared" si="51"/>
        <v/>
      </c>
      <c r="CK19" s="8" t="str">
        <f t="shared" si="52"/>
        <v/>
      </c>
      <c r="CL19" s="8" t="str">
        <f t="shared" si="53"/>
        <v/>
      </c>
      <c r="CM19" s="8" t="str">
        <f t="shared" si="54"/>
        <v/>
      </c>
      <c r="CN19" s="8" t="str">
        <f t="shared" si="55"/>
        <v/>
      </c>
      <c r="DD19">
        <f>CORREL(DG6:DG17,DS6:DS17)</f>
        <v>4.367706497292291E-2</v>
      </c>
      <c r="DE19">
        <v>2</v>
      </c>
      <c r="DF19">
        <v>2</v>
      </c>
      <c r="DG19" s="10">
        <v>0.15811870764739078</v>
      </c>
      <c r="DJ19" s="83">
        <v>0.22212995640440084</v>
      </c>
      <c r="DK19" s="83">
        <v>0.16571537290715388</v>
      </c>
      <c r="DL19" s="83" t="str">
        <f t="shared" si="56"/>
        <v/>
      </c>
      <c r="DM19" s="83" t="str">
        <f t="shared" si="57"/>
        <v/>
      </c>
      <c r="DN19" s="83"/>
      <c r="DO19" s="83" t="str">
        <f t="shared" si="58"/>
        <v/>
      </c>
      <c r="DP19" s="83">
        <v>1.4421133485571929</v>
      </c>
      <c r="DQ19" s="83">
        <v>2.7928597475900565</v>
      </c>
      <c r="DR19" s="83"/>
      <c r="DS19" s="8" t="str">
        <f t="shared" si="59"/>
        <v/>
      </c>
      <c r="DT19" s="8" t="str">
        <f t="shared" si="60"/>
        <v/>
      </c>
      <c r="DU19" s="8" t="str">
        <f t="shared" si="61"/>
        <v/>
      </c>
      <c r="DV19" s="8" t="str">
        <f t="shared" si="62"/>
        <v/>
      </c>
      <c r="DW19" s="8" t="str">
        <f t="shared" si="63"/>
        <v/>
      </c>
      <c r="DX19" s="8" t="str">
        <f t="shared" si="64"/>
        <v/>
      </c>
      <c r="EN19" s="50"/>
      <c r="EP19" s="10"/>
      <c r="EQ19" s="10"/>
      <c r="ER19" s="10"/>
      <c r="ES19" s="10"/>
      <c r="ET19" s="10"/>
      <c r="EU19" s="10"/>
      <c r="EV19" s="10"/>
      <c r="EW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</row>
    <row r="20" spans="7:179" x14ac:dyDescent="0.2">
      <c r="G20" t="s">
        <v>5</v>
      </c>
      <c r="H20">
        <v>4</v>
      </c>
      <c r="I20">
        <v>1</v>
      </c>
      <c r="J20" s="8">
        <v>8.6890606275594191</v>
      </c>
      <c r="K20" s="8">
        <v>64.101101128146269</v>
      </c>
      <c r="L20" s="8">
        <v>27.209838244294332</v>
      </c>
      <c r="M20" s="83">
        <v>0.13572999999999999</v>
      </c>
      <c r="N20" s="83">
        <v>2.0589</v>
      </c>
      <c r="O20" s="8">
        <v>0.15093333333333334</v>
      </c>
      <c r="P20" s="8">
        <v>2.0624333333333333</v>
      </c>
      <c r="Q20">
        <f t="shared" si="0"/>
        <v>-1.5203333333333346E-2</v>
      </c>
      <c r="R20">
        <f t="shared" si="1"/>
        <v>-3.5333333333333883E-3</v>
      </c>
      <c r="S20" s="8">
        <v>1.3662139933585313</v>
      </c>
      <c r="T20" s="8">
        <v>1.3421339420192397</v>
      </c>
      <c r="U20" s="8">
        <v>1.46143098636097</v>
      </c>
      <c r="V20">
        <f t="shared" si="2"/>
        <v>1.7324696434445879E-2</v>
      </c>
      <c r="W20">
        <f t="shared" si="3"/>
        <v>-8.5829762139033275E-2</v>
      </c>
      <c r="X20">
        <f t="shared" si="4"/>
        <v>-6.8505065704587392E-2</v>
      </c>
      <c r="Y20" s="8">
        <f t="shared" si="65"/>
        <v>1.3899263072462471</v>
      </c>
      <c r="Z20" s="8">
        <v>1.0607013811478612</v>
      </c>
      <c r="AA20" s="83">
        <v>0.10356701968682994</v>
      </c>
      <c r="AB20" s="83">
        <v>0.26562054208273905</v>
      </c>
      <c r="AC20" s="83">
        <f t="shared" si="5"/>
        <v>0.14395052522581492</v>
      </c>
      <c r="AD20" s="83">
        <f t="shared" si="6"/>
        <v>0.36919297918580785</v>
      </c>
      <c r="AE20" s="83">
        <f t="shared" si="32"/>
        <v>0.22524245395999293</v>
      </c>
      <c r="AF20" s="8">
        <v>4.5060358021277658</v>
      </c>
      <c r="AG20" s="8">
        <v>39.041829650618332</v>
      </c>
      <c r="AH20" s="8">
        <f t="shared" si="33"/>
        <v>34.53579384849057</v>
      </c>
      <c r="AI20" s="8">
        <f t="shared" si="34"/>
        <v>0.16205352239590912</v>
      </c>
      <c r="AJ20">
        <f t="shared" si="7"/>
        <v>0.47549950669952934</v>
      </c>
      <c r="AK20">
        <f t="shared" si="35"/>
        <v>0.59973532786873163</v>
      </c>
      <c r="AL20">
        <f t="shared" si="8"/>
        <v>0.33982364225853184</v>
      </c>
      <c r="AM20">
        <f t="shared" si="36"/>
        <v>0.35311346045979086</v>
      </c>
      <c r="AN20">
        <f t="shared" si="9"/>
        <v>0.17603813526455653</v>
      </c>
      <c r="AO20">
        <f t="shared" si="37"/>
        <v>0.1745533090809904</v>
      </c>
      <c r="AP20">
        <f t="shared" si="38"/>
        <v>0.16378550699397532</v>
      </c>
      <c r="AQ20">
        <f t="shared" si="39"/>
        <v>0.17856015137880046</v>
      </c>
      <c r="AR20">
        <f t="shared" si="40"/>
        <v>0.1356758644409975</v>
      </c>
      <c r="AS20">
        <f t="shared" si="10"/>
        <v>68.836347508624797</v>
      </c>
      <c r="AT20">
        <f t="shared" si="11"/>
        <v>36.325768930045932</v>
      </c>
      <c r="AU20" s="24">
        <f t="shared" si="12"/>
        <v>0.27465142653820207</v>
      </c>
      <c r="AV20" s="24">
        <f t="shared" si="13"/>
        <v>0.30116797161663678</v>
      </c>
      <c r="AW20" s="24">
        <f t="shared" si="41"/>
        <v>3.6409787220271621</v>
      </c>
      <c r="AX20" s="24">
        <f t="shared" si="14"/>
        <v>8.7634410630240286E-2</v>
      </c>
      <c r="AY20" s="24">
        <f t="shared" si="15"/>
        <v>9.1753354509560098E-2</v>
      </c>
      <c r="AZ20" s="24">
        <f t="shared" si="16"/>
        <v>7.3336257765499291E-2</v>
      </c>
      <c r="BA20" s="24">
        <f t="shared" si="42"/>
        <v>0.20371182712638694</v>
      </c>
      <c r="BB20">
        <f t="shared" si="17"/>
        <v>0.22</v>
      </c>
      <c r="BC20">
        <f t="shared" si="18"/>
        <v>0.42</v>
      </c>
      <c r="BD20">
        <f t="shared" si="43"/>
        <v>0.19999999999999998</v>
      </c>
      <c r="BE20">
        <f t="shared" si="19"/>
        <v>0.15548508566187691</v>
      </c>
      <c r="BF20">
        <f t="shared" si="20"/>
        <v>-4.8552062489904637</v>
      </c>
      <c r="BG20">
        <f t="shared" si="44"/>
        <v>0.15</v>
      </c>
      <c r="BH20">
        <f t="shared" si="21"/>
        <v>0.33</v>
      </c>
      <c r="BI20">
        <f t="shared" si="22"/>
        <v>0.18000000000000002</v>
      </c>
      <c r="BJ20">
        <f t="shared" si="23"/>
        <v>0.17792874017396354</v>
      </c>
      <c r="BK20">
        <f t="shared" si="24"/>
        <v>0.15824649060170831</v>
      </c>
      <c r="BL20">
        <f t="shared" si="25"/>
        <v>0.32543019956867314</v>
      </c>
      <c r="BM20">
        <f t="shared" si="45"/>
        <v>0.16718370896696483</v>
      </c>
      <c r="BN20">
        <f t="shared" si="26"/>
        <v>8.0022648160731846E-2</v>
      </c>
      <c r="BO20">
        <f t="shared" si="27"/>
        <v>0.26824382990538348</v>
      </c>
      <c r="BP20">
        <f t="shared" si="46"/>
        <v>0.18822118174465163</v>
      </c>
      <c r="BQ20">
        <v>77</v>
      </c>
      <c r="BR20" s="10">
        <v>5</v>
      </c>
      <c r="BS20" s="10">
        <f t="shared" si="47"/>
        <v>152</v>
      </c>
      <c r="BT20" s="10">
        <v>5</v>
      </c>
      <c r="BU20" s="10">
        <f t="shared" si="48"/>
        <v>152</v>
      </c>
      <c r="BV20">
        <f t="shared" si="49"/>
        <v>21.998541308996138</v>
      </c>
      <c r="BW20">
        <f t="shared" si="28"/>
        <v>23.868107261148584</v>
      </c>
      <c r="BX20">
        <f t="shared" si="29"/>
        <v>21.998541308996138</v>
      </c>
      <c r="BY20">
        <f t="shared" si="30"/>
        <v>23.868107261148584</v>
      </c>
      <c r="BZ20">
        <f t="shared" si="31"/>
        <v>12.126114191529853</v>
      </c>
      <c r="CA20" s="83"/>
      <c r="CB20" s="83">
        <v>0.1188388856419247</v>
      </c>
      <c r="CE20" s="83">
        <v>0.27396798652064036</v>
      </c>
      <c r="CF20" s="83"/>
      <c r="CG20" s="83">
        <v>9.2304208065458795</v>
      </c>
      <c r="CH20" s="83">
        <v>8.0843885144622298</v>
      </c>
      <c r="CI20" s="8" t="str">
        <f t="shared" si="50"/>
        <v/>
      </c>
      <c r="CJ20" s="8">
        <f t="shared" si="51"/>
        <v>-1.1460322920836497</v>
      </c>
      <c r="CK20" s="8" t="str">
        <f t="shared" si="52"/>
        <v/>
      </c>
      <c r="CL20" s="8">
        <f t="shared" si="53"/>
        <v>0.15512910087871568</v>
      </c>
      <c r="CM20" s="8" t="str">
        <f t="shared" si="54"/>
        <v/>
      </c>
      <c r="CN20" s="8" t="str">
        <f t="shared" si="55"/>
        <v/>
      </c>
      <c r="DE20">
        <v>2</v>
      </c>
      <c r="DF20">
        <v>3</v>
      </c>
      <c r="DG20" s="10">
        <v>0.14144422684164629</v>
      </c>
      <c r="DJ20" s="83">
        <v>0.31943734015345299</v>
      </c>
      <c r="DK20" s="83">
        <v>0.19422776911076461</v>
      </c>
      <c r="DL20" s="83">
        <f t="shared" si="56"/>
        <v>12.471418218317735</v>
      </c>
      <c r="DM20" s="83">
        <f t="shared" si="57"/>
        <v>7.583007475042101</v>
      </c>
      <c r="DN20" s="83"/>
      <c r="DO20" s="83" t="str">
        <f t="shared" si="58"/>
        <v/>
      </c>
      <c r="DP20" s="83">
        <v>5.3547165387894307</v>
      </c>
      <c r="DQ20" s="83">
        <v>2.5451979329173167</v>
      </c>
      <c r="DR20" s="83"/>
      <c r="DS20" s="8" t="str">
        <f t="shared" si="59"/>
        <v/>
      </c>
      <c r="DT20" s="8" t="str">
        <f t="shared" si="60"/>
        <v/>
      </c>
      <c r="DU20" s="8" t="str">
        <f t="shared" si="61"/>
        <v/>
      </c>
      <c r="DV20" s="8" t="str">
        <f t="shared" si="62"/>
        <v/>
      </c>
      <c r="DW20" s="8" t="str">
        <f t="shared" si="63"/>
        <v/>
      </c>
      <c r="DX20" s="8" t="str">
        <f t="shared" si="64"/>
        <v/>
      </c>
      <c r="EN20" s="50"/>
      <c r="EP20" s="10"/>
      <c r="EQ20" s="10"/>
      <c r="ER20" s="10"/>
      <c r="ES20" s="10"/>
      <c r="ET20" s="10"/>
      <c r="EU20" s="10"/>
      <c r="EV20" s="10"/>
      <c r="EW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V20" s="10"/>
      <c r="FW20" s="10"/>
    </row>
    <row r="21" spans="7:179" ht="15.75" x14ac:dyDescent="0.25">
      <c r="G21" t="s">
        <v>5</v>
      </c>
      <c r="H21">
        <v>4</v>
      </c>
      <c r="I21">
        <v>2</v>
      </c>
      <c r="J21" s="8">
        <v>12.335870517688599</v>
      </c>
      <c r="K21" s="8">
        <v>60.583151492243402</v>
      </c>
      <c r="L21" s="8">
        <v>27.0809779900679</v>
      </c>
      <c r="M21" s="83">
        <v>0.10711</v>
      </c>
      <c r="N21" s="83">
        <v>1.3319000000000001</v>
      </c>
      <c r="O21" s="8">
        <v>0.11013000000000001</v>
      </c>
      <c r="P21" s="8">
        <v>1.3976999999999999</v>
      </c>
      <c r="Q21">
        <f t="shared" si="0"/>
        <v>-3.0200000000000088E-3</v>
      </c>
      <c r="R21">
        <f t="shared" si="1"/>
        <v>-6.5799999999999859E-2</v>
      </c>
      <c r="S21" s="8">
        <v>1.3044968799471937</v>
      </c>
      <c r="T21" s="8">
        <v>1.382932564274252</v>
      </c>
      <c r="U21" s="8">
        <v>1.4332035543496746</v>
      </c>
      <c r="V21">
        <f t="shared" si="2"/>
        <v>-5.7104588800499997E-2</v>
      </c>
      <c r="W21">
        <f t="shared" si="3"/>
        <v>-3.6599466702946837E-2</v>
      </c>
      <c r="X21">
        <f t="shared" si="4"/>
        <v>-9.3704055503446834E-2</v>
      </c>
      <c r="Y21" s="8">
        <f t="shared" si="65"/>
        <v>1.3735443328570403</v>
      </c>
      <c r="Z21" s="8">
        <v>1.2507846980188413</v>
      </c>
      <c r="AA21" s="83">
        <v>0.14919782316771493</v>
      </c>
      <c r="AB21" s="83">
        <v>0.28571428571428592</v>
      </c>
      <c r="AC21" s="83">
        <f t="shared" si="5"/>
        <v>0.20492982448662167</v>
      </c>
      <c r="AD21" s="83">
        <f t="shared" si="6"/>
        <v>0.39244123795915464</v>
      </c>
      <c r="AE21" s="83">
        <f t="shared" si="32"/>
        <v>0.18751141347253297</v>
      </c>
      <c r="AF21" s="8">
        <v>3.1783102092566358</v>
      </c>
      <c r="AG21" s="8">
        <v>56.595761492239482</v>
      </c>
      <c r="AH21" s="8">
        <f t="shared" si="33"/>
        <v>53.417451282982846</v>
      </c>
      <c r="AI21" s="8">
        <f t="shared" si="34"/>
        <v>0.13651646254657099</v>
      </c>
      <c r="AJ21">
        <f t="shared" si="7"/>
        <v>0.48168138382753201</v>
      </c>
      <c r="AK21">
        <f t="shared" si="35"/>
        <v>0.52800577433251272</v>
      </c>
      <c r="AL21">
        <f t="shared" si="8"/>
        <v>0.33360926430843296</v>
      </c>
      <c r="AM21">
        <f t="shared" si="36"/>
        <v>0.33814832561124497</v>
      </c>
      <c r="AN21">
        <f t="shared" si="9"/>
        <v>0.1733329165333638</v>
      </c>
      <c r="AO21">
        <f t="shared" si="37"/>
        <v>0.17250305942556241</v>
      </c>
      <c r="AP21">
        <f t="shared" si="38"/>
        <v>0.16027634777506916</v>
      </c>
      <c r="AQ21">
        <f t="shared" si="39"/>
        <v>0.16564526618568257</v>
      </c>
      <c r="AR21">
        <f t="shared" si="40"/>
        <v>0.14807211951909904</v>
      </c>
      <c r="AS21">
        <f t="shared" si="10"/>
        <v>60.501925216722427</v>
      </c>
      <c r="AT21">
        <f t="shared" si="11"/>
        <v>46.417788230610654</v>
      </c>
      <c r="AU21" s="24">
        <f t="shared" si="12"/>
        <v>0.27903261763257053</v>
      </c>
      <c r="AV21" s="24">
        <f t="shared" si="13"/>
        <v>0.2905361155191834</v>
      </c>
      <c r="AW21" s="24">
        <f t="shared" si="41"/>
        <v>3.5838104107126196</v>
      </c>
      <c r="AX21" s="24">
        <f t="shared" si="14"/>
        <v>8.9012551538550838E-2</v>
      </c>
      <c r="AY21" s="24">
        <f t="shared" si="15"/>
        <v>9.0944621711081489E-2</v>
      </c>
      <c r="AZ21" s="24">
        <f t="shared" si="16"/>
        <v>9.9013899189404425E-2</v>
      </c>
      <c r="BA21" s="24">
        <f t="shared" si="42"/>
        <v>0.27503860885945675</v>
      </c>
      <c r="BB21">
        <f t="shared" si="17"/>
        <v>0.2</v>
      </c>
      <c r="BC21">
        <f t="shared" si="18"/>
        <v>0.38</v>
      </c>
      <c r="BD21">
        <f t="shared" si="43"/>
        <v>0.18</v>
      </c>
      <c r="BE21">
        <f t="shared" si="19"/>
        <v>0.13835036990810937</v>
      </c>
      <c r="BF21">
        <f t="shared" si="20"/>
        <v>-4.9116782799967886</v>
      </c>
      <c r="BG21">
        <f t="shared" si="44"/>
        <v>0.15</v>
      </c>
      <c r="BH21">
        <f t="shared" si="21"/>
        <v>0.33</v>
      </c>
      <c r="BI21">
        <f t="shared" si="22"/>
        <v>0.18000000000000002</v>
      </c>
      <c r="BJ21">
        <f t="shared" si="23"/>
        <v>0.18431771018575427</v>
      </c>
      <c r="BK21">
        <f t="shared" si="24"/>
        <v>0.1543541334868328</v>
      </c>
      <c r="BL21">
        <f t="shared" si="25"/>
        <v>0.32258465061726788</v>
      </c>
      <c r="BM21">
        <f t="shared" si="45"/>
        <v>0.16823051713043508</v>
      </c>
      <c r="BN21">
        <f t="shared" si="26"/>
        <v>0.12518644424927672</v>
      </c>
      <c r="BO21">
        <f t="shared" si="27"/>
        <v>0.3012613020458727</v>
      </c>
      <c r="BP21">
        <f t="shared" si="46"/>
        <v>0.17607485779659598</v>
      </c>
      <c r="BQ21">
        <v>77</v>
      </c>
      <c r="BR21" s="10">
        <v>5</v>
      </c>
      <c r="BS21" s="10">
        <f t="shared" si="47"/>
        <v>152</v>
      </c>
      <c r="BT21" s="10">
        <v>5</v>
      </c>
      <c r="BU21" s="10">
        <f t="shared" si="48"/>
        <v>152</v>
      </c>
      <c r="BV21">
        <f t="shared" si="49"/>
        <v>21.998541308996138</v>
      </c>
      <c r="BW21">
        <f t="shared" si="28"/>
        <v>23.868107261148584</v>
      </c>
      <c r="BX21">
        <f t="shared" si="29"/>
        <v>21.998541308996138</v>
      </c>
      <c r="BY21">
        <f t="shared" si="30"/>
        <v>23.868107261148584</v>
      </c>
      <c r="BZ21">
        <f t="shared" si="31"/>
        <v>12.126114191529853</v>
      </c>
      <c r="CA21" s="83">
        <v>0.22803013010728132</v>
      </c>
      <c r="CB21" s="83">
        <v>0.13934592728011372</v>
      </c>
      <c r="CE21" s="83">
        <v>0.29894566098945646</v>
      </c>
      <c r="CF21" s="83">
        <v>5.689872936163737</v>
      </c>
      <c r="CG21" s="83">
        <v>2.0413281197102036</v>
      </c>
      <c r="CH21" s="83">
        <v>3.3718464449851306</v>
      </c>
      <c r="CI21" s="8">
        <f t="shared" si="50"/>
        <v>-2.3180264911786064</v>
      </c>
      <c r="CJ21" s="8">
        <f t="shared" si="51"/>
        <v>1.3305183252749271</v>
      </c>
      <c r="CK21" s="8" t="str">
        <f t="shared" si="52"/>
        <v/>
      </c>
      <c r="CL21" s="8">
        <f t="shared" si="53"/>
        <v>0.15959973370934274</v>
      </c>
      <c r="CM21" s="8" t="str">
        <f t="shared" si="54"/>
        <v/>
      </c>
      <c r="CN21" s="8" t="str">
        <f t="shared" si="55"/>
        <v/>
      </c>
      <c r="DA21" s="31" t="s">
        <v>69</v>
      </c>
      <c r="DE21">
        <v>2</v>
      </c>
      <c r="DF21">
        <v>4</v>
      </c>
      <c r="DG21" s="10">
        <v>0.16027634777506916</v>
      </c>
      <c r="DJ21" s="83"/>
      <c r="DK21" s="83">
        <v>0.1188388856419247</v>
      </c>
      <c r="DL21" s="83" t="str">
        <f t="shared" si="56"/>
        <v/>
      </c>
      <c r="DM21" s="83">
        <f t="shared" si="57"/>
        <v>6.7257772277938939</v>
      </c>
      <c r="DN21" s="83">
        <v>0.27396798652064036</v>
      </c>
      <c r="DO21" s="83">
        <f t="shared" si="58"/>
        <v>15.505426821631243</v>
      </c>
      <c r="DP21" s="83"/>
      <c r="DQ21" s="83">
        <v>9.2304208065458795</v>
      </c>
      <c r="DR21" s="83">
        <v>8.0843885144622298</v>
      </c>
      <c r="DS21" s="8" t="str">
        <f t="shared" si="59"/>
        <v/>
      </c>
      <c r="DT21" s="8">
        <f t="shared" si="60"/>
        <v>-1.1460322920836497</v>
      </c>
      <c r="DU21" s="8">
        <f t="shared" si="61"/>
        <v>8.7796495938373482</v>
      </c>
      <c r="DV21" s="8" t="str">
        <f t="shared" si="62"/>
        <v/>
      </c>
      <c r="DW21" s="8">
        <f t="shared" si="63"/>
        <v>0.15512910087871568</v>
      </c>
      <c r="DX21" s="8" t="str">
        <f t="shared" si="64"/>
        <v/>
      </c>
      <c r="EN21" s="50"/>
      <c r="EP21" s="10"/>
      <c r="EQ21" s="10"/>
      <c r="ER21" s="10"/>
      <c r="ES21" s="10"/>
      <c r="ET21" s="10"/>
      <c r="EU21" s="10"/>
      <c r="EV21" s="10"/>
      <c r="EW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V21" s="10"/>
      <c r="FW21" s="10"/>
    </row>
    <row r="22" spans="7:179" ht="15.75" x14ac:dyDescent="0.25">
      <c r="G22" t="s">
        <v>5</v>
      </c>
      <c r="H22">
        <v>4</v>
      </c>
      <c r="I22">
        <v>3</v>
      </c>
      <c r="J22" s="8">
        <v>9.9704858349682404</v>
      </c>
      <c r="K22" s="8">
        <v>52.277185727161203</v>
      </c>
      <c r="L22" s="8">
        <v>37.752328437870602</v>
      </c>
      <c r="M22" s="83">
        <v>4.6350000000000002E-2</v>
      </c>
      <c r="N22" s="83">
        <v>0.44740000000000002</v>
      </c>
      <c r="O22" s="8">
        <v>5.8459999999999998E-2</v>
      </c>
      <c r="P22" s="8">
        <v>0.53125999999999995</v>
      </c>
      <c r="Q22">
        <f t="shared" si="0"/>
        <v>-1.2109999999999996E-2</v>
      </c>
      <c r="R22">
        <f t="shared" si="1"/>
        <v>-8.3859999999999935E-2</v>
      </c>
      <c r="S22" s="8">
        <v>1.4633488820478966</v>
      </c>
      <c r="T22" s="8">
        <v>1.5871267206288209</v>
      </c>
      <c r="U22" s="8">
        <v>1.4347960027433968</v>
      </c>
      <c r="V22">
        <f t="shared" si="2"/>
        <v>-8.2789527237111832E-2</v>
      </c>
      <c r="W22">
        <f t="shared" si="3"/>
        <v>0.1018872866258604</v>
      </c>
      <c r="X22">
        <f t="shared" si="4"/>
        <v>1.9097759388748574E-2</v>
      </c>
      <c r="Y22" s="8">
        <f>AVERAGE(S22,U22)</f>
        <v>1.4490724423956467</v>
      </c>
      <c r="Z22" s="8">
        <v>1.3267609205631146</v>
      </c>
      <c r="AA22" s="83">
        <v>7.4856702883052448E-2</v>
      </c>
      <c r="AB22" s="83">
        <v>0.31412565026010414</v>
      </c>
      <c r="AC22" s="83">
        <f t="shared" si="5"/>
        <v>0.10847278527643006</v>
      </c>
      <c r="AD22" s="83">
        <f t="shared" si="6"/>
        <v>0.45519082324152982</v>
      </c>
      <c r="AE22" s="83">
        <f t="shared" si="32"/>
        <v>0.34671803796509976</v>
      </c>
      <c r="AF22" s="8">
        <v>2.9187365401306042</v>
      </c>
      <c r="AG22" s="8">
        <v>71.76628440189539</v>
      </c>
      <c r="AH22" s="8">
        <f t="shared" si="33"/>
        <v>68.847547861764781</v>
      </c>
      <c r="AI22" s="8">
        <f t="shared" si="34"/>
        <v>0.23926894737705168</v>
      </c>
      <c r="AJ22">
        <f t="shared" si="7"/>
        <v>0.45318021041673706</v>
      </c>
      <c r="AK22">
        <f t="shared" si="35"/>
        <v>0.49933550167429641</v>
      </c>
      <c r="AL22">
        <f t="shared" si="8"/>
        <v>0.37378855745219175</v>
      </c>
      <c r="AM22">
        <f t="shared" si="36"/>
        <v>0.37997225034213256</v>
      </c>
      <c r="AN22">
        <f t="shared" si="9"/>
        <v>0.22540440475903417</v>
      </c>
      <c r="AO22">
        <f t="shared" si="37"/>
        <v>0.21958489546947393</v>
      </c>
      <c r="AP22">
        <f t="shared" si="38"/>
        <v>0.14838415269315758</v>
      </c>
      <c r="AQ22">
        <f t="shared" si="39"/>
        <v>0.16038735487265862</v>
      </c>
      <c r="AR22">
        <f t="shared" si="40"/>
        <v>7.9391652964545312E-2</v>
      </c>
      <c r="AS22">
        <f t="shared" si="10"/>
        <v>95.048485169289435</v>
      </c>
      <c r="AT22">
        <f t="shared" si="11"/>
        <v>68.724465531264215</v>
      </c>
      <c r="AU22" s="24">
        <f t="shared" si="12"/>
        <v>0.20454632277855</v>
      </c>
      <c r="AV22" s="24">
        <f t="shared" si="13"/>
        <v>0.23027107517418943</v>
      </c>
      <c r="AW22" s="24">
        <f t="shared" si="41"/>
        <v>4.8888681371340992</v>
      </c>
      <c r="AX22" s="24">
        <f t="shared" si="14"/>
        <v>9.9972739691085361E-2</v>
      </c>
      <c r="AY22" s="24">
        <f t="shared" si="15"/>
        <v>0.10568940254972876</v>
      </c>
      <c r="AZ22" s="24">
        <f t="shared" si="16"/>
        <v>1.8496107527000545E-2</v>
      </c>
      <c r="BA22" s="24">
        <f t="shared" si="42"/>
        <v>5.13780764638904E-2</v>
      </c>
      <c r="BB22">
        <f t="shared" si="17"/>
        <v>0.23</v>
      </c>
      <c r="BC22">
        <f t="shared" si="18"/>
        <v>0.39</v>
      </c>
      <c r="BD22">
        <f t="shared" si="43"/>
        <v>0.16</v>
      </c>
      <c r="BE22">
        <f t="shared" si="19"/>
        <v>6.7242559442832001E-2</v>
      </c>
      <c r="BF22">
        <f t="shared" si="20"/>
        <v>-6.4347828951313888</v>
      </c>
      <c r="BG22">
        <f t="shared" si="44"/>
        <v>0.21</v>
      </c>
      <c r="BH22">
        <f t="shared" si="21"/>
        <v>0.38</v>
      </c>
      <c r="BI22">
        <f t="shared" si="22"/>
        <v>0.17</v>
      </c>
      <c r="BJ22">
        <f t="shared" si="23"/>
        <v>0.1548617474656977</v>
      </c>
      <c r="BK22">
        <f t="shared" si="24"/>
        <v>0.17229961231320567</v>
      </c>
      <c r="BL22">
        <f t="shared" si="25"/>
        <v>0.33570388324412387</v>
      </c>
      <c r="BM22">
        <f t="shared" si="45"/>
        <v>0.16340427093091819</v>
      </c>
      <c r="BN22">
        <f t="shared" si="26"/>
        <v>0.14323839472579603</v>
      </c>
      <c r="BO22">
        <f t="shared" si="27"/>
        <v>0.31445837190181297</v>
      </c>
      <c r="BP22">
        <f t="shared" si="46"/>
        <v>0.17121997717601695</v>
      </c>
      <c r="BQ22">
        <v>77</v>
      </c>
      <c r="BR22" s="10">
        <v>5</v>
      </c>
      <c r="BS22" s="10">
        <f t="shared" si="47"/>
        <v>152</v>
      </c>
      <c r="BT22" s="10">
        <v>5</v>
      </c>
      <c r="BU22" s="10">
        <f t="shared" si="48"/>
        <v>152</v>
      </c>
      <c r="BV22">
        <f t="shared" si="49"/>
        <v>21.998541308996138</v>
      </c>
      <c r="BW22">
        <f t="shared" si="28"/>
        <v>23.868107261148584</v>
      </c>
      <c r="BX22">
        <f t="shared" si="29"/>
        <v>21.998541308996138</v>
      </c>
      <c r="BY22">
        <f t="shared" si="30"/>
        <v>23.868107261148584</v>
      </c>
      <c r="BZ22">
        <f t="shared" si="31"/>
        <v>12.126114191529853</v>
      </c>
      <c r="CA22" s="83">
        <v>0.23572963935992367</v>
      </c>
      <c r="CB22" s="83">
        <v>0.25040160642570281</v>
      </c>
      <c r="CE22" s="83">
        <v>0.32426877470355742</v>
      </c>
      <c r="CF22" s="83">
        <v>3.9749303399410882</v>
      </c>
      <c r="CG22" s="83">
        <v>3.0530639223560909</v>
      </c>
      <c r="CH22" s="83">
        <v>5.0311177865612651</v>
      </c>
      <c r="CI22" s="8">
        <f t="shared" si="50"/>
        <v>1.0561874466201768</v>
      </c>
      <c r="CJ22" s="8">
        <f t="shared" si="51"/>
        <v>1.9780538642051742</v>
      </c>
      <c r="CK22" s="8" t="str">
        <f t="shared" si="52"/>
        <v/>
      </c>
      <c r="CL22" s="8">
        <f t="shared" si="53"/>
        <v>7.3867168277854611E-2</v>
      </c>
      <c r="CM22" s="8" t="str">
        <f t="shared" si="54"/>
        <v/>
      </c>
      <c r="CN22" s="8" t="str">
        <f t="shared" si="55"/>
        <v/>
      </c>
      <c r="DA22" s="31" t="s">
        <v>70</v>
      </c>
      <c r="DE22">
        <v>2</v>
      </c>
      <c r="DF22">
        <v>5</v>
      </c>
      <c r="DG22" s="10">
        <v>0.16907590506820031</v>
      </c>
      <c r="DJ22" s="83">
        <v>0.22803013010728132</v>
      </c>
      <c r="DK22" s="83">
        <v>0.13934592728011372</v>
      </c>
      <c r="DL22" s="83">
        <f t="shared" si="56"/>
        <v>16.36487516948036</v>
      </c>
      <c r="DM22" s="83">
        <f t="shared" si="57"/>
        <v>10.000339447430475</v>
      </c>
      <c r="DN22" s="83">
        <v>0.29894566098945646</v>
      </c>
      <c r="DO22" s="83">
        <f t="shared" si="58"/>
        <v>21.454219327281937</v>
      </c>
      <c r="DP22" s="83">
        <v>5.689872936163737</v>
      </c>
      <c r="DQ22" s="83">
        <v>2.0413281197102036</v>
      </c>
      <c r="DR22" s="83">
        <v>3.3718464449851306</v>
      </c>
      <c r="DS22" s="8">
        <f t="shared" si="59"/>
        <v>-2.3180264911786064</v>
      </c>
      <c r="DT22" s="8">
        <f t="shared" si="60"/>
        <v>1.3305183252749271</v>
      </c>
      <c r="DU22" s="8">
        <f t="shared" si="61"/>
        <v>11.453879879851462</v>
      </c>
      <c r="DV22" s="8">
        <f t="shared" si="62"/>
        <v>5.0893441578015768</v>
      </c>
      <c r="DW22" s="8">
        <f t="shared" si="63"/>
        <v>0.15959973370934274</v>
      </c>
      <c r="DX22" s="8">
        <f t="shared" si="64"/>
        <v>7.0915530882175143E-2</v>
      </c>
      <c r="EN22" s="50"/>
      <c r="EP22" s="10"/>
      <c r="EQ22" s="10"/>
      <c r="ER22" s="10"/>
      <c r="ES22" s="10"/>
      <c r="ET22" s="10"/>
      <c r="EU22" s="10"/>
      <c r="EV22" s="10"/>
      <c r="EW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V22" s="10"/>
      <c r="FW22" s="10"/>
    </row>
    <row r="23" spans="7:179" ht="15.75" x14ac:dyDescent="0.25">
      <c r="G23" t="s">
        <v>5</v>
      </c>
      <c r="H23">
        <v>4</v>
      </c>
      <c r="I23">
        <v>4</v>
      </c>
      <c r="J23" s="8">
        <v>6.6260371118339902</v>
      </c>
      <c r="K23" s="8">
        <v>49.8602835938159</v>
      </c>
      <c r="L23" s="8">
        <v>43.513679294350098</v>
      </c>
      <c r="M23" s="83">
        <v>4.5289999999999997E-2</v>
      </c>
      <c r="N23" s="83">
        <v>0.31708999999999998</v>
      </c>
      <c r="O23" s="8">
        <v>5.2760000000000001E-2</v>
      </c>
      <c r="P23" s="8">
        <v>0.33537</v>
      </c>
      <c r="Q23">
        <f t="shared" si="0"/>
        <v>-7.4700000000000044E-3</v>
      </c>
      <c r="R23">
        <f t="shared" si="1"/>
        <v>-1.8280000000000018E-2</v>
      </c>
      <c r="S23" s="8">
        <v>1.4488478420885844</v>
      </c>
      <c r="T23" s="8">
        <v>1.5994101813163129</v>
      </c>
      <c r="U23" s="8">
        <v>1.5916949772775191</v>
      </c>
      <c r="V23">
        <f t="shared" si="2"/>
        <v>-9.7347326064887704E-2</v>
      </c>
      <c r="W23">
        <f t="shared" si="3"/>
        <v>4.9883290009569529E-3</v>
      </c>
      <c r="X23">
        <f t="shared" si="4"/>
        <v>-9.2358997063930762E-2</v>
      </c>
      <c r="Y23" s="8">
        <f>AVERAGE(S23:U23)</f>
        <v>1.546651000227472</v>
      </c>
      <c r="AA23" s="83">
        <v>0.23673019373129631</v>
      </c>
      <c r="AB23" s="83">
        <v>0.33594089526292897</v>
      </c>
      <c r="AC23" s="83">
        <f t="shared" si="5"/>
        <v>0.36613899091855268</v>
      </c>
      <c r="AD23" s="83">
        <f t="shared" si="6"/>
        <v>0.51958332167572152</v>
      </c>
      <c r="AE23" s="83">
        <f t="shared" si="32"/>
        <v>0.15344433075716885</v>
      </c>
      <c r="AF23" s="8">
        <v>10.959719891214444</v>
      </c>
      <c r="AG23" s="8">
        <v>84.114369213217543</v>
      </c>
      <c r="AH23" s="8">
        <f t="shared" si="33"/>
        <v>73.154649322003095</v>
      </c>
      <c r="AI23" s="8">
        <f t="shared" si="34"/>
        <v>9.9210701531632667E-2</v>
      </c>
      <c r="AJ23">
        <f t="shared" si="7"/>
        <v>0.41635811312170867</v>
      </c>
      <c r="AK23" t="str">
        <f t="shared" si="35"/>
        <v/>
      </c>
      <c r="AL23">
        <f t="shared" si="8"/>
        <v>0.3831904486230483</v>
      </c>
      <c r="AM23" t="str">
        <f t="shared" si="36"/>
        <v/>
      </c>
      <c r="AN23">
        <f t="shared" si="9"/>
        <v>0.26098721348679965</v>
      </c>
      <c r="AO23" t="str">
        <f t="shared" si="37"/>
        <v/>
      </c>
      <c r="AP23">
        <f t="shared" si="38"/>
        <v>0.12220323513624864</v>
      </c>
      <c r="AQ23" t="str">
        <f t="shared" si="39"/>
        <v/>
      </c>
      <c r="AR23">
        <f t="shared" si="40"/>
        <v>3.3167664498660376E-2</v>
      </c>
      <c r="AS23">
        <f t="shared" si="10"/>
        <v>155.02952386916979</v>
      </c>
      <c r="AT23" t="str">
        <f t="shared" si="11"/>
        <v/>
      </c>
      <c r="AU23" s="24">
        <f t="shared" si="12"/>
        <v>0.14331544657668385</v>
      </c>
      <c r="AV23" s="24" t="str">
        <f t="shared" si="13"/>
        <v/>
      </c>
      <c r="AW23" s="24">
        <f t="shared" si="41"/>
        <v>6.9776149318624183</v>
      </c>
      <c r="AX23" s="24">
        <f t="shared" si="14"/>
        <v>9.3137273611395371E-2</v>
      </c>
      <c r="AY23" s="24" t="str">
        <f t="shared" si="15"/>
        <v/>
      </c>
      <c r="AZ23" s="24">
        <f t="shared" si="16"/>
        <v>2.5237150797700093E-3</v>
      </c>
      <c r="BA23" s="24">
        <f t="shared" si="42"/>
        <v>7.0103196660278033E-3</v>
      </c>
      <c r="BB23">
        <f t="shared" si="17"/>
        <v>0.25</v>
      </c>
      <c r="BC23">
        <f t="shared" si="18"/>
        <v>0.41</v>
      </c>
      <c r="BD23">
        <f t="shared" si="43"/>
        <v>0.15999999999999998</v>
      </c>
      <c r="BE23">
        <f t="shared" si="19"/>
        <v>4.9521636994247775E-2</v>
      </c>
      <c r="BF23">
        <f t="shared" si="20"/>
        <v>-7.4099971841449195</v>
      </c>
      <c r="BG23">
        <f t="shared" si="44"/>
        <v>0.25</v>
      </c>
      <c r="BH23">
        <f t="shared" si="21"/>
        <v>0.42</v>
      </c>
      <c r="BI23">
        <f t="shared" si="22"/>
        <v>0.16999999999999998</v>
      </c>
      <c r="BJ23">
        <f t="shared" si="23"/>
        <v>0.11680610991128582</v>
      </c>
      <c r="BK23">
        <f t="shared" si="24"/>
        <v>0.19548427765404736</v>
      </c>
      <c r="BL23">
        <f t="shared" si="25"/>
        <v>0.35265327873951191</v>
      </c>
      <c r="BM23">
        <f t="shared" si="45"/>
        <v>0.15716900108546455</v>
      </c>
      <c r="BN23" t="str">
        <f t="shared" si="26"/>
        <v/>
      </c>
      <c r="BO23" t="str">
        <f t="shared" si="27"/>
        <v/>
      </c>
      <c r="BP23" t="str">
        <f t="shared" si="46"/>
        <v/>
      </c>
      <c r="BQ23">
        <v>77</v>
      </c>
      <c r="BR23" s="10">
        <v>5</v>
      </c>
      <c r="BS23" s="10">
        <f t="shared" si="47"/>
        <v>152</v>
      </c>
      <c r="BT23" s="10">
        <v>5</v>
      </c>
      <c r="BU23" s="10">
        <f t="shared" si="48"/>
        <v>152</v>
      </c>
      <c r="BV23">
        <f t="shared" si="49"/>
        <v>21.998541308996138</v>
      </c>
      <c r="BW23">
        <f t="shared" si="28"/>
        <v>23.868107261148584</v>
      </c>
      <c r="BX23">
        <f t="shared" si="29"/>
        <v>21.998541308996138</v>
      </c>
      <c r="BY23">
        <f t="shared" si="30"/>
        <v>23.868107261148584</v>
      </c>
      <c r="BZ23">
        <f t="shared" si="31"/>
        <v>12.126114191529853</v>
      </c>
      <c r="CA23" s="83"/>
      <c r="CB23" s="83">
        <v>0.29949999999999999</v>
      </c>
      <c r="CE23" s="83"/>
      <c r="CF23" s="83"/>
      <c r="CG23" s="83">
        <v>3.1567020833333332</v>
      </c>
      <c r="CH23" s="83"/>
      <c r="CI23" s="8" t="str">
        <f t="shared" si="50"/>
        <v/>
      </c>
      <c r="CJ23" s="8" t="str">
        <f t="shared" si="51"/>
        <v/>
      </c>
      <c r="CK23" s="8" t="str">
        <f t="shared" si="52"/>
        <v/>
      </c>
      <c r="CL23" s="8" t="str">
        <f t="shared" si="53"/>
        <v/>
      </c>
      <c r="CM23" s="8" t="str">
        <f t="shared" si="54"/>
        <v/>
      </c>
      <c r="CN23" s="8" t="str">
        <f t="shared" si="55"/>
        <v/>
      </c>
      <c r="DA23" s="31" t="s">
        <v>71</v>
      </c>
      <c r="DE23">
        <v>2</v>
      </c>
      <c r="DF23">
        <v>6</v>
      </c>
      <c r="DG23" s="10">
        <v>0.1487288106103313</v>
      </c>
      <c r="DJ23" s="83">
        <v>0.23572963935992367</v>
      </c>
      <c r="DK23" s="83">
        <v>0.25040160642570281</v>
      </c>
      <c r="DL23" s="83">
        <f t="shared" si="56"/>
        <v>19.828249919619239</v>
      </c>
      <c r="DM23" s="83">
        <f t="shared" si="57"/>
        <v>21.062373174474352</v>
      </c>
      <c r="DN23" s="83">
        <v>0.32426877470355742</v>
      </c>
      <c r="DO23" s="83">
        <f t="shared" si="58"/>
        <v>27.275663439732686</v>
      </c>
      <c r="DP23" s="83">
        <v>3.9749303399410882</v>
      </c>
      <c r="DQ23" s="83">
        <v>3.0530639223560909</v>
      </c>
      <c r="DR23" s="83">
        <v>5.0311177865612651</v>
      </c>
      <c r="DS23" s="8">
        <f t="shared" si="59"/>
        <v>1.0561874466201768</v>
      </c>
      <c r="DT23" s="8">
        <f t="shared" si="60"/>
        <v>1.9780538642051742</v>
      </c>
      <c r="DU23" s="8">
        <f t="shared" si="61"/>
        <v>6.2132902652583333</v>
      </c>
      <c r="DV23" s="8">
        <f t="shared" si="62"/>
        <v>7.4474135201134466</v>
      </c>
      <c r="DW23" s="8">
        <f t="shared" si="63"/>
        <v>7.3867168277854611E-2</v>
      </c>
      <c r="DX23" s="8">
        <f t="shared" si="64"/>
        <v>8.8539135343633751E-2</v>
      </c>
      <c r="EN23" s="50"/>
      <c r="EP23" s="10"/>
      <c r="EQ23" s="10"/>
      <c r="ER23" s="10"/>
      <c r="ES23" s="10"/>
      <c r="ET23" s="10"/>
      <c r="EU23" s="10"/>
      <c r="EV23" s="10"/>
      <c r="EW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V23" s="10"/>
      <c r="FW23" s="10"/>
    </row>
    <row r="24" spans="7:179" ht="15.75" x14ac:dyDescent="0.25">
      <c r="G24" t="s">
        <v>5</v>
      </c>
      <c r="H24">
        <v>4</v>
      </c>
      <c r="I24">
        <v>5</v>
      </c>
      <c r="J24" s="8">
        <v>9.3138423335122802</v>
      </c>
      <c r="K24" s="8">
        <v>56.81514975790499</v>
      </c>
      <c r="L24" s="8">
        <v>33.871007908582698</v>
      </c>
      <c r="M24" s="83">
        <v>3.7429999999999998E-2</v>
      </c>
      <c r="N24" s="83">
        <v>0.22728999999999999</v>
      </c>
      <c r="O24" s="8">
        <v>3.5490000000000001E-2</v>
      </c>
      <c r="P24" s="8">
        <v>0.26665</v>
      </c>
      <c r="Q24">
        <f t="shared" si="0"/>
        <v>1.9399999999999973E-3</v>
      </c>
      <c r="R24">
        <f t="shared" si="1"/>
        <v>-3.9360000000000006E-2</v>
      </c>
      <c r="S24" s="8">
        <v>1.5836631945517556</v>
      </c>
      <c r="T24" s="8">
        <v>1.5660290922205291</v>
      </c>
      <c r="U24" s="8">
        <v>1.7913845812300389</v>
      </c>
      <c r="V24">
        <f t="shared" si="2"/>
        <v>1.0706635093306691E-2</v>
      </c>
      <c r="W24">
        <f t="shared" si="3"/>
        <v>-0.13682573355752362</v>
      </c>
      <c r="X24">
        <f t="shared" si="4"/>
        <v>-0.12611909846421693</v>
      </c>
      <c r="Y24" s="8">
        <f>AVERAGE(S24:U24)</f>
        <v>1.6470256226674413</v>
      </c>
      <c r="AA24" s="83">
        <v>0.22397509081473807</v>
      </c>
      <c r="AB24" s="83"/>
      <c r="AC24" s="83">
        <f t="shared" si="5"/>
        <v>0.36889271341114072</v>
      </c>
      <c r="AD24" s="83" t="str">
        <f t="shared" si="6"/>
        <v/>
      </c>
      <c r="AE24" s="83" t="str">
        <f t="shared" si="32"/>
        <v/>
      </c>
      <c r="AF24" s="8">
        <v>9.7081326928685083</v>
      </c>
      <c r="AG24" s="8"/>
      <c r="AH24" s="8" t="str">
        <f t="shared" si="33"/>
        <v/>
      </c>
      <c r="AI24" s="8" t="str">
        <f t="shared" si="34"/>
        <v/>
      </c>
      <c r="AJ24">
        <f t="shared" si="7"/>
        <v>0.37848089710662591</v>
      </c>
      <c r="AK24" t="str">
        <f t="shared" si="35"/>
        <v/>
      </c>
      <c r="AL24">
        <f t="shared" si="8"/>
        <v>0.3405721005353366</v>
      </c>
      <c r="AM24" t="str">
        <f t="shared" si="36"/>
        <v/>
      </c>
      <c r="AN24">
        <f t="shared" si="9"/>
        <v>0.2115851158641775</v>
      </c>
      <c r="AO24" t="str">
        <f t="shared" si="37"/>
        <v/>
      </c>
      <c r="AP24">
        <f t="shared" si="38"/>
        <v>0.1289869846711591</v>
      </c>
      <c r="AQ24" t="str">
        <f t="shared" si="39"/>
        <v/>
      </c>
      <c r="AR24">
        <f t="shared" si="40"/>
        <v>3.7908796571289316E-2</v>
      </c>
      <c r="AS24">
        <f t="shared" si="10"/>
        <v>156.0062376751778</v>
      </c>
      <c r="AT24" t="str">
        <f t="shared" si="11"/>
        <v/>
      </c>
      <c r="AU24" s="24">
        <f t="shared" si="12"/>
        <v>0.18555883880311447</v>
      </c>
      <c r="AV24" s="24" t="str">
        <f t="shared" si="13"/>
        <v/>
      </c>
      <c r="AW24" s="24">
        <f t="shared" si="41"/>
        <v>5.3891262008868299</v>
      </c>
      <c r="AX24" s="24">
        <f t="shared" si="14"/>
        <v>8.6401669998054501E-2</v>
      </c>
      <c r="AY24" s="24" t="str">
        <f t="shared" si="15"/>
        <v/>
      </c>
      <c r="AZ24" s="24">
        <f t="shared" si="16"/>
        <v>3.8525806512168742E-3</v>
      </c>
      <c r="BA24" s="24">
        <f t="shared" si="42"/>
        <v>1.0701612920046873E-2</v>
      </c>
      <c r="BB24">
        <f t="shared" si="17"/>
        <v>0.2</v>
      </c>
      <c r="BC24">
        <f t="shared" si="18"/>
        <v>0.37</v>
      </c>
      <c r="BD24">
        <f t="shared" si="43"/>
        <v>0.16999999999999998</v>
      </c>
      <c r="BE24">
        <f t="shared" si="19"/>
        <v>9.2472597629903772E-2</v>
      </c>
      <c r="BF24">
        <f t="shared" si="20"/>
        <v>-5.7892522480243791</v>
      </c>
      <c r="BG24">
        <f t="shared" si="44"/>
        <v>0.19</v>
      </c>
      <c r="BH24">
        <f t="shared" si="21"/>
        <v>0.36</v>
      </c>
      <c r="BI24">
        <f t="shared" si="22"/>
        <v>0.16999999999999998</v>
      </c>
      <c r="BJ24">
        <f t="shared" si="23"/>
        <v>7.7660007159697786E-2</v>
      </c>
      <c r="BK24">
        <f t="shared" si="24"/>
        <v>0.21933328794578411</v>
      </c>
      <c r="BL24">
        <f t="shared" si="25"/>
        <v>0.34848089710662589</v>
      </c>
      <c r="BM24">
        <f t="shared" si="45"/>
        <v>0.12914760916084178</v>
      </c>
      <c r="BN24" t="str">
        <f t="shared" si="26"/>
        <v/>
      </c>
      <c r="BO24" t="str">
        <f t="shared" si="27"/>
        <v/>
      </c>
      <c r="BP24" t="str">
        <f t="shared" si="46"/>
        <v/>
      </c>
      <c r="BQ24">
        <v>77</v>
      </c>
      <c r="BR24" s="10">
        <v>5</v>
      </c>
      <c r="BS24" s="10">
        <f t="shared" si="47"/>
        <v>152</v>
      </c>
      <c r="BT24" s="10">
        <v>5</v>
      </c>
      <c r="BU24" s="10">
        <f t="shared" si="48"/>
        <v>152</v>
      </c>
      <c r="BV24">
        <f t="shared" si="49"/>
        <v>21.998541308996138</v>
      </c>
      <c r="BW24">
        <f t="shared" si="28"/>
        <v>23.868107261148584</v>
      </c>
      <c r="BX24">
        <f t="shared" si="29"/>
        <v>21.998541308996138</v>
      </c>
      <c r="BY24">
        <f t="shared" si="30"/>
        <v>23.868107261148584</v>
      </c>
      <c r="BZ24">
        <f t="shared" si="31"/>
        <v>12.126114191529853</v>
      </c>
      <c r="CA24" s="83">
        <v>0.29949999999999999</v>
      </c>
      <c r="CB24" s="83">
        <v>0.26949115527407741</v>
      </c>
      <c r="CE24" s="83"/>
      <c r="CF24" s="83">
        <v>4.4886895833333345</v>
      </c>
      <c r="CG24" s="83">
        <v>2.7074014704811828</v>
      </c>
      <c r="CH24" s="83"/>
      <c r="CI24" s="8" t="str">
        <f t="shared" si="50"/>
        <v/>
      </c>
      <c r="CJ24" s="8" t="str">
        <f t="shared" si="51"/>
        <v/>
      </c>
      <c r="CK24" s="8" t="str">
        <f t="shared" si="52"/>
        <v/>
      </c>
      <c r="CL24" s="8" t="str">
        <f t="shared" si="53"/>
        <v/>
      </c>
      <c r="CM24" s="8" t="str">
        <f t="shared" si="54"/>
        <v/>
      </c>
      <c r="CN24" s="8" t="str">
        <f t="shared" si="55"/>
        <v/>
      </c>
      <c r="DA24" s="32" t="s">
        <v>72</v>
      </c>
      <c r="DE24">
        <v>2</v>
      </c>
      <c r="DF24">
        <v>7</v>
      </c>
      <c r="DG24" s="10">
        <v>8.4090340338337677E-2</v>
      </c>
      <c r="DJ24" s="83"/>
      <c r="DK24" s="83">
        <v>0.29949999999999999</v>
      </c>
      <c r="DL24" s="83" t="str">
        <f t="shared" si="56"/>
        <v/>
      </c>
      <c r="DM24" s="83" t="str">
        <f t="shared" si="57"/>
        <v/>
      </c>
      <c r="DN24" s="83"/>
      <c r="DO24" s="83" t="str">
        <f t="shared" si="58"/>
        <v/>
      </c>
      <c r="DP24" s="83"/>
      <c r="DQ24" s="83">
        <v>3.1567020833333332</v>
      </c>
      <c r="DR24" s="83"/>
      <c r="DS24" s="8" t="str">
        <f t="shared" si="59"/>
        <v/>
      </c>
      <c r="DT24" s="8" t="str">
        <f t="shared" si="60"/>
        <v/>
      </c>
      <c r="DU24" s="8" t="str">
        <f t="shared" si="61"/>
        <v/>
      </c>
      <c r="DV24" s="8" t="str">
        <f t="shared" si="62"/>
        <v/>
      </c>
      <c r="DW24" s="8" t="str">
        <f t="shared" si="63"/>
        <v/>
      </c>
      <c r="DX24" s="8" t="str">
        <f t="shared" si="64"/>
        <v/>
      </c>
      <c r="EN24" s="50"/>
      <c r="EP24" s="10"/>
      <c r="EQ24" s="10"/>
      <c r="ER24" s="10"/>
      <c r="ES24" s="10"/>
      <c r="ET24" s="10"/>
      <c r="EU24" s="10"/>
      <c r="EV24" s="10"/>
      <c r="EW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V24" s="10"/>
      <c r="FW24" s="10"/>
    </row>
    <row r="25" spans="7:179" x14ac:dyDescent="0.2">
      <c r="G25" t="s">
        <v>5</v>
      </c>
      <c r="H25">
        <v>5</v>
      </c>
      <c r="I25">
        <v>1</v>
      </c>
      <c r="J25" s="8">
        <v>7.8170422435055329</v>
      </c>
      <c r="K25" s="8">
        <v>60.3085021980568</v>
      </c>
      <c r="L25" s="8">
        <v>31.874455558437663</v>
      </c>
      <c r="M25" s="83">
        <v>0.14990000000000001</v>
      </c>
      <c r="N25" s="83">
        <v>1.9661</v>
      </c>
      <c r="O25" s="8">
        <v>0.15506333333333333</v>
      </c>
      <c r="P25" s="8">
        <v>2.0160666666666667</v>
      </c>
      <c r="Q25">
        <f t="shared" si="0"/>
        <v>-5.1633333333333253E-3</v>
      </c>
      <c r="R25">
        <f t="shared" si="1"/>
        <v>-4.9966666666666715E-2</v>
      </c>
      <c r="S25" s="8">
        <v>1.4792968018749437</v>
      </c>
      <c r="T25" s="8">
        <v>1.2351873376441009</v>
      </c>
      <c r="U25" s="8">
        <v>1.3220557933981909</v>
      </c>
      <c r="V25">
        <f t="shared" si="2"/>
        <v>0.18142478579749102</v>
      </c>
      <c r="W25">
        <f t="shared" si="3"/>
        <v>-6.4561572929597785E-2</v>
      </c>
      <c r="X25">
        <f t="shared" si="4"/>
        <v>0.11686321286789324</v>
      </c>
      <c r="Y25" s="8">
        <f>AVERAGE(T25:U25)</f>
        <v>1.2786215655211459</v>
      </c>
      <c r="Z25" s="8">
        <v>0.99783149448436126</v>
      </c>
      <c r="AA25" s="83">
        <v>0.12475122127736585</v>
      </c>
      <c r="AB25" s="83">
        <v>0.24948994462255908</v>
      </c>
      <c r="AC25" s="83">
        <f t="shared" si="5"/>
        <v>0.15950960185034041</v>
      </c>
      <c r="AD25" s="83">
        <f t="shared" si="6"/>
        <v>0.31900322357508049</v>
      </c>
      <c r="AE25" s="83">
        <f t="shared" si="32"/>
        <v>0.15949362172474008</v>
      </c>
      <c r="AF25" s="8">
        <v>6.7121596182179699</v>
      </c>
      <c r="AG25" s="8">
        <v>35.465879710946751</v>
      </c>
      <c r="AH25" s="8">
        <f t="shared" si="33"/>
        <v>28.753720092728781</v>
      </c>
      <c r="AI25" s="8">
        <f t="shared" si="34"/>
        <v>0.12473872334519323</v>
      </c>
      <c r="AJ25">
        <f t="shared" si="7"/>
        <v>0.51750129602975625</v>
      </c>
      <c r="AK25">
        <f t="shared" si="35"/>
        <v>0.62345981340212786</v>
      </c>
      <c r="AL25">
        <f t="shared" si="8"/>
        <v>0.36296417416706911</v>
      </c>
      <c r="AM25">
        <f t="shared" si="36"/>
        <v>0.37302548773197963</v>
      </c>
      <c r="AN25">
        <f t="shared" si="9"/>
        <v>0.19418950810734084</v>
      </c>
      <c r="AO25">
        <f t="shared" si="37"/>
        <v>0.19207818819277603</v>
      </c>
      <c r="AP25">
        <f t="shared" si="38"/>
        <v>0.16877466605972827</v>
      </c>
      <c r="AQ25">
        <f t="shared" si="39"/>
        <v>0.1809472995392036</v>
      </c>
      <c r="AR25">
        <f t="shared" si="40"/>
        <v>0.15453712186268714</v>
      </c>
      <c r="AS25">
        <f t="shared" si="10"/>
        <v>58.588272118509721</v>
      </c>
      <c r="AT25">
        <f t="shared" si="11"/>
        <v>34.221705600195222</v>
      </c>
      <c r="AU25" s="24">
        <f t="shared" si="12"/>
        <v>0.26609567501058451</v>
      </c>
      <c r="AV25" s="24">
        <f t="shared" si="13"/>
        <v>0.28887844745590374</v>
      </c>
      <c r="AW25" s="24">
        <f t="shared" si="41"/>
        <v>3.7580468001226359</v>
      </c>
      <c r="AX25" s="24">
        <f t="shared" si="14"/>
        <v>9.8351947231034756E-2</v>
      </c>
      <c r="AY25" s="24">
        <f t="shared" si="15"/>
        <v>0.10213899488107876</v>
      </c>
      <c r="AZ25" s="24">
        <f t="shared" si="16"/>
        <v>0.11284222171560496</v>
      </c>
      <c r="BA25" s="24">
        <f t="shared" si="42"/>
        <v>0.31345061587668044</v>
      </c>
      <c r="BB25">
        <f t="shared" si="17"/>
        <v>0.24</v>
      </c>
      <c r="BC25">
        <f t="shared" si="18"/>
        <v>0.44</v>
      </c>
      <c r="BD25">
        <f t="shared" si="43"/>
        <v>0.2</v>
      </c>
      <c r="BE25">
        <f t="shared" si="19"/>
        <v>0.11268790161034357</v>
      </c>
      <c r="BF25">
        <f t="shared" si="20"/>
        <v>-5.463336383586717</v>
      </c>
      <c r="BG25">
        <f t="shared" si="44"/>
        <v>0.18</v>
      </c>
      <c r="BH25">
        <f t="shared" si="21"/>
        <v>0.35</v>
      </c>
      <c r="BI25">
        <f t="shared" si="22"/>
        <v>0.16999999999999998</v>
      </c>
      <c r="BJ25">
        <f t="shared" si="23"/>
        <v>0.22133758944675302</v>
      </c>
      <c r="BK25">
        <f t="shared" si="24"/>
        <v>0.13180048396782429</v>
      </c>
      <c r="BL25">
        <f t="shared" si="25"/>
        <v>0.30609656593102302</v>
      </c>
      <c r="BM25">
        <f t="shared" si="45"/>
        <v>0.17429608196319873</v>
      </c>
      <c r="BN25">
        <f t="shared" si="26"/>
        <v>6.5084763089484243E-2</v>
      </c>
      <c r="BO25">
        <f t="shared" si="27"/>
        <v>0.25732333059193357</v>
      </c>
      <c r="BP25">
        <f t="shared" si="46"/>
        <v>0.19223856750244933</v>
      </c>
      <c r="BQ25">
        <v>72</v>
      </c>
      <c r="BR25" s="10">
        <v>5</v>
      </c>
      <c r="BS25" s="10">
        <f t="shared" si="47"/>
        <v>152</v>
      </c>
      <c r="BT25" s="10">
        <v>4</v>
      </c>
      <c r="BU25" s="10">
        <f t="shared" si="48"/>
        <v>122</v>
      </c>
      <c r="BV25">
        <f t="shared" si="49"/>
        <v>20.244480457494443</v>
      </c>
      <c r="BW25">
        <f t="shared" si="28"/>
        <v>19.965538000308484</v>
      </c>
      <c r="BX25">
        <f t="shared" si="29"/>
        <v>17.906176047857375</v>
      </c>
      <c r="BY25">
        <f t="shared" si="30"/>
        <v>18.219413238034001</v>
      </c>
      <c r="BZ25">
        <f t="shared" si="31"/>
        <v>11.059150037130657</v>
      </c>
      <c r="CA25" s="83">
        <v>0.13398140321217253</v>
      </c>
      <c r="CB25" s="83">
        <v>0.12454276258491535</v>
      </c>
      <c r="CE25" s="83">
        <v>0.28172699520279115</v>
      </c>
      <c r="CF25" s="83">
        <v>2.012816990701606</v>
      </c>
      <c r="CG25" s="83">
        <v>4.0202403762410723</v>
      </c>
      <c r="CH25" s="83">
        <v>4.9581472597761307</v>
      </c>
      <c r="CI25" s="8">
        <f t="shared" si="50"/>
        <v>2.9453302690745247</v>
      </c>
      <c r="CJ25" s="8">
        <f t="shared" si="51"/>
        <v>0.93790688353505836</v>
      </c>
      <c r="CK25" s="8" t="str">
        <f t="shared" si="52"/>
        <v/>
      </c>
      <c r="CL25" s="8">
        <f t="shared" si="53"/>
        <v>0.15718423261787579</v>
      </c>
      <c r="CM25" s="8" t="str">
        <f t="shared" si="54"/>
        <v/>
      </c>
      <c r="CN25" s="8" t="str">
        <f t="shared" si="55"/>
        <v/>
      </c>
      <c r="DE25">
        <v>2</v>
      </c>
      <c r="DF25">
        <v>8</v>
      </c>
      <c r="DG25" s="10">
        <v>0.16223372384696783</v>
      </c>
      <c r="DJ25" s="83">
        <v>0.29949999999999999</v>
      </c>
      <c r="DK25" s="83">
        <v>0.26949115527407741</v>
      </c>
      <c r="DL25" s="83">
        <f t="shared" si="56"/>
        <v>10.622030973428553</v>
      </c>
      <c r="DM25" s="83">
        <f t="shared" si="57"/>
        <v>9.5577408961145025</v>
      </c>
      <c r="DN25" s="83"/>
      <c r="DO25" s="83" t="str">
        <f t="shared" si="58"/>
        <v/>
      </c>
      <c r="DP25" s="83">
        <v>4.4886895833333345</v>
      </c>
      <c r="DQ25" s="83">
        <v>2.7074014704811828</v>
      </c>
      <c r="DR25" s="83"/>
      <c r="DS25" s="8" t="str">
        <f t="shared" si="59"/>
        <v/>
      </c>
      <c r="DT25" s="8" t="str">
        <f t="shared" si="60"/>
        <v/>
      </c>
      <c r="DU25" s="8" t="str">
        <f t="shared" si="61"/>
        <v/>
      </c>
      <c r="DV25" s="8" t="str">
        <f t="shared" si="62"/>
        <v/>
      </c>
      <c r="DW25" s="8" t="str">
        <f t="shared" si="63"/>
        <v/>
      </c>
      <c r="DX25" s="8" t="str">
        <f t="shared" si="64"/>
        <v/>
      </c>
      <c r="EN25" s="50"/>
      <c r="EP25" s="10"/>
      <c r="EQ25" s="10"/>
      <c r="ER25" s="10"/>
      <c r="ES25" s="10"/>
      <c r="ET25" s="10"/>
      <c r="EU25" s="10"/>
      <c r="EV25" s="10"/>
      <c r="EW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V25" s="10"/>
      <c r="FW25" s="10"/>
    </row>
    <row r="26" spans="7:179" ht="15.75" x14ac:dyDescent="0.25">
      <c r="G26" t="s">
        <v>5</v>
      </c>
      <c r="H26">
        <v>5</v>
      </c>
      <c r="I26">
        <v>2</v>
      </c>
      <c r="J26" s="8">
        <v>11.0433746277831</v>
      </c>
      <c r="K26" s="8">
        <v>62.439681138613999</v>
      </c>
      <c r="L26" s="8">
        <v>26.516944233602903</v>
      </c>
      <c r="M26" s="83">
        <v>7.528E-2</v>
      </c>
      <c r="N26" s="83">
        <v>0.68467</v>
      </c>
      <c r="O26" s="8">
        <v>8.5790000000000005E-2</v>
      </c>
      <c r="P26" s="8">
        <v>0.77281999999999995</v>
      </c>
      <c r="Q26">
        <f t="shared" si="0"/>
        <v>-1.0510000000000005E-2</v>
      </c>
      <c r="R26">
        <f t="shared" si="1"/>
        <v>-8.8149999999999951E-2</v>
      </c>
      <c r="S26" s="8">
        <v>1.0764608679539625</v>
      </c>
      <c r="T26" s="8">
        <v>1.489417378004793</v>
      </c>
      <c r="U26" s="8">
        <v>1.3528048874178966</v>
      </c>
      <c r="V26">
        <f t="shared" si="2"/>
        <v>-0.31614434951390991</v>
      </c>
      <c r="W26">
        <f t="shared" si="3"/>
        <v>0.10458550942023739</v>
      </c>
      <c r="X26">
        <f t="shared" si="4"/>
        <v>-0.21155884009367248</v>
      </c>
      <c r="Y26" s="8">
        <f>AVERAGE(S26,U26)</f>
        <v>1.2146328776859296</v>
      </c>
      <c r="Z26" s="8">
        <v>1.2580240374442015</v>
      </c>
      <c r="AA26" s="83">
        <v>7.3117450526856809E-2</v>
      </c>
      <c r="AB26" s="83">
        <v>0.28378378378378399</v>
      </c>
      <c r="AC26" s="83">
        <f t="shared" si="5"/>
        <v>8.8810859342494677E-2</v>
      </c>
      <c r="AD26" s="83">
        <f t="shared" si="6"/>
        <v>0.3446931139378992</v>
      </c>
      <c r="AE26" s="83">
        <f t="shared" si="32"/>
        <v>0.25588225459540453</v>
      </c>
      <c r="AF26" s="8">
        <v>4.0838143936898046</v>
      </c>
      <c r="AG26" s="8">
        <v>37.595740598508421</v>
      </c>
      <c r="AH26" s="8">
        <f t="shared" si="33"/>
        <v>33.511926204818614</v>
      </c>
      <c r="AI26" s="8">
        <f t="shared" si="34"/>
        <v>0.21066633325692719</v>
      </c>
      <c r="AJ26">
        <f t="shared" si="7"/>
        <v>0.54164797068455484</v>
      </c>
      <c r="AK26">
        <f t="shared" si="35"/>
        <v>0.52527394813426354</v>
      </c>
      <c r="AL26">
        <f t="shared" si="8"/>
        <v>0.33983518271358604</v>
      </c>
      <c r="AM26">
        <f t="shared" si="36"/>
        <v>0.33822398749144261</v>
      </c>
      <c r="AN26">
        <f t="shared" si="9"/>
        <v>0.17075927764538573</v>
      </c>
      <c r="AO26">
        <f t="shared" si="37"/>
        <v>0.17089362925205748</v>
      </c>
      <c r="AP26">
        <f t="shared" si="38"/>
        <v>0.16907590506820031</v>
      </c>
      <c r="AQ26">
        <f t="shared" si="39"/>
        <v>0.16733035823938514</v>
      </c>
      <c r="AR26">
        <f t="shared" si="40"/>
        <v>0.2018127879709688</v>
      </c>
      <c r="AS26">
        <f t="shared" si="10"/>
        <v>44.502421354194539</v>
      </c>
      <c r="AT26">
        <f t="shared" si="11"/>
        <v>48.463238970081299</v>
      </c>
      <c r="AU26" s="24">
        <f t="shared" si="12"/>
        <v>0.29527640646388326</v>
      </c>
      <c r="AV26" s="24">
        <f t="shared" si="13"/>
        <v>0.29209229325866887</v>
      </c>
      <c r="AW26" s="24">
        <f t="shared" si="41"/>
        <v>3.3866573085727221</v>
      </c>
      <c r="AX26" s="24">
        <f t="shared" si="14"/>
        <v>8.9719718442905647E-2</v>
      </c>
      <c r="AY26" s="24">
        <f t="shared" si="15"/>
        <v>8.9231504472744902E-2</v>
      </c>
      <c r="AZ26" s="24">
        <f t="shared" si="16"/>
        <v>0.26409871493254294</v>
      </c>
      <c r="BA26" s="24">
        <f t="shared" si="42"/>
        <v>0.73360754147928597</v>
      </c>
      <c r="BB26">
        <f t="shared" si="17"/>
        <v>0.18</v>
      </c>
      <c r="BC26">
        <f t="shared" si="18"/>
        <v>0.36</v>
      </c>
      <c r="BD26">
        <f t="shared" si="43"/>
        <v>0.18</v>
      </c>
      <c r="BE26">
        <f t="shared" si="19"/>
        <v>0.15184747906708831</v>
      </c>
      <c r="BF26">
        <f t="shared" si="20"/>
        <v>-4.8136585014048299</v>
      </c>
      <c r="BG26">
        <f t="shared" si="44"/>
        <v>0.15</v>
      </c>
      <c r="BH26">
        <f t="shared" si="21"/>
        <v>0.33</v>
      </c>
      <c r="BI26">
        <f t="shared" si="22"/>
        <v>0.18000000000000002</v>
      </c>
      <c r="BJ26">
        <f t="shared" si="23"/>
        <v>0.24629317770248738</v>
      </c>
      <c r="BK26">
        <f t="shared" si="24"/>
        <v>0.1165967717381769</v>
      </c>
      <c r="BL26">
        <f t="shared" si="25"/>
        <v>0.294981730854046</v>
      </c>
      <c r="BM26">
        <f t="shared" si="45"/>
        <v>0.1783849591158691</v>
      </c>
      <c r="BN26">
        <f t="shared" si="26"/>
        <v>0.1269065112967423</v>
      </c>
      <c r="BO26">
        <f t="shared" si="27"/>
        <v>0.3025187753040578</v>
      </c>
      <c r="BP26">
        <f t="shared" si="46"/>
        <v>0.1756122640073155</v>
      </c>
      <c r="BQ26">
        <v>72</v>
      </c>
      <c r="BR26" s="10">
        <v>5</v>
      </c>
      <c r="BS26" s="10">
        <f t="shared" si="47"/>
        <v>152</v>
      </c>
      <c r="BT26" s="10">
        <v>4</v>
      </c>
      <c r="BU26" s="10">
        <f t="shared" si="48"/>
        <v>122</v>
      </c>
      <c r="BV26">
        <f t="shared" si="49"/>
        <v>20.244480457494443</v>
      </c>
      <c r="BW26">
        <f t="shared" si="28"/>
        <v>19.965538000308484</v>
      </c>
      <c r="BX26">
        <f t="shared" si="29"/>
        <v>17.906176047857375</v>
      </c>
      <c r="BY26">
        <f t="shared" si="30"/>
        <v>18.219413238034001</v>
      </c>
      <c r="BZ26">
        <f t="shared" si="31"/>
        <v>11.059150037130657</v>
      </c>
      <c r="CA26" s="83">
        <v>7.3999999999999996E-2</v>
      </c>
      <c r="CB26" s="83">
        <v>0.10598661602459758</v>
      </c>
      <c r="CE26" s="83">
        <v>0.27200133089336231</v>
      </c>
      <c r="CF26" s="83">
        <v>0.57101000000000002</v>
      </c>
      <c r="CG26" s="83">
        <v>1.7603620305058181</v>
      </c>
      <c r="CH26" s="83">
        <v>4.0068041923140916</v>
      </c>
      <c r="CI26" s="8">
        <f t="shared" si="50"/>
        <v>3.4357941923140913</v>
      </c>
      <c r="CJ26" s="8">
        <f t="shared" si="51"/>
        <v>2.2464421618082735</v>
      </c>
      <c r="CK26" s="8" t="str">
        <f t="shared" si="52"/>
        <v/>
      </c>
      <c r="CL26" s="8">
        <f t="shared" si="53"/>
        <v>0.16601471486876473</v>
      </c>
      <c r="CM26" s="8" t="str">
        <f t="shared" si="54"/>
        <v/>
      </c>
      <c r="CN26" s="8" t="str">
        <f t="shared" si="55"/>
        <v/>
      </c>
      <c r="DA26" s="32" t="s">
        <v>74</v>
      </c>
      <c r="DE26">
        <v>2</v>
      </c>
      <c r="DF26">
        <v>9</v>
      </c>
      <c r="DG26" s="10">
        <v>0.12671062429573554</v>
      </c>
      <c r="DJ26" s="83">
        <v>0.13398140321217253</v>
      </c>
      <c r="DK26" s="83">
        <v>0.12454276258491535</v>
      </c>
      <c r="DL26" s="83">
        <f t="shared" si="56"/>
        <v>5.0371300801890015</v>
      </c>
      <c r="DM26" s="83">
        <f t="shared" si="57"/>
        <v>4.6822773955640979</v>
      </c>
      <c r="DN26" s="83">
        <v>0.28172699520279115</v>
      </c>
      <c r="DO26" s="83">
        <f t="shared" si="58"/>
        <v>10.591735031241363</v>
      </c>
      <c r="DP26" s="83">
        <v>2.012816990701606</v>
      </c>
      <c r="DQ26" s="83">
        <v>4.0202403762410723</v>
      </c>
      <c r="DR26" s="83">
        <v>4.9581472597761307</v>
      </c>
      <c r="DS26" s="8">
        <f t="shared" si="59"/>
        <v>2.9453302690745247</v>
      </c>
      <c r="DT26" s="8">
        <f t="shared" si="60"/>
        <v>0.93790688353505836</v>
      </c>
      <c r="DU26" s="8">
        <f t="shared" si="61"/>
        <v>5.9094576356772652</v>
      </c>
      <c r="DV26" s="8">
        <f t="shared" si="62"/>
        <v>5.5546049510523616</v>
      </c>
      <c r="DW26" s="8">
        <f t="shared" si="63"/>
        <v>0.15718423261787579</v>
      </c>
      <c r="DX26" s="8">
        <f t="shared" si="64"/>
        <v>0.14774559199061862</v>
      </c>
      <c r="EN26" s="50"/>
      <c r="EP26" s="10"/>
      <c r="EQ26" s="10"/>
      <c r="ER26" s="10"/>
      <c r="ES26" s="10"/>
      <c r="ET26" s="10"/>
      <c r="EU26" s="10"/>
      <c r="EV26" s="10"/>
      <c r="EW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V26" s="10"/>
      <c r="FW26" s="10"/>
    </row>
    <row r="27" spans="7:179" x14ac:dyDescent="0.2">
      <c r="G27" t="s">
        <v>5</v>
      </c>
      <c r="H27">
        <v>5</v>
      </c>
      <c r="I27">
        <v>3</v>
      </c>
      <c r="J27" s="8">
        <v>8.7723872636828801</v>
      </c>
      <c r="K27" s="8">
        <v>51.809436089844198</v>
      </c>
      <c r="L27" s="8">
        <v>39.418176646472901</v>
      </c>
      <c r="M27" s="83">
        <v>4.7199999999999999E-2</v>
      </c>
      <c r="N27" s="83">
        <v>0.40223999999999999</v>
      </c>
      <c r="O27" s="8">
        <v>5.8189999999999999E-2</v>
      </c>
      <c r="P27" s="8">
        <v>0.39962999999999999</v>
      </c>
      <c r="Q27">
        <f t="shared" si="0"/>
        <v>-1.099E-2</v>
      </c>
      <c r="R27">
        <f t="shared" si="1"/>
        <v>2.6100000000000012E-3</v>
      </c>
      <c r="S27" s="8">
        <v>1.4108293690328659</v>
      </c>
      <c r="T27" s="8">
        <v>1.6781246193980224</v>
      </c>
      <c r="U27" s="8">
        <v>1.7058033223932449</v>
      </c>
      <c r="V27">
        <f t="shared" si="2"/>
        <v>-0.16724219790753903</v>
      </c>
      <c r="W27">
        <f t="shared" si="3"/>
        <v>-1.7318104671995439E-2</v>
      </c>
      <c r="X27">
        <f t="shared" si="4"/>
        <v>-0.18456030257953446</v>
      </c>
      <c r="Y27" s="8">
        <f t="shared" ref="Y27:Y36" si="66">AVERAGE(S27:U27)</f>
        <v>1.5982524369413778</v>
      </c>
      <c r="Z27" s="8">
        <v>1.5547816917509649</v>
      </c>
      <c r="AA27" s="83">
        <v>0.14444677724123442</v>
      </c>
      <c r="AB27" s="83">
        <v>0.2668169860954529</v>
      </c>
      <c r="AC27" s="83">
        <f t="shared" si="5"/>
        <v>0.23086241373413124</v>
      </c>
      <c r="AD27" s="83">
        <f t="shared" si="6"/>
        <v>0.42644089824441128</v>
      </c>
      <c r="AE27" s="83">
        <f t="shared" si="32"/>
        <v>0.19557848451028004</v>
      </c>
      <c r="AF27" s="8">
        <v>0.52008399096167568</v>
      </c>
      <c r="AG27" s="8">
        <v>49.666260355468694</v>
      </c>
      <c r="AH27" s="8">
        <f t="shared" si="33"/>
        <v>49.146176364507021</v>
      </c>
      <c r="AI27" s="8">
        <f t="shared" si="34"/>
        <v>0.12237020885421848</v>
      </c>
      <c r="AJ27">
        <f t="shared" si="7"/>
        <v>0.39688587285231025</v>
      </c>
      <c r="AK27">
        <f t="shared" si="35"/>
        <v>0.41328992764114525</v>
      </c>
      <c r="AL27">
        <f t="shared" si="8"/>
        <v>0.36315490669203709</v>
      </c>
      <c r="AM27">
        <f t="shared" si="36"/>
        <v>0.36961358216964368</v>
      </c>
      <c r="AN27">
        <f t="shared" si="9"/>
        <v>0.24020755960618828</v>
      </c>
      <c r="AO27">
        <f t="shared" si="37"/>
        <v>0.23899539621942228</v>
      </c>
      <c r="AP27">
        <f t="shared" si="38"/>
        <v>0.12294734708584881</v>
      </c>
      <c r="AQ27">
        <f t="shared" si="39"/>
        <v>0.1306181859502214</v>
      </c>
      <c r="AR27">
        <f t="shared" si="40"/>
        <v>3.3730966160273157E-2</v>
      </c>
      <c r="AS27">
        <f t="shared" si="10"/>
        <v>157.0603309943377</v>
      </c>
      <c r="AT27">
        <f t="shared" si="11"/>
        <v>137.63078095004346</v>
      </c>
      <c r="AU27" s="24">
        <f t="shared" si="12"/>
        <v>0.15713717358400095</v>
      </c>
      <c r="AV27" s="24">
        <f t="shared" si="13"/>
        <v>0.16805120860278872</v>
      </c>
      <c r="AW27" s="24">
        <f t="shared" si="41"/>
        <v>6.363866532609034</v>
      </c>
      <c r="AX27" s="24">
        <f t="shared" si="14"/>
        <v>9.0574451097961112E-2</v>
      </c>
      <c r="AY27" s="24">
        <f t="shared" si="15"/>
        <v>9.3725894167982618E-2</v>
      </c>
      <c r="AZ27" s="24">
        <f t="shared" si="16"/>
        <v>2.7413196725569627E-3</v>
      </c>
      <c r="BA27" s="24">
        <f t="shared" si="42"/>
        <v>7.6147768682137849E-3</v>
      </c>
      <c r="BB27">
        <f t="shared" si="17"/>
        <v>0.23</v>
      </c>
      <c r="BC27">
        <f t="shared" si="18"/>
        <v>0.4</v>
      </c>
      <c r="BD27">
        <f t="shared" si="43"/>
        <v>0.17</v>
      </c>
      <c r="BE27">
        <f t="shared" si="19"/>
        <v>6.2239508473217027E-2</v>
      </c>
      <c r="BF27">
        <f t="shared" si="20"/>
        <v>-6.6951039331412847</v>
      </c>
      <c r="BG27">
        <f t="shared" si="44"/>
        <v>0.22</v>
      </c>
      <c r="BH27">
        <f t="shared" si="21"/>
        <v>0.39</v>
      </c>
      <c r="BI27">
        <f t="shared" si="22"/>
        <v>0.17</v>
      </c>
      <c r="BJ27">
        <f t="shared" si="23"/>
        <v>9.6681549592862681E-2</v>
      </c>
      <c r="BK27">
        <f t="shared" si="24"/>
        <v>0.2077447790172714</v>
      </c>
      <c r="BL27">
        <f t="shared" si="25"/>
        <v>0.3616164482967173</v>
      </c>
      <c r="BM27">
        <f t="shared" si="45"/>
        <v>0.1538716692794459</v>
      </c>
      <c r="BN27">
        <f t="shared" si="26"/>
        <v>0.19741612996002927</v>
      </c>
      <c r="BO27">
        <f t="shared" si="27"/>
        <v>0.3540655798571426</v>
      </c>
      <c r="BP27">
        <f t="shared" si="46"/>
        <v>0.15664944989711332</v>
      </c>
      <c r="BQ27">
        <v>72</v>
      </c>
      <c r="BR27" s="10">
        <v>5</v>
      </c>
      <c r="BS27" s="10">
        <f t="shared" si="47"/>
        <v>152</v>
      </c>
      <c r="BT27" s="10">
        <v>4</v>
      </c>
      <c r="BU27" s="10">
        <f t="shared" si="48"/>
        <v>122</v>
      </c>
      <c r="BV27">
        <f t="shared" si="49"/>
        <v>20.244480457494443</v>
      </c>
      <c r="BW27">
        <f t="shared" si="28"/>
        <v>19.965538000308484</v>
      </c>
      <c r="BX27">
        <f t="shared" si="29"/>
        <v>17.906176047857375</v>
      </c>
      <c r="BY27">
        <f t="shared" si="30"/>
        <v>18.219413238034001</v>
      </c>
      <c r="BZ27">
        <f t="shared" si="31"/>
        <v>11.059150037130657</v>
      </c>
      <c r="CA27" s="83">
        <v>0.15606820461384155</v>
      </c>
      <c r="CB27" s="83">
        <v>0.13696338970451599</v>
      </c>
      <c r="CE27" s="83">
        <v>0.27328396468242661</v>
      </c>
      <c r="CF27" s="83">
        <v>0.63824598796389176</v>
      </c>
      <c r="CG27" s="83">
        <v>1.0469537880195752</v>
      </c>
      <c r="CH27" s="83">
        <v>3.0633090050318046</v>
      </c>
      <c r="CI27" s="8">
        <f t="shared" si="50"/>
        <v>2.4250630170679131</v>
      </c>
      <c r="CJ27" s="8">
        <f t="shared" si="51"/>
        <v>2.0163552170122294</v>
      </c>
      <c r="CK27" s="8" t="str">
        <f t="shared" si="52"/>
        <v/>
      </c>
      <c r="CL27" s="8">
        <f t="shared" si="53"/>
        <v>0.13632057497791061</v>
      </c>
      <c r="CM27" s="8" t="str">
        <f t="shared" si="54"/>
        <v/>
      </c>
      <c r="CN27" s="8" t="str">
        <f t="shared" si="55"/>
        <v/>
      </c>
      <c r="DA27" t="s">
        <v>75</v>
      </c>
      <c r="DE27">
        <v>2</v>
      </c>
      <c r="DF27">
        <v>10</v>
      </c>
      <c r="DG27" s="10">
        <v>0.14160619091089141</v>
      </c>
      <c r="DJ27" s="83">
        <v>7.3999999999999996E-2</v>
      </c>
      <c r="DK27" s="83">
        <v>0.10598661602459758</v>
      </c>
      <c r="DL27" s="83">
        <f t="shared" si="56"/>
        <v>3.6753032663046832</v>
      </c>
      <c r="DM27" s="83">
        <f t="shared" si="57"/>
        <v>5.2639588656727536</v>
      </c>
      <c r="DN27" s="83">
        <v>0.27200133089336231</v>
      </c>
      <c r="DO27" s="83">
        <f t="shared" si="58"/>
        <v>13.509288917183722</v>
      </c>
      <c r="DP27" s="83">
        <v>0.57101000000000002</v>
      </c>
      <c r="DQ27" s="83">
        <v>1.7603620305058181</v>
      </c>
      <c r="DR27" s="83">
        <v>4.0068041923140916</v>
      </c>
      <c r="DS27" s="8">
        <f t="shared" si="59"/>
        <v>3.4357941923140913</v>
      </c>
      <c r="DT27" s="8">
        <f t="shared" si="60"/>
        <v>2.2464421618082735</v>
      </c>
      <c r="DU27" s="8">
        <f t="shared" si="61"/>
        <v>8.2453300515109689</v>
      </c>
      <c r="DV27" s="8">
        <f t="shared" si="62"/>
        <v>9.8339856508790398</v>
      </c>
      <c r="DW27" s="8">
        <f t="shared" si="63"/>
        <v>0.16601471486876473</v>
      </c>
      <c r="DX27" s="8">
        <f t="shared" si="64"/>
        <v>0.1980013308933623</v>
      </c>
      <c r="EN27" s="50"/>
      <c r="EP27" s="10"/>
      <c r="EQ27" s="10"/>
      <c r="ER27" s="10"/>
      <c r="ES27" s="10"/>
      <c r="ET27" s="10"/>
      <c r="EU27" s="10"/>
      <c r="EV27" s="10"/>
      <c r="EW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V27" s="10"/>
      <c r="FW27" s="10"/>
    </row>
    <row r="28" spans="7:179" x14ac:dyDescent="0.2">
      <c r="G28" t="s">
        <v>5</v>
      </c>
      <c r="H28">
        <v>5</v>
      </c>
      <c r="I28">
        <v>4</v>
      </c>
      <c r="J28" s="8">
        <v>9.7988106467066007</v>
      </c>
      <c r="K28" s="8">
        <v>59.061972811884502</v>
      </c>
      <c r="L28" s="8">
        <v>31.139216541408899</v>
      </c>
      <c r="M28" s="83">
        <v>5.076E-2</v>
      </c>
      <c r="N28" s="83">
        <v>0.30521500000000001</v>
      </c>
      <c r="O28" s="8">
        <v>4.1840000000000002E-2</v>
      </c>
      <c r="P28" s="8">
        <v>0.38697999999999999</v>
      </c>
      <c r="Q28">
        <f t="shared" si="0"/>
        <v>8.9199999999999974E-3</v>
      </c>
      <c r="R28">
        <f t="shared" si="1"/>
        <v>-8.1764999999999977E-2</v>
      </c>
      <c r="S28" s="8">
        <v>1.6787093079525017</v>
      </c>
      <c r="T28" s="8">
        <v>1.7310069352403736</v>
      </c>
      <c r="U28" s="8">
        <v>1.7184098762198057</v>
      </c>
      <c r="V28">
        <f t="shared" si="2"/>
        <v>-3.0594583325416438E-2</v>
      </c>
      <c r="W28">
        <f t="shared" si="3"/>
        <v>7.3693930651674497E-3</v>
      </c>
      <c r="X28">
        <f t="shared" si="4"/>
        <v>-2.3225190260248989E-2</v>
      </c>
      <c r="Y28" s="8">
        <f t="shared" si="66"/>
        <v>1.7093753731375603</v>
      </c>
      <c r="AA28" s="83">
        <v>0.17732320280537681</v>
      </c>
      <c r="AB28" s="83"/>
      <c r="AC28" s="83">
        <f t="shared" si="5"/>
        <v>0.30311191596138826</v>
      </c>
      <c r="AD28" s="83" t="str">
        <f t="shared" si="6"/>
        <v/>
      </c>
      <c r="AE28" s="83" t="str">
        <f t="shared" si="32"/>
        <v/>
      </c>
      <c r="AF28" s="8">
        <v>8.8624797696757742</v>
      </c>
      <c r="AG28" s="8"/>
      <c r="AH28" s="8" t="str">
        <f t="shared" si="33"/>
        <v/>
      </c>
      <c r="AI28" s="8" t="str">
        <f t="shared" si="34"/>
        <v/>
      </c>
      <c r="AJ28">
        <f t="shared" si="7"/>
        <v>0.35495268938205271</v>
      </c>
      <c r="AK28" t="str">
        <f t="shared" si="35"/>
        <v/>
      </c>
      <c r="AL28">
        <f t="shared" si="8"/>
        <v>0.3229946066054174</v>
      </c>
      <c r="AM28" t="str">
        <f t="shared" si="36"/>
        <v/>
      </c>
      <c r="AN28">
        <f t="shared" si="9"/>
        <v>0.19670478554518256</v>
      </c>
      <c r="AO28" t="str">
        <f t="shared" si="37"/>
        <v/>
      </c>
      <c r="AP28">
        <f t="shared" si="38"/>
        <v>0.12628982106023484</v>
      </c>
      <c r="AQ28" t="str">
        <f t="shared" si="39"/>
        <v/>
      </c>
      <c r="AR28">
        <f t="shared" si="40"/>
        <v>3.195808277663531E-2</v>
      </c>
      <c r="AS28">
        <f t="shared" si="10"/>
        <v>173.91015477924384</v>
      </c>
      <c r="AT28" t="str">
        <f t="shared" si="11"/>
        <v/>
      </c>
      <c r="AU28" s="24">
        <f t="shared" si="12"/>
        <v>0.19419962162785079</v>
      </c>
      <c r="AV28" s="24" t="str">
        <f t="shared" si="13"/>
        <v/>
      </c>
      <c r="AW28" s="24">
        <f t="shared" si="41"/>
        <v>5.1493406198098732</v>
      </c>
      <c r="AX28" s="24">
        <f t="shared" si="14"/>
        <v>8.1734997034661486E-2</v>
      </c>
      <c r="AY28" s="24" t="str">
        <f t="shared" si="15"/>
        <v/>
      </c>
      <c r="AZ28" s="24">
        <f t="shared" si="16"/>
        <v>3.159065925746845E-3</v>
      </c>
      <c r="BA28" s="24">
        <f t="shared" si="42"/>
        <v>8.7751831270745685E-3</v>
      </c>
      <c r="BB28">
        <f t="shared" si="17"/>
        <v>0.19</v>
      </c>
      <c r="BC28">
        <f t="shared" si="18"/>
        <v>0.36</v>
      </c>
      <c r="BD28">
        <f t="shared" si="43"/>
        <v>0.16999999999999998</v>
      </c>
      <c r="BE28">
        <f t="shared" si="19"/>
        <v>0.11166449402623711</v>
      </c>
      <c r="BF28">
        <f t="shared" si="20"/>
        <v>-5.3967923672542009</v>
      </c>
      <c r="BG28">
        <f t="shared" si="44"/>
        <v>0.17</v>
      </c>
      <c r="BH28">
        <f t="shared" si="21"/>
        <v>0.35</v>
      </c>
      <c r="BI28">
        <f t="shared" si="22"/>
        <v>0.17999999999999997</v>
      </c>
      <c r="BJ28">
        <f t="shared" si="23"/>
        <v>5.3343604476351447E-2</v>
      </c>
      <c r="BK28">
        <f t="shared" si="24"/>
        <v>0.23414758865748436</v>
      </c>
      <c r="BL28">
        <f t="shared" si="25"/>
        <v>0.32495268938205268</v>
      </c>
      <c r="BM28">
        <f t="shared" si="45"/>
        <v>9.0805100724568322E-2</v>
      </c>
      <c r="BN28" t="str">
        <f t="shared" si="26"/>
        <v/>
      </c>
      <c r="BO28" t="str">
        <f t="shared" si="27"/>
        <v/>
      </c>
      <c r="BP28" t="str">
        <f t="shared" si="46"/>
        <v/>
      </c>
      <c r="BQ28">
        <v>72</v>
      </c>
      <c r="BR28" s="10">
        <v>5</v>
      </c>
      <c r="BS28" s="10">
        <f t="shared" si="47"/>
        <v>152</v>
      </c>
      <c r="BT28" s="10">
        <v>4</v>
      </c>
      <c r="BU28" s="10">
        <f t="shared" si="48"/>
        <v>122</v>
      </c>
      <c r="BV28">
        <f t="shared" si="49"/>
        <v>20.244480457494443</v>
      </c>
      <c r="BW28">
        <f t="shared" si="28"/>
        <v>19.965538000308484</v>
      </c>
      <c r="BX28">
        <f t="shared" si="29"/>
        <v>17.906176047857375</v>
      </c>
      <c r="BY28">
        <f t="shared" si="30"/>
        <v>18.219413238034001</v>
      </c>
      <c r="BZ28">
        <f t="shared" si="31"/>
        <v>11.059150037130657</v>
      </c>
      <c r="CA28" s="83">
        <v>0.1895</v>
      </c>
      <c r="CB28" s="83">
        <v>0.17605371130175304</v>
      </c>
      <c r="CE28" s="83"/>
      <c r="CF28" s="83">
        <v>2.5375999999999999</v>
      </c>
      <c r="CG28" s="83">
        <v>1.7003776575904515</v>
      </c>
      <c r="CH28" s="83"/>
      <c r="CI28" s="8" t="str">
        <f t="shared" si="50"/>
        <v/>
      </c>
      <c r="CJ28" s="8" t="str">
        <f t="shared" si="51"/>
        <v/>
      </c>
      <c r="CK28" s="8" t="str">
        <f t="shared" si="52"/>
        <v/>
      </c>
      <c r="CL28" s="8" t="str">
        <f t="shared" si="53"/>
        <v/>
      </c>
      <c r="CM28" s="8" t="str">
        <f t="shared" si="54"/>
        <v/>
      </c>
      <c r="CN28" s="8" t="str">
        <f t="shared" si="55"/>
        <v/>
      </c>
      <c r="DA28" t="s">
        <v>76</v>
      </c>
      <c r="DE28">
        <v>2</v>
      </c>
      <c r="DF28">
        <v>11</v>
      </c>
      <c r="DG28" s="10">
        <v>0.14632850393426172</v>
      </c>
      <c r="DJ28" s="83">
        <v>0.15606820461384155</v>
      </c>
      <c r="DK28" s="83">
        <v>0.13696338970451599</v>
      </c>
      <c r="DL28" s="83" t="str">
        <f t="shared" si="56"/>
        <v/>
      </c>
      <c r="DM28" s="83" t="str">
        <f t="shared" si="57"/>
        <v/>
      </c>
      <c r="DN28" s="83">
        <v>0.27328396468242661</v>
      </c>
      <c r="DO28" s="83" t="str">
        <f t="shared" si="58"/>
        <v/>
      </c>
      <c r="DP28" s="83">
        <v>0.63824598796389176</v>
      </c>
      <c r="DQ28" s="83">
        <v>1.0469537880195752</v>
      </c>
      <c r="DR28" s="83">
        <v>3.0633090050318046</v>
      </c>
      <c r="DS28" s="8">
        <f t="shared" si="59"/>
        <v>2.4250630170679131</v>
      </c>
      <c r="DT28" s="8">
        <f t="shared" si="60"/>
        <v>2.0163552170122294</v>
      </c>
      <c r="DU28" s="8" t="str">
        <f t="shared" si="61"/>
        <v/>
      </c>
      <c r="DV28" s="8" t="str">
        <f t="shared" si="62"/>
        <v/>
      </c>
      <c r="DW28" s="8">
        <f t="shared" si="63"/>
        <v>0.13632057497791061</v>
      </c>
      <c r="DX28" s="8">
        <f t="shared" si="64"/>
        <v>0.11721576006858506</v>
      </c>
      <c r="EN28" s="51"/>
      <c r="EP28" s="10"/>
      <c r="EQ28" s="10"/>
      <c r="ER28" s="10"/>
      <c r="ES28" s="10"/>
      <c r="ET28" s="10"/>
      <c r="EU28" s="10"/>
      <c r="EV28" s="10"/>
      <c r="EW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V28" s="10"/>
      <c r="FW28" s="10"/>
    </row>
    <row r="29" spans="7:179" x14ac:dyDescent="0.2">
      <c r="G29" t="s">
        <v>5</v>
      </c>
      <c r="H29">
        <v>5</v>
      </c>
      <c r="I29">
        <v>5</v>
      </c>
      <c r="J29" s="8">
        <v>9.3722089073571908</v>
      </c>
      <c r="K29" s="8">
        <v>47.795575633223301</v>
      </c>
      <c r="L29" s="8">
        <v>42.832215459419501</v>
      </c>
      <c r="M29" s="83">
        <v>7.4020000000000002E-2</v>
      </c>
      <c r="N29" s="83">
        <v>0.39373000000000002</v>
      </c>
      <c r="O29" s="8">
        <v>5.6770000000000001E-2</v>
      </c>
      <c r="P29" s="8">
        <v>0.43406</v>
      </c>
      <c r="Q29">
        <f t="shared" si="0"/>
        <v>1.7250000000000001E-2</v>
      </c>
      <c r="R29">
        <f t="shared" si="1"/>
        <v>-4.0329999999999977E-2</v>
      </c>
      <c r="S29" s="8">
        <v>1.7348552359355764</v>
      </c>
      <c r="T29" s="8">
        <v>1.7665183046393165</v>
      </c>
      <c r="U29" s="8">
        <v>1.7799423982720064</v>
      </c>
      <c r="V29">
        <f t="shared" si="2"/>
        <v>-1.7985897304973509E-2</v>
      </c>
      <c r="W29">
        <f t="shared" si="3"/>
        <v>-7.6254254364609489E-3</v>
      </c>
      <c r="X29">
        <f t="shared" si="4"/>
        <v>-2.5611322741434458E-2</v>
      </c>
      <c r="Y29" s="8">
        <f t="shared" si="66"/>
        <v>1.7604386462822996</v>
      </c>
      <c r="AA29" s="83">
        <v>0.19106753812636143</v>
      </c>
      <c r="AB29" s="83"/>
      <c r="AC29" s="83">
        <f t="shared" si="5"/>
        <v>0.33636267816766341</v>
      </c>
      <c r="AD29" s="83" t="str">
        <f t="shared" si="6"/>
        <v/>
      </c>
      <c r="AE29" s="83" t="str">
        <f t="shared" si="32"/>
        <v/>
      </c>
      <c r="AF29" s="8">
        <v>10.13209459278597</v>
      </c>
      <c r="AG29" s="8"/>
      <c r="AH29" s="8" t="str">
        <f t="shared" si="33"/>
        <v/>
      </c>
      <c r="AI29" s="8" t="str">
        <f t="shared" si="34"/>
        <v/>
      </c>
      <c r="AJ29">
        <f t="shared" si="7"/>
        <v>0.33568352970479254</v>
      </c>
      <c r="AK29" t="str">
        <f t="shared" si="35"/>
        <v/>
      </c>
      <c r="AL29">
        <f t="shared" si="8"/>
        <v>0.33243700146706612</v>
      </c>
      <c r="AM29" t="str">
        <f t="shared" si="36"/>
        <v/>
      </c>
      <c r="AN29">
        <f t="shared" si="9"/>
        <v>0.2535878835866559</v>
      </c>
      <c r="AO29" t="str">
        <f t="shared" si="37"/>
        <v/>
      </c>
      <c r="AP29">
        <f t="shared" si="38"/>
        <v>7.8849117880410213E-2</v>
      </c>
      <c r="AQ29" t="str">
        <f t="shared" si="39"/>
        <v/>
      </c>
      <c r="AR29">
        <f t="shared" si="40"/>
        <v>3.2465282377264204E-3</v>
      </c>
      <c r="AS29">
        <f t="shared" si="10"/>
        <v>289.50644381187391</v>
      </c>
      <c r="AT29" t="str">
        <f t="shared" si="11"/>
        <v/>
      </c>
      <c r="AU29" s="24">
        <f t="shared" si="12"/>
        <v>9.5322278378880798E-2</v>
      </c>
      <c r="AV29" s="24" t="str">
        <f t="shared" si="13"/>
        <v/>
      </c>
      <c r="AW29" s="24">
        <f t="shared" si="41"/>
        <v>10.490727005341448</v>
      </c>
      <c r="AX29" s="24">
        <f t="shared" si="14"/>
        <v>7.3900179902361876E-2</v>
      </c>
      <c r="AY29" s="24" t="str">
        <f t="shared" si="15"/>
        <v/>
      </c>
      <c r="AZ29" s="24">
        <f t="shared" si="16"/>
        <v>1.5724228955622829E-4</v>
      </c>
      <c r="BA29" s="24">
        <f t="shared" si="42"/>
        <v>4.3678413765618974E-4</v>
      </c>
      <c r="BB29">
        <f t="shared" si="17"/>
        <v>0.25</v>
      </c>
      <c r="BC29">
        <f t="shared" si="18"/>
        <v>0.41</v>
      </c>
      <c r="BD29">
        <f t="shared" si="43"/>
        <v>0.15999999999999998</v>
      </c>
      <c r="BE29">
        <f t="shared" si="19"/>
        <v>4.7009138990147102E-2</v>
      </c>
      <c r="BF29">
        <f t="shared" si="20"/>
        <v>-7.3438879171392086</v>
      </c>
      <c r="BG29">
        <f t="shared" si="44"/>
        <v>0.24</v>
      </c>
      <c r="BH29">
        <f t="shared" si="21"/>
        <v>0.41</v>
      </c>
      <c r="BI29">
        <f t="shared" si="22"/>
        <v>0.16999999999999998</v>
      </c>
      <c r="BJ29">
        <f t="shared" si="23"/>
        <v>3.3428927949903042E-2</v>
      </c>
      <c r="BK29">
        <f t="shared" si="24"/>
        <v>0.24628022235667441</v>
      </c>
      <c r="BL29">
        <f t="shared" si="25"/>
        <v>0.30568352970479251</v>
      </c>
      <c r="BM29">
        <f t="shared" si="45"/>
        <v>5.9403307348118106E-2</v>
      </c>
      <c r="BN29" t="str">
        <f t="shared" si="26"/>
        <v/>
      </c>
      <c r="BO29" t="str">
        <f t="shared" si="27"/>
        <v/>
      </c>
      <c r="BP29" t="str">
        <f t="shared" si="46"/>
        <v/>
      </c>
      <c r="BQ29">
        <v>72</v>
      </c>
      <c r="BR29" s="10">
        <v>5</v>
      </c>
      <c r="BS29" s="10">
        <f t="shared" si="47"/>
        <v>152</v>
      </c>
      <c r="BT29" s="10">
        <v>4</v>
      </c>
      <c r="BU29" s="10">
        <f t="shared" si="48"/>
        <v>122</v>
      </c>
      <c r="BV29">
        <f t="shared" si="49"/>
        <v>20.244480457494443</v>
      </c>
      <c r="BW29">
        <f t="shared" si="28"/>
        <v>19.965538000308484</v>
      </c>
      <c r="BX29">
        <f t="shared" si="29"/>
        <v>17.906176047857375</v>
      </c>
      <c r="BY29">
        <f t="shared" si="30"/>
        <v>18.219413238034001</v>
      </c>
      <c r="BZ29">
        <f t="shared" si="31"/>
        <v>11.059150037130657</v>
      </c>
      <c r="CA29" s="83">
        <v>0.18704180701406772</v>
      </c>
      <c r="CB29" s="83">
        <v>0.20035193564605325</v>
      </c>
      <c r="CE29" s="83"/>
      <c r="CF29" s="83">
        <v>3.1456607885872794</v>
      </c>
      <c r="CG29" s="83">
        <v>2.1856408161555221</v>
      </c>
      <c r="CH29" s="83"/>
      <c r="CI29" s="8" t="str">
        <f t="shared" si="50"/>
        <v/>
      </c>
      <c r="CJ29" s="8" t="str">
        <f t="shared" si="51"/>
        <v/>
      </c>
      <c r="CK29" s="8" t="str">
        <f t="shared" si="52"/>
        <v/>
      </c>
      <c r="CL29" s="8" t="str">
        <f t="shared" si="53"/>
        <v/>
      </c>
      <c r="CM29" s="8" t="str">
        <f t="shared" si="54"/>
        <v/>
      </c>
      <c r="CN29" s="8" t="str">
        <f t="shared" si="55"/>
        <v/>
      </c>
      <c r="DA29" t="s">
        <v>117</v>
      </c>
      <c r="DE29">
        <v>2</v>
      </c>
      <c r="DF29">
        <v>12</v>
      </c>
      <c r="DG29" s="10">
        <v>0.14700059944742122</v>
      </c>
      <c r="DJ29" s="83">
        <v>0.1895</v>
      </c>
      <c r="DK29" s="83">
        <v>0.17605371130175304</v>
      </c>
      <c r="DL29" s="83" t="str">
        <f t="shared" si="56"/>
        <v/>
      </c>
      <c r="DM29" s="83" t="str">
        <f t="shared" si="57"/>
        <v/>
      </c>
      <c r="DN29" s="83"/>
      <c r="DO29" s="83" t="str">
        <f t="shared" si="58"/>
        <v/>
      </c>
      <c r="DP29" s="83">
        <v>2.5375999999999999</v>
      </c>
      <c r="DQ29" s="83">
        <v>1.7003776575904515</v>
      </c>
      <c r="DR29" s="83"/>
      <c r="DS29" s="8" t="str">
        <f t="shared" si="59"/>
        <v/>
      </c>
      <c r="DT29" s="8" t="str">
        <f t="shared" si="60"/>
        <v/>
      </c>
      <c r="DU29" s="8" t="str">
        <f t="shared" si="61"/>
        <v/>
      </c>
      <c r="DV29" s="8" t="str">
        <f t="shared" si="62"/>
        <v/>
      </c>
      <c r="DW29" s="8" t="str">
        <f t="shared" si="63"/>
        <v/>
      </c>
      <c r="DX29" s="8" t="str">
        <f t="shared" si="64"/>
        <v/>
      </c>
      <c r="EN29" s="50"/>
      <c r="EP29" s="10"/>
      <c r="EQ29" s="10"/>
      <c r="ER29" s="10"/>
      <c r="ES29" s="10"/>
      <c r="ET29" s="10"/>
      <c r="EU29" s="10"/>
      <c r="EV29" s="10"/>
      <c r="EW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V29" s="10"/>
      <c r="FW29" s="10"/>
    </row>
    <row r="30" spans="7:179" x14ac:dyDescent="0.2">
      <c r="G30" t="s">
        <v>5</v>
      </c>
      <c r="H30">
        <v>6</v>
      </c>
      <c r="I30">
        <v>1</v>
      </c>
      <c r="J30" s="8">
        <v>8.4303476742636043</v>
      </c>
      <c r="K30" s="8">
        <v>59.3870657348997</v>
      </c>
      <c r="L30" s="8">
        <v>32.182586590836699</v>
      </c>
      <c r="M30" s="83">
        <v>0.14713999999999999</v>
      </c>
      <c r="N30" s="83">
        <v>1.764</v>
      </c>
      <c r="O30" s="8">
        <v>0.15840666666666667</v>
      </c>
      <c r="P30" s="8">
        <v>2.0004666666666666</v>
      </c>
      <c r="Q30">
        <f t="shared" si="0"/>
        <v>-1.1266666666666675E-2</v>
      </c>
      <c r="R30">
        <f t="shared" si="1"/>
        <v>-0.2364666666666666</v>
      </c>
      <c r="S30" s="8">
        <v>1.391103305783997</v>
      </c>
      <c r="T30" s="8">
        <v>1.2260557477188372</v>
      </c>
      <c r="U30" s="8">
        <v>1.323103727179866</v>
      </c>
      <c r="V30">
        <f t="shared" si="2"/>
        <v>0.12566234836492041</v>
      </c>
      <c r="W30">
        <f t="shared" si="3"/>
        <v>-7.3889472501791398E-2</v>
      </c>
      <c r="X30">
        <f t="shared" si="4"/>
        <v>5.1772875863128995E-2</v>
      </c>
      <c r="Y30" s="8">
        <f t="shared" si="66"/>
        <v>1.3134209268942334</v>
      </c>
      <c r="Z30" s="8">
        <v>1.0527804754152783</v>
      </c>
      <c r="AA30" s="83">
        <v>0.11028980405960313</v>
      </c>
      <c r="AB30" s="83">
        <v>0.26212999694842859</v>
      </c>
      <c r="AC30" s="83">
        <f t="shared" si="5"/>
        <v>0.14485693667494734</v>
      </c>
      <c r="AD30" s="83">
        <f t="shared" si="6"/>
        <v>0.34428702355878765</v>
      </c>
      <c r="AE30" s="83">
        <f t="shared" si="32"/>
        <v>0.19943008688384031</v>
      </c>
      <c r="AF30" s="8">
        <v>3.549105941296717</v>
      </c>
      <c r="AG30" s="8">
        <v>32.636966917623241</v>
      </c>
      <c r="AH30" s="8">
        <f t="shared" si="33"/>
        <v>29.087860976326525</v>
      </c>
      <c r="AI30" s="8">
        <f t="shared" si="34"/>
        <v>0.15184019288882544</v>
      </c>
      <c r="AJ30">
        <f t="shared" si="7"/>
        <v>0.50436946154934592</v>
      </c>
      <c r="AK30">
        <f t="shared" si="35"/>
        <v>0.60272434889989501</v>
      </c>
      <c r="AL30">
        <f t="shared" si="8"/>
        <v>0.36201912300462008</v>
      </c>
      <c r="AM30">
        <f t="shared" si="36"/>
        <v>0.37026922617797076</v>
      </c>
      <c r="AN30">
        <f t="shared" si="9"/>
        <v>0.19600773457879855</v>
      </c>
      <c r="AO30">
        <f t="shared" si="37"/>
        <v>0.19257201057575329</v>
      </c>
      <c r="AP30">
        <f t="shared" si="38"/>
        <v>0.16601138842582153</v>
      </c>
      <c r="AQ30">
        <f t="shared" si="39"/>
        <v>0.17769721560221746</v>
      </c>
      <c r="AR30">
        <f t="shared" si="40"/>
        <v>0.14235033854472584</v>
      </c>
      <c r="AS30">
        <f t="shared" si="10"/>
        <v>62.750700344351309</v>
      </c>
      <c r="AT30">
        <f t="shared" si="11"/>
        <v>36.999648889476802</v>
      </c>
      <c r="AU30" s="24">
        <f t="shared" si="12"/>
        <v>0.25993620586068195</v>
      </c>
      <c r="AV30" s="24">
        <f t="shared" si="13"/>
        <v>0.28568701728874157</v>
      </c>
      <c r="AW30" s="24">
        <f t="shared" si="41"/>
        <v>3.8470977780447031</v>
      </c>
      <c r="AX30" s="24">
        <f t="shared" si="14"/>
        <v>9.8175403578014075E-2</v>
      </c>
      <c r="AY30" s="24">
        <f t="shared" si="15"/>
        <v>0.10261787955188639</v>
      </c>
      <c r="AZ30" s="24">
        <f t="shared" si="16"/>
        <v>8.8679989076220031E-2</v>
      </c>
      <c r="BA30" s="24">
        <f t="shared" si="42"/>
        <v>0.2463333029895001</v>
      </c>
      <c r="BB30">
        <f t="shared" si="17"/>
        <v>0.24</v>
      </c>
      <c r="BC30">
        <f t="shared" si="18"/>
        <v>0.43</v>
      </c>
      <c r="BD30">
        <f t="shared" si="43"/>
        <v>0.19</v>
      </c>
      <c r="BE30">
        <f t="shared" si="19"/>
        <v>0.10811329631717034</v>
      </c>
      <c r="BF30">
        <f t="shared" si="20"/>
        <v>-5.5189833875528214</v>
      </c>
      <c r="BG30">
        <f t="shared" si="44"/>
        <v>0.18</v>
      </c>
      <c r="BH30">
        <f t="shared" si="21"/>
        <v>0.35</v>
      </c>
      <c r="BI30">
        <f t="shared" si="22"/>
        <v>0.16999999999999998</v>
      </c>
      <c r="BJ30">
        <f t="shared" si="23"/>
        <v>0.20776583851124897</v>
      </c>
      <c r="BK30">
        <f t="shared" si="24"/>
        <v>0.14006881223006989</v>
      </c>
      <c r="BL30">
        <f t="shared" si="25"/>
        <v>0.31214121500152836</v>
      </c>
      <c r="BM30">
        <f t="shared" si="45"/>
        <v>0.17207240277145847</v>
      </c>
      <c r="BN30">
        <f t="shared" si="26"/>
        <v>7.8140640958670127E-2</v>
      </c>
      <c r="BO30">
        <f t="shared" si="27"/>
        <v>0.26686796857963385</v>
      </c>
      <c r="BP30">
        <f t="shared" si="46"/>
        <v>0.18872732762096373</v>
      </c>
      <c r="BQ30">
        <v>53</v>
      </c>
      <c r="BR30" s="10">
        <v>4</v>
      </c>
      <c r="BS30" s="10">
        <f t="shared" si="47"/>
        <v>122</v>
      </c>
      <c r="BT30" s="10">
        <v>3</v>
      </c>
      <c r="BU30" s="10">
        <f t="shared" si="48"/>
        <v>91</v>
      </c>
      <c r="BV30">
        <f t="shared" si="49"/>
        <v>15.901684578504812</v>
      </c>
      <c r="BW30">
        <f t="shared" si="28"/>
        <v>14.7600023337094</v>
      </c>
      <c r="BX30">
        <f t="shared" si="29"/>
        <v>12.820814235840906</v>
      </c>
      <c r="BY30">
        <f t="shared" si="30"/>
        <v>12.551553017597906</v>
      </c>
      <c r="BZ30">
        <f t="shared" si="31"/>
        <v>8.3406152744580488</v>
      </c>
      <c r="CA30" s="83">
        <v>0.15044713308784827</v>
      </c>
      <c r="CB30" s="83">
        <v>0.12730903644533223</v>
      </c>
      <c r="CE30" s="83">
        <v>0.27558756633813514</v>
      </c>
      <c r="CF30" s="83">
        <v>5.8049644923724353</v>
      </c>
      <c r="CG30" s="83">
        <v>8.7272507904809462</v>
      </c>
      <c r="CH30" s="83">
        <v>5.1103226876421539</v>
      </c>
      <c r="CI30" s="8">
        <f t="shared" si="50"/>
        <v>-0.69464180473028136</v>
      </c>
      <c r="CJ30" s="8">
        <f t="shared" si="51"/>
        <v>-3.6169281028387923</v>
      </c>
      <c r="CK30" s="8" t="str">
        <f t="shared" si="52"/>
        <v/>
      </c>
      <c r="CL30" s="8">
        <f t="shared" si="53"/>
        <v>0.14827852989280291</v>
      </c>
      <c r="CM30" s="8" t="str">
        <f t="shared" si="54"/>
        <v/>
      </c>
      <c r="CN30" s="8" t="str">
        <f t="shared" si="55"/>
        <v/>
      </c>
      <c r="DE30">
        <v>3</v>
      </c>
      <c r="DF30">
        <v>1</v>
      </c>
      <c r="DG30" s="10">
        <v>0.12237853785661276</v>
      </c>
      <c r="DJ30" s="83">
        <v>0.18704180701406772</v>
      </c>
      <c r="DK30" s="83">
        <v>0.20035193564605325</v>
      </c>
      <c r="DL30" s="83">
        <f t="shared" si="56"/>
        <v>6.1044772677305987</v>
      </c>
      <c r="DM30" s="83">
        <f t="shared" si="57"/>
        <v>6.5388794955620204</v>
      </c>
      <c r="DN30" s="83"/>
      <c r="DO30" s="83" t="str">
        <f t="shared" si="58"/>
        <v/>
      </c>
      <c r="DP30" s="83">
        <v>3.1456607885872794</v>
      </c>
      <c r="DQ30" s="83">
        <v>2.1856408161555221</v>
      </c>
      <c r="DR30" s="83"/>
      <c r="DS30" s="8" t="str">
        <f t="shared" si="59"/>
        <v/>
      </c>
      <c r="DT30" s="8" t="str">
        <f t="shared" si="60"/>
        <v/>
      </c>
      <c r="DU30" s="8" t="str">
        <f t="shared" si="61"/>
        <v/>
      </c>
      <c r="DV30" s="8" t="str">
        <f t="shared" si="62"/>
        <v/>
      </c>
      <c r="DW30" s="8" t="str">
        <f t="shared" si="63"/>
        <v/>
      </c>
      <c r="DX30" s="8" t="str">
        <f t="shared" si="64"/>
        <v/>
      </c>
      <c r="EN30" s="50"/>
      <c r="EP30" s="10"/>
      <c r="EQ30" s="10"/>
      <c r="ER30" s="10"/>
      <c r="ES30" s="10"/>
      <c r="ET30" s="10"/>
      <c r="EU30" s="10"/>
      <c r="EV30" s="10"/>
      <c r="EW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V30" s="10"/>
      <c r="FW30" s="10"/>
    </row>
    <row r="31" spans="7:179" x14ac:dyDescent="0.2">
      <c r="G31" t="s">
        <v>5</v>
      </c>
      <c r="H31">
        <v>6</v>
      </c>
      <c r="I31">
        <v>2</v>
      </c>
      <c r="J31" s="8">
        <v>10.980682950722599</v>
      </c>
      <c r="K31" s="8">
        <v>64.288119623523002</v>
      </c>
      <c r="L31" s="8">
        <v>24.731197425754399</v>
      </c>
      <c r="M31" s="83">
        <v>5.1700000000000003E-2</v>
      </c>
      <c r="N31" s="83">
        <v>0.49513000000000001</v>
      </c>
      <c r="O31" s="8">
        <v>4.8460000000000003E-2</v>
      </c>
      <c r="P31" s="8">
        <v>0.49469999999999997</v>
      </c>
      <c r="Q31">
        <f t="shared" si="0"/>
        <v>3.2399999999999998E-3</v>
      </c>
      <c r="R31">
        <f t="shared" si="1"/>
        <v>4.3000000000004146E-4</v>
      </c>
      <c r="S31" s="8">
        <v>1.5187762516359649</v>
      </c>
      <c r="T31" s="8">
        <v>1.5544365660950863</v>
      </c>
      <c r="U31" s="8">
        <v>1.7374125668535734</v>
      </c>
      <c r="V31">
        <f t="shared" si="2"/>
        <v>-2.2238468977480278E-2</v>
      </c>
      <c r="W31">
        <f t="shared" si="3"/>
        <v>-0.1141074098254397</v>
      </c>
      <c r="X31">
        <f t="shared" si="4"/>
        <v>-0.13634587880291998</v>
      </c>
      <c r="Y31" s="8">
        <f t="shared" si="66"/>
        <v>1.6035417948615416</v>
      </c>
      <c r="Z31" s="8">
        <v>1.3853479919177181</v>
      </c>
      <c r="AA31" s="83">
        <v>0.13093762907889309</v>
      </c>
      <c r="AB31" s="83">
        <v>0.25013609145345683</v>
      </c>
      <c r="AC31" s="83">
        <f t="shared" si="5"/>
        <v>0.20996396074808299</v>
      </c>
      <c r="AD31" s="83">
        <f t="shared" si="6"/>
        <v>0.40110367704892685</v>
      </c>
      <c r="AE31" s="83">
        <f t="shared" si="32"/>
        <v>0.19113971630084386</v>
      </c>
      <c r="AF31" s="8">
        <v>1.7554610739163898</v>
      </c>
      <c r="AG31" s="8">
        <v>41.383612872080619</v>
      </c>
      <c r="AH31" s="8">
        <f t="shared" si="33"/>
        <v>39.628151798164225</v>
      </c>
      <c r="AI31" s="8">
        <f t="shared" si="34"/>
        <v>0.11919846237456375</v>
      </c>
      <c r="AJ31">
        <f t="shared" si="7"/>
        <v>0.39488988873149378</v>
      </c>
      <c r="AK31">
        <f t="shared" si="35"/>
        <v>0.4772271728612385</v>
      </c>
      <c r="AL31">
        <f t="shared" si="8"/>
        <v>0.31272852231324993</v>
      </c>
      <c r="AM31">
        <f t="shared" si="36"/>
        <v>0.32643224465841714</v>
      </c>
      <c r="AN31">
        <f t="shared" si="9"/>
        <v>0.16399971170291863</v>
      </c>
      <c r="AO31">
        <f t="shared" si="37"/>
        <v>0.16405904932049498</v>
      </c>
      <c r="AP31">
        <f t="shared" si="38"/>
        <v>0.1487288106103313</v>
      </c>
      <c r="AQ31">
        <f t="shared" si="39"/>
        <v>0.16237319533792216</v>
      </c>
      <c r="AR31">
        <f t="shared" si="40"/>
        <v>8.2161366418243842E-2</v>
      </c>
      <c r="AS31">
        <f t="shared" si="10"/>
        <v>105.78390809889517</v>
      </c>
      <c r="AT31">
        <f t="shared" si="11"/>
        <v>62.120846590881229</v>
      </c>
      <c r="AU31" s="24">
        <f t="shared" si="12"/>
        <v>0.26452963916444028</v>
      </c>
      <c r="AV31" s="24">
        <f t="shared" si="13"/>
        <v>0.28910332727271254</v>
      </c>
      <c r="AW31" s="24">
        <f t="shared" si="41"/>
        <v>3.7802947267408751</v>
      </c>
      <c r="AX31" s="24">
        <f t="shared" si="14"/>
        <v>7.8748534757754493E-2</v>
      </c>
      <c r="AY31" s="24">
        <f t="shared" si="15"/>
        <v>8.3455659712477814E-2</v>
      </c>
      <c r="AZ31" s="24">
        <f t="shared" si="16"/>
        <v>2.0616508273444224E-2</v>
      </c>
      <c r="BA31" s="24">
        <f t="shared" si="42"/>
        <v>5.7268078537345071E-2</v>
      </c>
      <c r="BB31">
        <f t="shared" si="17"/>
        <v>0.16</v>
      </c>
      <c r="BC31">
        <f t="shared" si="18"/>
        <v>0.34</v>
      </c>
      <c r="BD31">
        <f t="shared" si="43"/>
        <v>0.18000000000000002</v>
      </c>
      <c r="BE31">
        <f t="shared" si="19"/>
        <v>0.17451775249753743</v>
      </c>
      <c r="BF31">
        <f t="shared" si="20"/>
        <v>-4.6017152932295593</v>
      </c>
      <c r="BG31">
        <f t="shared" si="44"/>
        <v>0.14000000000000001</v>
      </c>
      <c r="BH31">
        <f t="shared" si="21"/>
        <v>0.32</v>
      </c>
      <c r="BI31">
        <f t="shared" si="22"/>
        <v>0.18</v>
      </c>
      <c r="BJ31">
        <f t="shared" si="23"/>
        <v>9.4618700003998746E-2</v>
      </c>
      <c r="BK31">
        <f t="shared" si="24"/>
        <v>0.2090015304591023</v>
      </c>
      <c r="BL31">
        <f t="shared" si="25"/>
        <v>0.3625352097674498</v>
      </c>
      <c r="BM31">
        <f t="shared" si="45"/>
        <v>0.15353367930834749</v>
      </c>
      <c r="BN31">
        <f t="shared" si="26"/>
        <v>0.15715868287964985</v>
      </c>
      <c r="BO31">
        <f t="shared" si="27"/>
        <v>0.32463494619610761</v>
      </c>
      <c r="BP31">
        <f t="shared" si="46"/>
        <v>0.16747626331645776</v>
      </c>
      <c r="BQ31">
        <v>53</v>
      </c>
      <c r="BR31" s="10">
        <v>4</v>
      </c>
      <c r="BS31" s="10">
        <f t="shared" si="47"/>
        <v>122</v>
      </c>
      <c r="BT31" s="10">
        <v>3</v>
      </c>
      <c r="BU31" s="10">
        <f t="shared" si="48"/>
        <v>91</v>
      </c>
      <c r="BV31">
        <f t="shared" si="49"/>
        <v>15.901684578504812</v>
      </c>
      <c r="BW31">
        <f t="shared" si="28"/>
        <v>14.7600023337094</v>
      </c>
      <c r="BX31">
        <f t="shared" si="29"/>
        <v>12.820814235840906</v>
      </c>
      <c r="BY31">
        <f t="shared" si="30"/>
        <v>12.551553017597906</v>
      </c>
      <c r="BZ31">
        <f t="shared" si="31"/>
        <v>8.3406152744580488</v>
      </c>
      <c r="CA31" s="83">
        <v>0.11333964049195856</v>
      </c>
      <c r="CB31" s="83">
        <v>8.2094594594594589E-2</v>
      </c>
      <c r="CE31" s="83">
        <v>0.25556717979375271</v>
      </c>
      <c r="CF31" s="83">
        <v>1.6004257332071905</v>
      </c>
      <c r="CG31" s="83">
        <v>1.3530691159909909</v>
      </c>
      <c r="CH31" s="83">
        <v>2.5828063194340651</v>
      </c>
      <c r="CI31" s="8">
        <f t="shared" si="50"/>
        <v>0.98238058622687463</v>
      </c>
      <c r="CJ31" s="8">
        <f t="shared" si="51"/>
        <v>1.2297372034430742</v>
      </c>
      <c r="CK31" s="8" t="str">
        <f t="shared" si="52"/>
        <v/>
      </c>
      <c r="CL31" s="8">
        <f t="shared" si="53"/>
        <v>0.17347258519915812</v>
      </c>
      <c r="CM31" s="8" t="str">
        <f t="shared" si="54"/>
        <v/>
      </c>
      <c r="CN31" s="8" t="str">
        <f t="shared" si="55"/>
        <v/>
      </c>
      <c r="DE31">
        <v>3</v>
      </c>
      <c r="DF31">
        <v>2</v>
      </c>
      <c r="DG31" s="10">
        <v>0.1478505706394046</v>
      </c>
      <c r="DJ31" s="83">
        <v>0.15044713308784827</v>
      </c>
      <c r="DK31" s="83">
        <v>0.12730903644533223</v>
      </c>
      <c r="DL31" s="83">
        <f t="shared" si="56"/>
        <v>6.2260459134219035</v>
      </c>
      <c r="DM31" s="83">
        <f t="shared" si="57"/>
        <v>5.2685078793712314</v>
      </c>
      <c r="DN31" s="83">
        <v>0.27558756633813514</v>
      </c>
      <c r="DO31" s="83">
        <f t="shared" si="58"/>
        <v>11.404809157696221</v>
      </c>
      <c r="DP31" s="83">
        <v>5.8049644923724353</v>
      </c>
      <c r="DQ31" s="83">
        <v>8.7272507904809462</v>
      </c>
      <c r="DR31" s="83">
        <v>5.1103226876421539</v>
      </c>
      <c r="DS31" s="8">
        <f t="shared" si="59"/>
        <v>-0.69464180473028136</v>
      </c>
      <c r="DT31" s="8">
        <f t="shared" si="60"/>
        <v>-3.6169281028387923</v>
      </c>
      <c r="DU31" s="8">
        <f t="shared" si="61"/>
        <v>6.1363012783249893</v>
      </c>
      <c r="DV31" s="8">
        <f t="shared" si="62"/>
        <v>5.1787632442743172</v>
      </c>
      <c r="DW31" s="8">
        <f t="shared" si="63"/>
        <v>0.14827852989280291</v>
      </c>
      <c r="DX31" s="8">
        <f t="shared" si="64"/>
        <v>0.12514043325028687</v>
      </c>
      <c r="EN31" s="50"/>
      <c r="EP31" s="10"/>
      <c r="EQ31" s="10"/>
      <c r="ER31" s="10"/>
      <c r="ES31" s="10"/>
      <c r="ET31" s="10"/>
      <c r="EU31" s="10"/>
      <c r="EV31" s="10"/>
      <c r="EW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V31" s="10"/>
      <c r="FW31" s="10"/>
    </row>
    <row r="32" spans="7:179" x14ac:dyDescent="0.2">
      <c r="G32" t="s">
        <v>5</v>
      </c>
      <c r="H32">
        <v>6</v>
      </c>
      <c r="I32">
        <v>3</v>
      </c>
      <c r="J32" s="8">
        <v>8.8649979311759406</v>
      </c>
      <c r="K32" s="8">
        <v>53.928505613639999</v>
      </c>
      <c r="L32" s="8">
        <v>37.206496455184102</v>
      </c>
      <c r="M32" s="83">
        <v>5.9150000000000001E-2</v>
      </c>
      <c r="N32" s="83">
        <v>0.39363999999999999</v>
      </c>
      <c r="O32" s="8">
        <v>6.5989999999999993E-2</v>
      </c>
      <c r="P32" s="8">
        <v>0.43597000000000002</v>
      </c>
      <c r="Q32">
        <f t="shared" si="0"/>
        <v>-6.8399999999999919E-3</v>
      </c>
      <c r="R32">
        <f t="shared" si="1"/>
        <v>-4.2330000000000034E-2</v>
      </c>
      <c r="S32" s="8">
        <v>1.6483998385748238</v>
      </c>
      <c r="T32" s="8">
        <v>1.7381681946210572</v>
      </c>
      <c r="U32" s="8">
        <v>1.7543575876108548</v>
      </c>
      <c r="V32">
        <f t="shared" si="2"/>
        <v>-5.2384548620728701E-2</v>
      </c>
      <c r="W32">
        <f t="shared" si="3"/>
        <v>-9.4473607579195588E-3</v>
      </c>
      <c r="X32">
        <f t="shared" si="4"/>
        <v>-6.1831909378648263E-2</v>
      </c>
      <c r="Y32" s="8">
        <f t="shared" si="66"/>
        <v>1.7136418736022454</v>
      </c>
      <c r="Z32" s="8">
        <v>1.3722692871034534</v>
      </c>
      <c r="AA32" s="83">
        <v>0.15610832736816982</v>
      </c>
      <c r="AB32" s="83">
        <v>0.22627152583099716</v>
      </c>
      <c r="AC32" s="83">
        <f t="shared" si="5"/>
        <v>0.26751376659610321</v>
      </c>
      <c r="AD32" s="83">
        <f t="shared" si="6"/>
        <v>0.38774836146786884</v>
      </c>
      <c r="AE32" s="83">
        <f t="shared" si="32"/>
        <v>0.12023459487176563</v>
      </c>
      <c r="AF32" s="8">
        <v>4.5802346775239204</v>
      </c>
      <c r="AG32" s="8">
        <v>34.31608480726193</v>
      </c>
      <c r="AH32" s="8">
        <f t="shared" si="33"/>
        <v>29.735850129738012</v>
      </c>
      <c r="AI32" s="8">
        <f t="shared" si="34"/>
        <v>7.0163198462827342E-2</v>
      </c>
      <c r="AJ32">
        <f t="shared" si="7"/>
        <v>0.35334268920669987</v>
      </c>
      <c r="AK32">
        <f t="shared" si="35"/>
        <v>0.4821625331685081</v>
      </c>
      <c r="AL32">
        <f t="shared" si="8"/>
        <v>0.3366778062487164</v>
      </c>
      <c r="AM32">
        <f t="shared" si="36"/>
        <v>0.37779331433991759</v>
      </c>
      <c r="AN32">
        <f t="shared" si="9"/>
        <v>0.22875379970769644</v>
      </c>
      <c r="AO32">
        <f t="shared" si="37"/>
        <v>0.21984075794319938</v>
      </c>
      <c r="AP32">
        <f t="shared" si="38"/>
        <v>0.10792400654101997</v>
      </c>
      <c r="AQ32">
        <f t="shared" si="39"/>
        <v>0.15795255639671821</v>
      </c>
      <c r="AR32">
        <f t="shared" si="40"/>
        <v>1.6664882957983462E-2</v>
      </c>
      <c r="AS32">
        <f t="shared" si="10"/>
        <v>212.79275366469037</v>
      </c>
      <c r="AT32">
        <f t="shared" si="11"/>
        <v>78.382405174556581</v>
      </c>
      <c r="AU32" s="24">
        <f t="shared" si="12"/>
        <v>0.14452665570163245</v>
      </c>
      <c r="AV32" s="24">
        <f t="shared" si="13"/>
        <v>0.22383870734249856</v>
      </c>
      <c r="AW32" s="24">
        <f t="shared" si="41"/>
        <v>6.919138861584444</v>
      </c>
      <c r="AX32" s="24">
        <f t="shared" si="14"/>
        <v>8.2129377205259743E-2</v>
      </c>
      <c r="AY32" s="24">
        <f t="shared" si="15"/>
        <v>0.10282108954547267</v>
      </c>
      <c r="AZ32" s="24">
        <f t="shared" si="16"/>
        <v>9.853205648266165E-4</v>
      </c>
      <c r="BA32" s="24">
        <f t="shared" si="42"/>
        <v>2.7370015689628237E-3</v>
      </c>
      <c r="BB32">
        <f t="shared" si="17"/>
        <v>0.22</v>
      </c>
      <c r="BC32">
        <f t="shared" si="18"/>
        <v>0.39</v>
      </c>
      <c r="BD32">
        <f t="shared" si="43"/>
        <v>0.17</v>
      </c>
      <c r="BE32">
        <f t="shared" si="19"/>
        <v>7.3186934290854294E-2</v>
      </c>
      <c r="BF32">
        <f t="shared" si="20"/>
        <v>-6.3150697518733896</v>
      </c>
      <c r="BG32">
        <f t="shared" si="44"/>
        <v>0.21</v>
      </c>
      <c r="BH32">
        <f t="shared" si="21"/>
        <v>0.38</v>
      </c>
      <c r="BI32">
        <f t="shared" si="22"/>
        <v>0.17</v>
      </c>
      <c r="BJ32">
        <f t="shared" si="23"/>
        <v>5.1679669295124242E-2</v>
      </c>
      <c r="BK32">
        <f t="shared" si="24"/>
        <v>0.23516130916789352</v>
      </c>
      <c r="BL32">
        <f t="shared" si="25"/>
        <v>0.32334268920669984</v>
      </c>
      <c r="BM32">
        <f t="shared" si="45"/>
        <v>8.8181380038806323E-2</v>
      </c>
      <c r="BN32">
        <f t="shared" si="26"/>
        <v>0.15405118261578055</v>
      </c>
      <c r="BO32">
        <f t="shared" si="27"/>
        <v>0.32236317516986984</v>
      </c>
      <c r="BP32">
        <f t="shared" si="46"/>
        <v>0.1683119925540893</v>
      </c>
      <c r="BQ32">
        <v>53</v>
      </c>
      <c r="BR32" s="10">
        <v>4</v>
      </c>
      <c r="BS32" s="10">
        <f t="shared" si="47"/>
        <v>122</v>
      </c>
      <c r="BT32" s="10">
        <v>3</v>
      </c>
      <c r="BU32" s="10">
        <f t="shared" si="48"/>
        <v>91</v>
      </c>
      <c r="BV32">
        <f t="shared" si="49"/>
        <v>15.901684578504812</v>
      </c>
      <c r="BW32">
        <f t="shared" si="28"/>
        <v>14.7600023337094</v>
      </c>
      <c r="BX32">
        <f t="shared" si="29"/>
        <v>12.820814235840906</v>
      </c>
      <c r="BY32">
        <f t="shared" si="30"/>
        <v>12.551553017597906</v>
      </c>
      <c r="BZ32">
        <f t="shared" si="31"/>
        <v>8.3406152744580488</v>
      </c>
      <c r="CA32" s="83">
        <v>0.12894518272425268</v>
      </c>
      <c r="CB32" s="83">
        <v>0.15001186802753366</v>
      </c>
      <c r="CE32" s="83">
        <v>0.23808907301916105</v>
      </c>
      <c r="CF32" s="83">
        <v>0.95442907322812864</v>
      </c>
      <c r="CG32" s="83">
        <v>1.0115312722525516</v>
      </c>
      <c r="CH32" s="83">
        <v>0.51427124870533403</v>
      </c>
      <c r="CI32" s="8">
        <f t="shared" si="50"/>
        <v>-0.44015782452279462</v>
      </c>
      <c r="CJ32" s="8">
        <f t="shared" si="51"/>
        <v>-0.49726002354721754</v>
      </c>
      <c r="CK32" s="8" t="str">
        <f t="shared" si="52"/>
        <v/>
      </c>
      <c r="CL32" s="8">
        <f t="shared" si="53"/>
        <v>8.8077204991627384E-2</v>
      </c>
      <c r="CM32" s="8" t="str">
        <f t="shared" si="54"/>
        <v/>
      </c>
      <c r="CN32" s="8" t="str">
        <f t="shared" si="55"/>
        <v/>
      </c>
      <c r="DA32">
        <v>1</v>
      </c>
      <c r="DB32">
        <v>10.1297</v>
      </c>
      <c r="DC32">
        <v>12.885859579468978</v>
      </c>
      <c r="DD32">
        <f>ROUND(DB32,1)</f>
        <v>10.1</v>
      </c>
      <c r="DE32">
        <v>3</v>
      </c>
      <c r="DF32">
        <v>3</v>
      </c>
      <c r="DG32" s="10">
        <v>8.5173576408668739E-2</v>
      </c>
      <c r="DJ32" s="83">
        <v>0.11333964049195856</v>
      </c>
      <c r="DK32" s="83">
        <v>8.2094594594594589E-2</v>
      </c>
      <c r="DL32" s="83">
        <f t="shared" si="56"/>
        <v>3.8893727151466284</v>
      </c>
      <c r="DM32" s="83">
        <f t="shared" si="57"/>
        <v>2.8171650703258946</v>
      </c>
      <c r="DN32" s="83">
        <v>0.25556717979375271</v>
      </c>
      <c r="DO32" s="83">
        <f t="shared" si="58"/>
        <v>8.7700650157551756</v>
      </c>
      <c r="DP32" s="83">
        <v>1.6004257332071905</v>
      </c>
      <c r="DQ32" s="83">
        <v>1.3530691159909909</v>
      </c>
      <c r="DR32" s="83">
        <v>2.5828063194340651</v>
      </c>
      <c r="DS32" s="8">
        <f t="shared" si="59"/>
        <v>0.98238058622687463</v>
      </c>
      <c r="DT32" s="8">
        <f t="shared" si="60"/>
        <v>1.2297372034430742</v>
      </c>
      <c r="DU32" s="8">
        <f t="shared" si="61"/>
        <v>5.952899945429281</v>
      </c>
      <c r="DV32" s="8">
        <f t="shared" si="62"/>
        <v>4.8806923006085476</v>
      </c>
      <c r="DW32" s="8">
        <f t="shared" si="63"/>
        <v>0.17347258519915812</v>
      </c>
      <c r="DX32" s="8">
        <f t="shared" si="64"/>
        <v>0.14222753930179416</v>
      </c>
      <c r="EN32" s="50"/>
      <c r="EP32" s="10"/>
      <c r="EQ32" s="10"/>
      <c r="ER32" s="10"/>
      <c r="ES32" s="10"/>
      <c r="ET32" s="10"/>
      <c r="EU32" s="10"/>
      <c r="EV32" s="10"/>
      <c r="EW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</row>
    <row r="33" spans="5:164" x14ac:dyDescent="0.2">
      <c r="G33" t="s">
        <v>5</v>
      </c>
      <c r="H33">
        <v>6</v>
      </c>
      <c r="I33">
        <v>4</v>
      </c>
      <c r="J33" s="8">
        <v>8.0142390820683893</v>
      </c>
      <c r="K33" s="8">
        <v>53.736230515520703</v>
      </c>
      <c r="L33" s="8">
        <v>38.249530402410898</v>
      </c>
      <c r="M33" s="83">
        <v>4.4920000000000002E-2</v>
      </c>
      <c r="N33" s="83">
        <v>0.34339999999999998</v>
      </c>
      <c r="O33" s="8">
        <v>4.3189999999999999E-2</v>
      </c>
      <c r="P33" s="8">
        <v>0.34984999999999999</v>
      </c>
      <c r="Q33">
        <f t="shared" si="0"/>
        <v>1.7300000000000024E-3</v>
      </c>
      <c r="R33">
        <f t="shared" si="1"/>
        <v>-6.4500000000000113E-3</v>
      </c>
      <c r="S33" s="8">
        <v>1.7076330480437887</v>
      </c>
      <c r="T33" s="8">
        <v>1.693551096672544</v>
      </c>
      <c r="U33" s="8">
        <v>1.8277198015685101</v>
      </c>
      <c r="V33">
        <f t="shared" si="2"/>
        <v>8.079294350730978E-3</v>
      </c>
      <c r="W33">
        <f t="shared" si="3"/>
        <v>-7.6977148332181639E-2</v>
      </c>
      <c r="X33">
        <f t="shared" si="4"/>
        <v>-6.8897853981450666E-2</v>
      </c>
      <c r="Y33" s="8">
        <f t="shared" si="66"/>
        <v>1.7429679820949477</v>
      </c>
      <c r="AA33" s="83">
        <v>0.21047038424967834</v>
      </c>
      <c r="AB33" s="83"/>
      <c r="AC33" s="83">
        <f t="shared" si="5"/>
        <v>0.36684314092641013</v>
      </c>
      <c r="AD33" s="83" t="str">
        <f t="shared" si="6"/>
        <v/>
      </c>
      <c r="AE33" s="83" t="str">
        <f t="shared" si="32"/>
        <v/>
      </c>
      <c r="AF33" s="8">
        <v>7.6419491937677844</v>
      </c>
      <c r="AG33" s="8"/>
      <c r="AH33" s="8" t="str">
        <f t="shared" si="33"/>
        <v/>
      </c>
      <c r="AI33" s="8" t="str">
        <f t="shared" si="34"/>
        <v/>
      </c>
      <c r="AJ33">
        <f t="shared" si="7"/>
        <v>0.34227623317171785</v>
      </c>
      <c r="AK33" t="str">
        <f t="shared" si="35"/>
        <v/>
      </c>
      <c r="AL33">
        <f t="shared" si="8"/>
        <v>0.33231162600455261</v>
      </c>
      <c r="AM33" t="str">
        <f t="shared" si="36"/>
        <v/>
      </c>
      <c r="AN33">
        <f t="shared" si="9"/>
        <v>0.23360912408976442</v>
      </c>
      <c r="AO33" t="str">
        <f t="shared" si="37"/>
        <v/>
      </c>
      <c r="AP33">
        <f t="shared" si="38"/>
        <v>9.8702501914788188E-2</v>
      </c>
      <c r="AQ33" t="str">
        <f t="shared" si="39"/>
        <v/>
      </c>
      <c r="AR33">
        <f t="shared" si="40"/>
        <v>9.9646071671652403E-3</v>
      </c>
      <c r="AS33">
        <f t="shared" si="10"/>
        <v>244.88803852168945</v>
      </c>
      <c r="AT33" t="str">
        <f t="shared" si="11"/>
        <v/>
      </c>
      <c r="AU33" s="24">
        <f t="shared" si="12"/>
        <v>0.12931726777980901</v>
      </c>
      <c r="AV33" s="24" t="str">
        <f t="shared" si="13"/>
        <v/>
      </c>
      <c r="AW33" s="24">
        <f t="shared" si="41"/>
        <v>7.7329193321863183</v>
      </c>
      <c r="AX33" s="24">
        <f t="shared" si="14"/>
        <v>7.8939101886094862E-2</v>
      </c>
      <c r="AY33" s="24" t="str">
        <f t="shared" si="15"/>
        <v/>
      </c>
      <c r="AZ33" s="24">
        <f t="shared" si="16"/>
        <v>5.3184241097994477E-4</v>
      </c>
      <c r="BA33" s="24">
        <f t="shared" si="42"/>
        <v>1.4773400304998467E-3</v>
      </c>
      <c r="BB33">
        <f t="shared" si="17"/>
        <v>0.23</v>
      </c>
      <c r="BC33">
        <f t="shared" si="18"/>
        <v>0.39</v>
      </c>
      <c r="BD33">
        <f t="shared" si="43"/>
        <v>0.16</v>
      </c>
      <c r="BE33">
        <f t="shared" si="19"/>
        <v>6.9788658791319888E-2</v>
      </c>
      <c r="BF33">
        <f t="shared" si="20"/>
        <v>-6.473510144950029</v>
      </c>
      <c r="BG33">
        <f t="shared" si="44"/>
        <v>0.21</v>
      </c>
      <c r="BH33">
        <f t="shared" si="21"/>
        <v>0.39</v>
      </c>
      <c r="BI33">
        <f t="shared" si="22"/>
        <v>0.18000000000000002</v>
      </c>
      <c r="BJ33">
        <f t="shared" si="23"/>
        <v>4.0242486982970282E-2</v>
      </c>
      <c r="BK33">
        <f t="shared" si="24"/>
        <v>0.2421291925457596</v>
      </c>
      <c r="BL33">
        <f t="shared" si="25"/>
        <v>0.31227623317171782</v>
      </c>
      <c r="BM33">
        <f t="shared" si="45"/>
        <v>7.0147040625958224E-2</v>
      </c>
      <c r="BN33" t="str">
        <f t="shared" si="26"/>
        <v/>
      </c>
      <c r="BO33" t="str">
        <f t="shared" si="27"/>
        <v/>
      </c>
      <c r="BP33" t="str">
        <f t="shared" si="46"/>
        <v/>
      </c>
      <c r="BQ33">
        <v>53</v>
      </c>
      <c r="BR33" s="10">
        <v>4</v>
      </c>
      <c r="BS33" s="10">
        <f t="shared" si="47"/>
        <v>122</v>
      </c>
      <c r="BT33" s="10">
        <v>3</v>
      </c>
      <c r="BU33" s="10">
        <f t="shared" si="48"/>
        <v>91</v>
      </c>
      <c r="BV33">
        <f t="shared" si="49"/>
        <v>15.901684578504812</v>
      </c>
      <c r="BW33">
        <f t="shared" si="28"/>
        <v>14.7600023337094</v>
      </c>
      <c r="BX33">
        <f t="shared" si="29"/>
        <v>12.820814235840906</v>
      </c>
      <c r="BY33">
        <f t="shared" si="30"/>
        <v>12.551553017597906</v>
      </c>
      <c r="BZ33">
        <f t="shared" si="31"/>
        <v>8.3406152744580488</v>
      </c>
      <c r="CA33" s="83">
        <v>0.19244566364211838</v>
      </c>
      <c r="CB33" s="83">
        <v>0.1789337362400171</v>
      </c>
      <c r="CE33" s="83"/>
      <c r="CF33" s="83">
        <v>2.1220564289231199</v>
      </c>
      <c r="CG33" s="83">
        <v>1.6799805741420246</v>
      </c>
      <c r="CH33" s="83"/>
      <c r="CI33" s="8" t="str">
        <f t="shared" si="50"/>
        <v/>
      </c>
      <c r="CJ33" s="8" t="str">
        <f t="shared" si="51"/>
        <v/>
      </c>
      <c r="CK33" s="8" t="str">
        <f t="shared" si="52"/>
        <v/>
      </c>
      <c r="CL33" s="8" t="str">
        <f t="shared" si="53"/>
        <v/>
      </c>
      <c r="CM33" s="8" t="str">
        <f t="shared" si="54"/>
        <v/>
      </c>
      <c r="CN33" s="8" t="str">
        <f t="shared" si="55"/>
        <v/>
      </c>
      <c r="DA33">
        <v>1</v>
      </c>
      <c r="DB33">
        <v>9.1721000000000004</v>
      </c>
      <c r="DC33">
        <v>11.553280781061257</v>
      </c>
      <c r="DD33">
        <f t="shared" ref="DD33:DD43" si="67">ROUND(DB33,1)</f>
        <v>9.1999999999999993</v>
      </c>
      <c r="DE33">
        <v>3</v>
      </c>
      <c r="DF33">
        <v>4</v>
      </c>
      <c r="DG33" s="10">
        <v>0.14838415269315758</v>
      </c>
      <c r="DJ33" s="83">
        <v>0.12894518272425268</v>
      </c>
      <c r="DK33" s="83">
        <v>0.15001186802753366</v>
      </c>
      <c r="DL33" s="83" t="str">
        <f t="shared" si="56"/>
        <v/>
      </c>
      <c r="DM33" s="83" t="str">
        <f t="shared" si="57"/>
        <v/>
      </c>
      <c r="DN33" s="83">
        <v>0.23808907301916105</v>
      </c>
      <c r="DO33" s="83" t="str">
        <f t="shared" si="58"/>
        <v/>
      </c>
      <c r="DP33" s="83">
        <v>0.95442907322812864</v>
      </c>
      <c r="DQ33" s="83">
        <v>1.0115312722525516</v>
      </c>
      <c r="DR33" s="83">
        <v>0.51427124870533403</v>
      </c>
      <c r="DS33" s="8">
        <f t="shared" si="59"/>
        <v>-0.44015782452279462</v>
      </c>
      <c r="DT33" s="8">
        <f t="shared" si="60"/>
        <v>-0.49726002354721754</v>
      </c>
      <c r="DU33" s="8" t="str">
        <f t="shared" si="61"/>
        <v/>
      </c>
      <c r="DV33" s="8" t="str">
        <f t="shared" si="62"/>
        <v/>
      </c>
      <c r="DW33" s="8">
        <f t="shared" si="63"/>
        <v>8.8077204991627384E-2</v>
      </c>
      <c r="DX33" s="8">
        <f t="shared" si="64"/>
        <v>0.10914389029490837</v>
      </c>
      <c r="EN33" s="50"/>
      <c r="EP33" s="10"/>
      <c r="EQ33" s="10"/>
      <c r="ER33" s="10"/>
      <c r="ES33" s="10"/>
      <c r="ET33" s="10"/>
      <c r="EU33" s="10"/>
      <c r="EV33" s="10"/>
      <c r="EW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</row>
    <row r="34" spans="5:164" x14ac:dyDescent="0.2">
      <c r="G34" t="s">
        <v>5</v>
      </c>
      <c r="H34">
        <v>6</v>
      </c>
      <c r="I34">
        <v>5</v>
      </c>
      <c r="J34" s="8">
        <v>9.6410499628600093</v>
      </c>
      <c r="K34" s="8">
        <v>51.542616816563303</v>
      </c>
      <c r="L34" s="8">
        <v>38.816333220576702</v>
      </c>
      <c r="M34" s="83">
        <v>5.7610000000000001E-2</v>
      </c>
      <c r="N34" s="83">
        <v>0.29985000000000001</v>
      </c>
      <c r="O34" s="8">
        <v>4.6339999999999999E-2</v>
      </c>
      <c r="P34" s="8">
        <v>0.32223000000000002</v>
      </c>
      <c r="Q34">
        <f t="shared" si="0"/>
        <v>1.1270000000000002E-2</v>
      </c>
      <c r="R34">
        <f t="shared" si="1"/>
        <v>-2.2380000000000011E-2</v>
      </c>
      <c r="S34" s="8">
        <v>1.9510974520297701</v>
      </c>
      <c r="T34" s="8">
        <v>1.7535770389928043</v>
      </c>
      <c r="U34" s="8">
        <v>1.8218328794420413</v>
      </c>
      <c r="V34">
        <f t="shared" si="2"/>
        <v>0.1072216500203601</v>
      </c>
      <c r="W34">
        <f t="shared" si="3"/>
        <v>-3.7051886050501408E-2</v>
      </c>
      <c r="X34">
        <f t="shared" si="4"/>
        <v>7.0169763969858689E-2</v>
      </c>
      <c r="Y34" s="8">
        <f t="shared" si="66"/>
        <v>1.8421691234882054</v>
      </c>
      <c r="AA34" s="83">
        <v>0.20042392840320317</v>
      </c>
      <c r="AB34" s="83"/>
      <c r="AC34" s="83">
        <f t="shared" si="5"/>
        <v>0.3692147725125916</v>
      </c>
      <c r="AD34" s="83" t="str">
        <f t="shared" si="6"/>
        <v/>
      </c>
      <c r="AE34" s="83" t="str">
        <f t="shared" si="32"/>
        <v/>
      </c>
      <c r="AF34" s="8">
        <v>10.048627063981639</v>
      </c>
      <c r="AG34" s="8"/>
      <c r="AH34" s="8" t="str">
        <f t="shared" si="33"/>
        <v/>
      </c>
      <c r="AI34" s="8" t="str">
        <f t="shared" si="34"/>
        <v/>
      </c>
      <c r="AJ34">
        <f t="shared" si="7"/>
        <v>0.30484184019312999</v>
      </c>
      <c r="AK34" t="str">
        <f t="shared" si="35"/>
        <v/>
      </c>
      <c r="AL34">
        <f t="shared" si="8"/>
        <v>0.30562566165773719</v>
      </c>
      <c r="AM34" t="str">
        <f t="shared" si="36"/>
        <v/>
      </c>
      <c r="AN34">
        <f t="shared" si="9"/>
        <v>0.22873925986654967</v>
      </c>
      <c r="AO34" t="str">
        <f t="shared" si="37"/>
        <v/>
      </c>
      <c r="AP34">
        <f t="shared" si="38"/>
        <v>7.6886401791187525E-2</v>
      </c>
      <c r="AQ34" t="str">
        <f t="shared" si="39"/>
        <v/>
      </c>
      <c r="AR34">
        <f t="shared" si="40"/>
        <v>-7.8382146460720392E-4</v>
      </c>
      <c r="AS34">
        <f t="shared" si="10"/>
        <v>340.79527819260056</v>
      </c>
      <c r="AT34" t="str">
        <f t="shared" si="11"/>
        <v/>
      </c>
      <c r="AU34" s="24">
        <f t="shared" si="12"/>
        <v>0.10364271770788942</v>
      </c>
      <c r="AV34" s="24" t="str">
        <f t="shared" si="13"/>
        <v/>
      </c>
      <c r="AW34" s="24">
        <f t="shared" si="41"/>
        <v>9.648531243829769</v>
      </c>
      <c r="AX34" s="24">
        <f t="shared" si="14"/>
        <v>7.0288090348445714E-2</v>
      </c>
      <c r="AY34" s="24" t="str">
        <f t="shared" si="15"/>
        <v/>
      </c>
      <c r="AZ34" s="24">
        <f t="shared" si="16"/>
        <v>1.2607513411828344E-4</v>
      </c>
      <c r="BA34" s="24">
        <f t="shared" si="42"/>
        <v>3.5020870588412065E-4</v>
      </c>
      <c r="BB34">
        <f t="shared" si="17"/>
        <v>0.23</v>
      </c>
      <c r="BC34">
        <f t="shared" si="18"/>
        <v>0.39</v>
      </c>
      <c r="BD34">
        <f t="shared" si="43"/>
        <v>0.16</v>
      </c>
      <c r="BE34">
        <f t="shared" si="19"/>
        <v>6.2903166846537087E-2</v>
      </c>
      <c r="BF34">
        <f t="shared" si="20"/>
        <v>-6.6105928979100428</v>
      </c>
      <c r="BG34">
        <f t="shared" si="44"/>
        <v>0.22</v>
      </c>
      <c r="BH34">
        <f t="shared" si="21"/>
        <v>0.39</v>
      </c>
      <c r="BI34">
        <f t="shared" si="22"/>
        <v>0.17</v>
      </c>
      <c r="BJ34">
        <f t="shared" si="23"/>
        <v>1.5540418395998401E-3</v>
      </c>
      <c r="BK34">
        <f t="shared" si="24"/>
        <v>0.2656993837407976</v>
      </c>
      <c r="BL34">
        <f t="shared" si="25"/>
        <v>0.27484184019312996</v>
      </c>
      <c r="BM34">
        <f t="shared" si="45"/>
        <v>9.1424564523323593E-3</v>
      </c>
      <c r="BN34" t="str">
        <f t="shared" si="26"/>
        <v/>
      </c>
      <c r="BO34" t="str">
        <f t="shared" si="27"/>
        <v/>
      </c>
      <c r="BP34" t="str">
        <f t="shared" si="46"/>
        <v/>
      </c>
      <c r="BQ34">
        <v>53</v>
      </c>
      <c r="BR34" s="10">
        <v>4</v>
      </c>
      <c r="BS34" s="10">
        <f t="shared" si="47"/>
        <v>122</v>
      </c>
      <c r="BT34" s="10">
        <v>3</v>
      </c>
      <c r="BU34" s="10">
        <f t="shared" si="48"/>
        <v>91</v>
      </c>
      <c r="BV34">
        <f t="shared" si="49"/>
        <v>15.901684578504812</v>
      </c>
      <c r="BW34">
        <f t="shared" si="28"/>
        <v>14.7600023337094</v>
      </c>
      <c r="BX34">
        <f t="shared" si="29"/>
        <v>12.820814235840906</v>
      </c>
      <c r="BY34">
        <f t="shared" si="30"/>
        <v>12.551553017597906</v>
      </c>
      <c r="BZ34">
        <f t="shared" si="31"/>
        <v>8.3406152744580488</v>
      </c>
      <c r="CA34" s="83">
        <v>0.20978874712403264</v>
      </c>
      <c r="CB34" s="83">
        <v>0.18884787254711477</v>
      </c>
      <c r="CE34" s="83"/>
      <c r="CF34" s="83">
        <v>3.1903137418950007</v>
      </c>
      <c r="CG34" s="83">
        <v>2.348965254841008</v>
      </c>
      <c r="CH34" s="83"/>
      <c r="CI34" s="8" t="str">
        <f t="shared" si="50"/>
        <v/>
      </c>
      <c r="CJ34" s="8" t="str">
        <f t="shared" si="51"/>
        <v/>
      </c>
      <c r="CK34" s="8" t="str">
        <f t="shared" si="52"/>
        <v/>
      </c>
      <c r="CL34" s="8" t="str">
        <f t="shared" si="53"/>
        <v/>
      </c>
      <c r="CM34" s="8" t="str">
        <f t="shared" si="54"/>
        <v/>
      </c>
      <c r="CN34" s="8" t="str">
        <f t="shared" si="55"/>
        <v/>
      </c>
      <c r="DA34">
        <v>1</v>
      </c>
      <c r="DB34">
        <v>10.180400000000001</v>
      </c>
      <c r="DC34">
        <v>12.93138689272344</v>
      </c>
      <c r="DD34">
        <f t="shared" si="67"/>
        <v>10.199999999999999</v>
      </c>
      <c r="DE34">
        <v>3</v>
      </c>
      <c r="DF34">
        <v>5</v>
      </c>
      <c r="DG34" s="10">
        <v>0.12294734708584881</v>
      </c>
      <c r="DJ34" s="83">
        <v>0.19244566364211838</v>
      </c>
      <c r="DK34" s="83">
        <v>0.1789337362400171</v>
      </c>
      <c r="DL34" s="83" t="str">
        <f t="shared" si="56"/>
        <v/>
      </c>
      <c r="DM34" s="83" t="str">
        <f t="shared" si="57"/>
        <v/>
      </c>
      <c r="DN34" s="83"/>
      <c r="DO34" s="83" t="str">
        <f t="shared" si="58"/>
        <v/>
      </c>
      <c r="DP34" s="83">
        <v>2.1220564289231199</v>
      </c>
      <c r="DQ34" s="83">
        <v>1.6799805741420246</v>
      </c>
      <c r="DR34" s="83"/>
      <c r="DS34" s="8" t="str">
        <f t="shared" si="59"/>
        <v/>
      </c>
      <c r="DT34" s="8" t="str">
        <f t="shared" si="60"/>
        <v/>
      </c>
      <c r="DU34" s="8" t="str">
        <f t="shared" si="61"/>
        <v/>
      </c>
      <c r="DV34" s="8" t="str">
        <f t="shared" si="62"/>
        <v/>
      </c>
      <c r="DW34" s="8" t="str">
        <f t="shared" si="63"/>
        <v/>
      </c>
      <c r="DX34" s="8" t="str">
        <f t="shared" si="64"/>
        <v/>
      </c>
      <c r="EN34" s="50"/>
      <c r="EP34" s="10"/>
      <c r="EQ34" s="10"/>
      <c r="ER34" s="10"/>
      <c r="ES34" s="10"/>
      <c r="ET34" s="10"/>
      <c r="EU34" s="10"/>
      <c r="EV34" s="10"/>
      <c r="EW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</row>
    <row r="35" spans="5:164" x14ac:dyDescent="0.2">
      <c r="G35" t="s">
        <v>5</v>
      </c>
      <c r="H35">
        <v>7</v>
      </c>
      <c r="I35">
        <v>1</v>
      </c>
      <c r="J35" s="8">
        <v>9.949091122504317</v>
      </c>
      <c r="K35" s="8">
        <v>59.552765548535234</v>
      </c>
      <c r="L35" s="8">
        <v>30.498143328960463</v>
      </c>
      <c r="M35" s="83">
        <v>0.11132</v>
      </c>
      <c r="N35" s="83">
        <v>1.3283</v>
      </c>
      <c r="O35" s="8">
        <v>0.12949666666666668</v>
      </c>
      <c r="P35" s="8">
        <v>1.60538</v>
      </c>
      <c r="Q35">
        <f t="shared" si="0"/>
        <v>-1.8176666666666674E-2</v>
      </c>
      <c r="R35">
        <f t="shared" si="1"/>
        <v>-0.27707999999999999</v>
      </c>
      <c r="S35" s="8">
        <v>1.5342368393162897</v>
      </c>
      <c r="T35" s="8">
        <v>1.5561744406548645</v>
      </c>
      <c r="U35" s="8">
        <v>1.5410739537682723</v>
      </c>
      <c r="V35">
        <f t="shared" si="2"/>
        <v>-1.4209870202390272E-2</v>
      </c>
      <c r="W35">
        <f t="shared" si="3"/>
        <v>9.7811950969345415E-3</v>
      </c>
      <c r="X35">
        <f t="shared" si="4"/>
        <v>-4.4286751054557318E-3</v>
      </c>
      <c r="Y35" s="8">
        <f t="shared" si="66"/>
        <v>1.5438284112464755</v>
      </c>
      <c r="Z35" s="8">
        <v>1.0390202042937915</v>
      </c>
      <c r="AA35" s="83">
        <v>0.11887838278448007</v>
      </c>
      <c r="AB35" s="83">
        <v>0.2264091196960101</v>
      </c>
      <c r="AC35" s="83">
        <f t="shared" si="5"/>
        <v>0.18352782482571423</v>
      </c>
      <c r="AD35" s="83">
        <f t="shared" si="6"/>
        <v>0.34953683155200438</v>
      </c>
      <c r="AE35" s="83">
        <f t="shared" si="32"/>
        <v>0.16600900672629015</v>
      </c>
      <c r="AF35" s="8">
        <v>4.9321575972961513</v>
      </c>
      <c r="AG35" s="8">
        <v>36.147793039270034</v>
      </c>
      <c r="AH35" s="8">
        <f t="shared" si="33"/>
        <v>31.215635441973884</v>
      </c>
      <c r="AI35" s="8">
        <f t="shared" si="34"/>
        <v>0.10753073691153003</v>
      </c>
      <c r="AJ35">
        <f t="shared" si="7"/>
        <v>0.41742324103906581</v>
      </c>
      <c r="AK35">
        <f t="shared" si="35"/>
        <v>0.6079169040400787</v>
      </c>
      <c r="AL35">
        <f t="shared" si="8"/>
        <v>0.34076631886537528</v>
      </c>
      <c r="AM35">
        <f t="shared" si="36"/>
        <v>0.3627612515813598</v>
      </c>
      <c r="AN35">
        <f t="shared" si="9"/>
        <v>0.19274857984426452</v>
      </c>
      <c r="AO35">
        <f t="shared" si="37"/>
        <v>0.1861993197925586</v>
      </c>
      <c r="AP35">
        <f t="shared" si="38"/>
        <v>0.14801773902111076</v>
      </c>
      <c r="AQ35">
        <f t="shared" si="39"/>
        <v>0.1765619317888012</v>
      </c>
      <c r="AR35">
        <f t="shared" si="40"/>
        <v>7.6656922173690523E-2</v>
      </c>
      <c r="AS35">
        <f t="shared" si="10"/>
        <v>104.99362618606246</v>
      </c>
      <c r="AT35">
        <f t="shared" si="11"/>
        <v>34.385139053422414</v>
      </c>
      <c r="AU35" s="24">
        <f t="shared" si="12"/>
        <v>0.23189334869504899</v>
      </c>
      <c r="AV35" s="24">
        <f t="shared" si="13"/>
        <v>0.29104330064292927</v>
      </c>
      <c r="AW35" s="24">
        <f t="shared" si="41"/>
        <v>4.3123272212306896</v>
      </c>
      <c r="AX35" s="24">
        <f t="shared" si="14"/>
        <v>8.8741804622870069E-2</v>
      </c>
      <c r="AY35" s="24">
        <f t="shared" si="15"/>
        <v>9.9516524784993121E-2</v>
      </c>
      <c r="AZ35" s="24">
        <f t="shared" si="16"/>
        <v>1.6965870865227894E-2</v>
      </c>
      <c r="BA35" s="24">
        <f t="shared" si="42"/>
        <v>4.7127419070077482E-2</v>
      </c>
      <c r="BB35">
        <f t="shared" si="17"/>
        <v>0.22</v>
      </c>
      <c r="BC35">
        <f t="shared" si="18"/>
        <v>0.41</v>
      </c>
      <c r="BD35">
        <f t="shared" si="43"/>
        <v>0.18999999999999997</v>
      </c>
      <c r="BE35">
        <f t="shared" si="19"/>
        <v>0.11658801629029267</v>
      </c>
      <c r="BF35">
        <f t="shared" si="20"/>
        <v>-5.3100799924922173</v>
      </c>
      <c r="BG35">
        <f t="shared" si="44"/>
        <v>0.17</v>
      </c>
      <c r="BH35">
        <f t="shared" si="21"/>
        <v>0.35</v>
      </c>
      <c r="BI35">
        <f t="shared" si="22"/>
        <v>0.17999999999999997</v>
      </c>
      <c r="BJ35">
        <f t="shared" si="23"/>
        <v>0.11790691961387445</v>
      </c>
      <c r="BK35">
        <f t="shared" si="24"/>
        <v>0.19481363051216261</v>
      </c>
      <c r="BL35">
        <f t="shared" si="25"/>
        <v>0.35216299503351278</v>
      </c>
      <c r="BM35">
        <f t="shared" si="45"/>
        <v>0.15734936452135018</v>
      </c>
      <c r="BN35">
        <f t="shared" si="26"/>
        <v>7.487120054020488E-2</v>
      </c>
      <c r="BO35">
        <f t="shared" si="27"/>
        <v>0.26447780948583161</v>
      </c>
      <c r="BP35">
        <f t="shared" si="46"/>
        <v>0.18960660894562673</v>
      </c>
      <c r="BQ35">
        <v>33</v>
      </c>
      <c r="BR35" s="10">
        <v>3</v>
      </c>
      <c r="BS35" s="10">
        <f t="shared" si="47"/>
        <v>91</v>
      </c>
      <c r="BT35" s="10">
        <v>2</v>
      </c>
      <c r="BU35" s="10">
        <f t="shared" si="48"/>
        <v>61</v>
      </c>
      <c r="BV35">
        <f t="shared" si="49"/>
        <v>10.694791914526117</v>
      </c>
      <c r="BW35">
        <f t="shared" si="28"/>
        <v>13.589660430785489</v>
      </c>
      <c r="BX35">
        <f t="shared" si="29"/>
        <v>7.0792964204631774</v>
      </c>
      <c r="BY35">
        <f t="shared" si="30"/>
        <v>9.0509016811522791</v>
      </c>
      <c r="BZ35">
        <f t="shared" si="31"/>
        <v>3.8297833094308991</v>
      </c>
      <c r="CA35" s="83">
        <v>0.10017172295363481</v>
      </c>
      <c r="CB35" s="83">
        <v>0.11401172083111351</v>
      </c>
      <c r="CE35" s="83">
        <v>0.24641333850329603</v>
      </c>
      <c r="CF35" s="83">
        <v>5.3083285632512869</v>
      </c>
      <c r="CG35" s="83">
        <v>5.7742940863079379</v>
      </c>
      <c r="CH35" s="83">
        <v>7.348645308259016</v>
      </c>
      <c r="CI35" s="8">
        <f t="shared" si="50"/>
        <v>2.0403167450077291</v>
      </c>
      <c r="CJ35" s="8">
        <f t="shared" si="51"/>
        <v>1.574351221951078</v>
      </c>
      <c r="CK35" s="8" t="str">
        <f t="shared" si="52"/>
        <v/>
      </c>
      <c r="CL35" s="8">
        <f t="shared" si="53"/>
        <v>0.1324016176721825</v>
      </c>
      <c r="CM35" s="8" t="str">
        <f t="shared" si="54"/>
        <v/>
      </c>
      <c r="CN35" s="8" t="str">
        <f t="shared" si="55"/>
        <v/>
      </c>
      <c r="DA35">
        <v>1</v>
      </c>
      <c r="DB35">
        <v>9.1951999999999998</v>
      </c>
      <c r="DC35">
        <v>11.5655</v>
      </c>
      <c r="DD35">
        <f t="shared" si="67"/>
        <v>9.1999999999999993</v>
      </c>
      <c r="DE35">
        <v>3</v>
      </c>
      <c r="DF35">
        <v>6</v>
      </c>
      <c r="DG35" s="10">
        <v>0.10792400654101997</v>
      </c>
      <c r="DJ35" s="83">
        <v>0.20978874712403264</v>
      </c>
      <c r="DK35" s="83">
        <v>0.18884787254711477</v>
      </c>
      <c r="DL35" s="83">
        <f t="shared" si="56"/>
        <v>7.5834002130072884</v>
      </c>
      <c r="DM35" s="83">
        <f t="shared" si="57"/>
        <v>6.8264338127395501</v>
      </c>
      <c r="DN35" s="83"/>
      <c r="DO35" s="83" t="str">
        <f t="shared" si="58"/>
        <v/>
      </c>
      <c r="DP35" s="83">
        <v>3.1903137418950007</v>
      </c>
      <c r="DQ35" s="83">
        <v>2.348965254841008</v>
      </c>
      <c r="DR35" s="83"/>
      <c r="DS35" s="8" t="str">
        <f t="shared" si="59"/>
        <v/>
      </c>
      <c r="DT35" s="8" t="str">
        <f t="shared" si="60"/>
        <v/>
      </c>
      <c r="DU35" s="8" t="str">
        <f t="shared" si="61"/>
        <v/>
      </c>
      <c r="DV35" s="8" t="str">
        <f t="shared" si="62"/>
        <v/>
      </c>
      <c r="DW35" s="8" t="str">
        <f t="shared" si="63"/>
        <v/>
      </c>
      <c r="DX35" s="8" t="str">
        <f t="shared" si="64"/>
        <v/>
      </c>
      <c r="EN35" s="50"/>
      <c r="EP35" s="10"/>
      <c r="EQ35" s="10"/>
      <c r="ER35" s="10"/>
      <c r="ES35" s="10"/>
      <c r="ET35" s="10"/>
      <c r="EU35" s="10"/>
      <c r="EV35" s="10"/>
      <c r="EW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</row>
    <row r="36" spans="5:164" x14ac:dyDescent="0.2">
      <c r="G36" t="s">
        <v>5</v>
      </c>
      <c r="H36">
        <v>7</v>
      </c>
      <c r="I36">
        <v>2</v>
      </c>
      <c r="J36" s="8">
        <v>7.7829360981037796</v>
      </c>
      <c r="K36" s="8">
        <v>42.514363638186801</v>
      </c>
      <c r="L36" s="8">
        <v>49.702700263709403</v>
      </c>
      <c r="M36" s="83">
        <v>5.6739999999999999E-2</v>
      </c>
      <c r="N36" s="83">
        <v>0.47898000000000002</v>
      </c>
      <c r="O36" s="8">
        <v>5.5059999999999998E-2</v>
      </c>
      <c r="P36" s="8">
        <v>0.45090000000000002</v>
      </c>
      <c r="Q36">
        <f t="shared" si="0"/>
        <v>1.6800000000000009E-3</v>
      </c>
      <c r="R36">
        <f t="shared" si="1"/>
        <v>2.8079999999999994E-2</v>
      </c>
      <c r="S36" s="8">
        <v>1.6118531479389069</v>
      </c>
      <c r="T36" s="8">
        <v>1.582526659213058</v>
      </c>
      <c r="U36" s="8">
        <v>1.6966746547839866</v>
      </c>
      <c r="V36">
        <f t="shared" si="2"/>
        <v>1.7987832043629103E-2</v>
      </c>
      <c r="W36">
        <f t="shared" si="3"/>
        <v>-7.0014347494556706E-2</v>
      </c>
      <c r="X36">
        <f t="shared" si="4"/>
        <v>-5.2026515450927603E-2</v>
      </c>
      <c r="Y36" s="8">
        <f t="shared" si="66"/>
        <v>1.6303514873119838</v>
      </c>
      <c r="Z36" s="8">
        <v>1.2564030148756731</v>
      </c>
      <c r="AA36" s="83">
        <v>0.18211021877596231</v>
      </c>
      <c r="AB36" s="83">
        <v>0.21230851921526464</v>
      </c>
      <c r="AC36" s="83">
        <f t="shared" si="5"/>
        <v>0.29690366603610091</v>
      </c>
      <c r="AD36" s="83">
        <f t="shared" si="6"/>
        <v>0.34613751007161159</v>
      </c>
      <c r="AE36" s="83">
        <f t="shared" si="32"/>
        <v>4.9233844035510677E-2</v>
      </c>
      <c r="AF36" s="8">
        <v>6.2529765185375572</v>
      </c>
      <c r="AG36" s="8">
        <v>31.520127787430017</v>
      </c>
      <c r="AH36" s="8">
        <f t="shared" si="33"/>
        <v>25.267151268892459</v>
      </c>
      <c r="AI36" s="8">
        <f t="shared" si="34"/>
        <v>3.0198300439302328E-2</v>
      </c>
      <c r="AJ36">
        <f t="shared" si="7"/>
        <v>0.3847730236558552</v>
      </c>
      <c r="AK36">
        <f t="shared" si="35"/>
        <v>0.52588565476389693</v>
      </c>
      <c r="AL36">
        <f t="shared" si="8"/>
        <v>0.37578346640310523</v>
      </c>
      <c r="AM36">
        <f t="shared" si="36"/>
        <v>0.42746105064225715</v>
      </c>
      <c r="AN36">
        <f t="shared" si="9"/>
        <v>0.29169312606476755</v>
      </c>
      <c r="AO36">
        <f t="shared" si="37"/>
        <v>0.26834975749900747</v>
      </c>
      <c r="AP36">
        <f t="shared" si="38"/>
        <v>8.4090340338337677E-2</v>
      </c>
      <c r="AQ36">
        <f t="shared" si="39"/>
        <v>0.15911129314324968</v>
      </c>
      <c r="AR36">
        <f t="shared" si="40"/>
        <v>8.989557252749969E-3</v>
      </c>
      <c r="AS36">
        <f t="shared" si="10"/>
        <v>234.46487244668259</v>
      </c>
      <c r="AT36">
        <f t="shared" si="11"/>
        <v>76.281929732475078</v>
      </c>
      <c r="AU36" s="24">
        <f t="shared" si="12"/>
        <v>8.739895338628062E-2</v>
      </c>
      <c r="AV36" s="24">
        <f t="shared" si="13"/>
        <v>0.18767779058303599</v>
      </c>
      <c r="AW36" s="24">
        <f t="shared" si="41"/>
        <v>11.44178461245709</v>
      </c>
      <c r="AX36" s="24">
        <f t="shared" si="14"/>
        <v>7.9318104137768422E-2</v>
      </c>
      <c r="AY36" s="24">
        <f t="shared" si="15"/>
        <v>0.11636225347248375</v>
      </c>
      <c r="AZ36" s="24">
        <f t="shared" si="16"/>
        <v>2.5619298552119739E-4</v>
      </c>
      <c r="BA36" s="24">
        <f t="shared" si="42"/>
        <v>7.1164718200332608E-4</v>
      </c>
      <c r="BB36">
        <f t="shared" si="17"/>
        <v>0.28999999999999998</v>
      </c>
      <c r="BC36">
        <f t="shared" si="18"/>
        <v>0.44</v>
      </c>
      <c r="BD36">
        <f t="shared" si="43"/>
        <v>0.15000000000000002</v>
      </c>
      <c r="BE36">
        <f t="shared" si="19"/>
        <v>3.0102671206461654E-2</v>
      </c>
      <c r="BF36">
        <f t="shared" si="20"/>
        <v>-8.7290883284690093</v>
      </c>
      <c r="BG36">
        <f t="shared" si="44"/>
        <v>0.28999999999999998</v>
      </c>
      <c r="BH36">
        <f t="shared" si="21"/>
        <v>0.45</v>
      </c>
      <c r="BI36">
        <f t="shared" si="22"/>
        <v>0.16000000000000003</v>
      </c>
      <c r="BJ36">
        <f t="shared" si="23"/>
        <v>8.4162919948326254E-2</v>
      </c>
      <c r="BK36">
        <f t="shared" si="24"/>
        <v>0.21537151338532734</v>
      </c>
      <c r="BL36">
        <f t="shared" si="25"/>
        <v>0.35477302365585517</v>
      </c>
      <c r="BM36">
        <f t="shared" si="45"/>
        <v>0.13940151027052783</v>
      </c>
      <c r="BN36">
        <f t="shared" si="26"/>
        <v>0.12652135633445993</v>
      </c>
      <c r="BO36">
        <f t="shared" si="27"/>
        <v>0.30223720368390439</v>
      </c>
      <c r="BP36">
        <f t="shared" si="46"/>
        <v>0.17571584734944445</v>
      </c>
      <c r="BQ36">
        <v>33</v>
      </c>
      <c r="BR36" s="10">
        <v>3</v>
      </c>
      <c r="BS36" s="10">
        <f t="shared" si="47"/>
        <v>91</v>
      </c>
      <c r="BT36" s="10">
        <v>2</v>
      </c>
      <c r="BU36" s="10">
        <f t="shared" si="48"/>
        <v>61</v>
      </c>
      <c r="BV36">
        <f t="shared" si="49"/>
        <v>10.694791914526117</v>
      </c>
      <c r="BW36">
        <f t="shared" si="28"/>
        <v>13.589660430785489</v>
      </c>
      <c r="BX36">
        <f t="shared" si="29"/>
        <v>7.0792964204631774</v>
      </c>
      <c r="BY36">
        <f t="shared" si="30"/>
        <v>9.0509016811522791</v>
      </c>
      <c r="BZ36">
        <f t="shared" si="31"/>
        <v>3.8297833094308991</v>
      </c>
      <c r="CA36" s="83">
        <v>0.13163135976824181</v>
      </c>
      <c r="CB36" s="83">
        <v>0.18052988293284039</v>
      </c>
      <c r="CE36" s="83">
        <v>0.24809305873379081</v>
      </c>
      <c r="CF36" s="83">
        <v>1.0255409197899692</v>
      </c>
      <c r="CG36" s="83">
        <v>1.5105863627028135</v>
      </c>
      <c r="CH36" s="83">
        <v>4.2695183384185089</v>
      </c>
      <c r="CI36" s="8">
        <f t="shared" si="50"/>
        <v>3.2439774186285399</v>
      </c>
      <c r="CJ36" s="8">
        <f t="shared" si="51"/>
        <v>2.7589319757156954</v>
      </c>
      <c r="CK36" s="8" t="str">
        <f t="shared" si="52"/>
        <v/>
      </c>
      <c r="CL36" s="8">
        <f t="shared" si="53"/>
        <v>6.756317580095042E-2</v>
      </c>
      <c r="CM36" s="8" t="str">
        <f t="shared" si="54"/>
        <v/>
      </c>
      <c r="CN36" s="8" t="str">
        <f t="shared" si="55"/>
        <v/>
      </c>
      <c r="DA36">
        <v>1</v>
      </c>
      <c r="DB36">
        <v>10.409800000000001</v>
      </c>
      <c r="DC36">
        <v>13.080590063110762</v>
      </c>
      <c r="DD36">
        <f t="shared" si="67"/>
        <v>10.4</v>
      </c>
      <c r="DE36">
        <v>3</v>
      </c>
      <c r="DF36">
        <v>7</v>
      </c>
      <c r="DG36" s="10">
        <v>0.12046747826229171</v>
      </c>
      <c r="DJ36" s="83">
        <v>0.10017172295363481</v>
      </c>
      <c r="DK36" s="83">
        <v>0.11401172083111351</v>
      </c>
      <c r="DL36" s="83">
        <f t="shared" si="56"/>
        <v>3.157425508185606</v>
      </c>
      <c r="DM36" s="83">
        <f t="shared" si="57"/>
        <v>3.5936640098614947</v>
      </c>
      <c r="DN36" s="83">
        <v>0.24641333850329603</v>
      </c>
      <c r="DO36" s="83">
        <f t="shared" si="58"/>
        <v>7.7669799181511401</v>
      </c>
      <c r="DP36" s="83">
        <v>5.3083285632512869</v>
      </c>
      <c r="DQ36" s="83">
        <v>5.7742940863079379</v>
      </c>
      <c r="DR36" s="83">
        <v>7.348645308259016</v>
      </c>
      <c r="DS36" s="8">
        <f t="shared" si="59"/>
        <v>2.0403167450077291</v>
      </c>
      <c r="DT36" s="8">
        <f t="shared" si="60"/>
        <v>1.574351221951078</v>
      </c>
      <c r="DU36" s="8">
        <f t="shared" si="61"/>
        <v>4.1733159082896449</v>
      </c>
      <c r="DV36" s="8">
        <f t="shared" si="62"/>
        <v>4.6095544099655346</v>
      </c>
      <c r="DW36" s="8">
        <f t="shared" si="63"/>
        <v>0.1324016176721825</v>
      </c>
      <c r="DX36" s="8">
        <f t="shared" si="64"/>
        <v>0.1462416155496612</v>
      </c>
      <c r="EN36" s="50"/>
      <c r="EP36" s="10"/>
      <c r="EQ36" s="10"/>
      <c r="ER36" s="10"/>
      <c r="ES36" s="10"/>
      <c r="ET36" s="10"/>
      <c r="EU36" s="10"/>
      <c r="EV36" s="10"/>
      <c r="EW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</row>
    <row r="37" spans="5:164" x14ac:dyDescent="0.2">
      <c r="G37" t="s">
        <v>5</v>
      </c>
      <c r="H37">
        <v>7</v>
      </c>
      <c r="I37">
        <v>3</v>
      </c>
      <c r="J37" s="8">
        <v>10.338272617300801</v>
      </c>
      <c r="K37" s="8">
        <v>50.3529108794148</v>
      </c>
      <c r="L37" s="8">
        <v>39.308816503284397</v>
      </c>
      <c r="M37" s="83">
        <v>3.8870000000000002E-2</v>
      </c>
      <c r="N37" s="83">
        <v>0.28448000000000001</v>
      </c>
      <c r="O37" s="8">
        <v>3.4040000000000001E-2</v>
      </c>
      <c r="P37" s="8">
        <v>0.32606000000000002</v>
      </c>
      <c r="Q37">
        <f t="shared" ref="Q37:Q64" si="68">IF(OR(M37="",O37=""),"",M37-O37)</f>
        <v>4.830000000000001E-3</v>
      </c>
      <c r="R37">
        <f t="shared" ref="R37:R64" si="69">IF(OR(N37="",P37=""),"",N37-P37)</f>
        <v>-4.1580000000000006E-2</v>
      </c>
      <c r="S37" s="8">
        <v>1.6946274412890716</v>
      </c>
      <c r="T37" s="8">
        <v>1.4219556643187989</v>
      </c>
      <c r="U37" s="8">
        <v>1.5275090331499233</v>
      </c>
      <c r="V37">
        <f t="shared" ref="V37:V64" si="70">IF(OR(S37="",T37=""),"",(S37-T37)/AVERAGE(S37:U37))</f>
        <v>0.17614106405942703</v>
      </c>
      <c r="W37">
        <f t="shared" ref="W37:W64" si="71">IF(OR(T37="",U37=""),"",(T37-U37)/AVERAGE(S37:U37))</f>
        <v>-6.8185577941197673E-2</v>
      </c>
      <c r="X37">
        <f t="shared" ref="X37:X64" si="72">IF(OR(S37="",U37=""),"",(S37-U37)/AVERAGE(S37:U37))</f>
        <v>0.10795548611822936</v>
      </c>
      <c r="Y37" s="8">
        <f>AVERAGE(S37,U37)</f>
        <v>1.6110682372194973</v>
      </c>
      <c r="Z37" s="8">
        <v>1.3030258344318753</v>
      </c>
      <c r="AA37" s="83">
        <v>0.21886989884897129</v>
      </c>
      <c r="AB37" s="83"/>
      <c r="AC37" s="83">
        <f t="shared" ref="AC37:AC64" si="73">IF(OR(AA37="",Y37=""),"",Y37*AA37)</f>
        <v>0.35261434211902187</v>
      </c>
      <c r="AD37" s="83" t="str">
        <f t="shared" ref="AD37:AD64" si="74">IF(OR(AB37="",Y37=""),"",Y37*AB37)</f>
        <v/>
      </c>
      <c r="AE37" s="83" t="str">
        <f t="shared" si="32"/>
        <v/>
      </c>
      <c r="AF37" s="8">
        <v>40.4544595074752</v>
      </c>
      <c r="AG37" s="8"/>
      <c r="AH37" s="8" t="str">
        <f t="shared" si="33"/>
        <v/>
      </c>
      <c r="AI37" s="8" t="str">
        <f t="shared" si="34"/>
        <v/>
      </c>
      <c r="AJ37">
        <f t="shared" ref="AJ37:AJ64" si="75">IF(Y37="","",1-Y37/2.65)</f>
        <v>0.39204972180396325</v>
      </c>
      <c r="AK37">
        <f t="shared" si="35"/>
        <v>0.50829213795023576</v>
      </c>
      <c r="AL37">
        <f t="shared" ref="AL37:AL64" si="76">IFERROR($AX37+(porosity-$AX37)*($AS37/330)^$AU37,"")</f>
        <v>0.35939295886036798</v>
      </c>
      <c r="AM37">
        <f t="shared" si="36"/>
        <v>0.38592269729187129</v>
      </c>
      <c r="AN37">
        <f t="shared" ref="AN37:AN64" si="77">IFERROR($AX37+(porosity-$AX37)*($AS37/15000)^$AU37,"")</f>
        <v>0.23892548059807628</v>
      </c>
      <c r="AO37">
        <f t="shared" si="37"/>
        <v>0.22505573311810137</v>
      </c>
      <c r="AP37">
        <f t="shared" si="38"/>
        <v>0.12046747826229171</v>
      </c>
      <c r="AQ37">
        <f t="shared" si="39"/>
        <v>0.16086696417376992</v>
      </c>
      <c r="AR37">
        <f t="shared" si="40"/>
        <v>3.2656762943595263E-2</v>
      </c>
      <c r="AS37">
        <f t="shared" si="10"/>
        <v>158.01236649436706</v>
      </c>
      <c r="AT37">
        <f t="shared" ref="AT37:AT64" si="78">IF(AK37="","",EXP(5.3396738+0.1845038*clay-2.48394546*AK37-0.00213853*clay^2-0.04356349*sand*AK37-0.61745089*clay*AK37+0.00143598*sand^2*AK37^2-0.00855375*clay^2*AK37^2-0.00001282*sand^2*clay+0.00895359*clay^2*AK37-0.00072472*sand^2*AK37+0.0000054*clay^2*sand+0.5002806*AK37^2*clay))</f>
        <v>66.046865960499531</v>
      </c>
      <c r="AU37" s="24">
        <f t="shared" si="12"/>
        <v>0.1555471068750427</v>
      </c>
      <c r="AV37" s="24">
        <f t="shared" ref="AV37:AV64" si="79">IF(AK37="","",EXP(-0.7842831+0.0177544*sand-1.062498*AK37-0.00005304*sand^2-0.00273493*clay^2+1.11134946*AK37^2-0.03088295*sand*AK37+0.00026587*sand^2*AK37^2-0.00610522*clay^2*AK37^2-0.00000235*sand^2*clay+0.00798746*clay^2*AK37-0.00674491*AK37^2*clay))</f>
        <v>0.22706345076723583</v>
      </c>
      <c r="AW37" s="24">
        <f t="shared" si="41"/>
        <v>6.4289206021899243</v>
      </c>
      <c r="AX37" s="24">
        <f t="shared" si="14"/>
        <v>9.0317041073325832E-2</v>
      </c>
      <c r="AY37" s="24">
        <f t="shared" ref="AY37:AY64" si="80">IF(AK37="","",-0.0182482+0.00087269*sand+0.00513488*clay+0.02939286*AK37-0.00015395*clay^2-0.0010827*sand*AK37-0.00018233*clay^2*AK37^2+0.00030703*clay^2*AK37-0.0023584*AK37^2*clay)</f>
        <v>0.10839203172643301</v>
      </c>
      <c r="AZ37" s="24">
        <f t="shared" si="16"/>
        <v>2.5579329547761763E-3</v>
      </c>
      <c r="BA37" s="24">
        <f t="shared" si="42"/>
        <v>7.1053693188227116E-3</v>
      </c>
      <c r="BB37">
        <f t="shared" si="17"/>
        <v>0.23</v>
      </c>
      <c r="BC37">
        <f t="shared" si="18"/>
        <v>0.39</v>
      </c>
      <c r="BD37">
        <f t="shared" si="43"/>
        <v>0.16</v>
      </c>
      <c r="BE37">
        <f t="shared" si="19"/>
        <v>5.8801129966510712E-2</v>
      </c>
      <c r="BF37">
        <f t="shared" si="20"/>
        <v>-6.7166804270491038</v>
      </c>
      <c r="BG37">
        <f t="shared" si="44"/>
        <v>0.22</v>
      </c>
      <c r="BH37">
        <f t="shared" si="21"/>
        <v>0.39</v>
      </c>
      <c r="BI37">
        <f t="shared" si="22"/>
        <v>0.17</v>
      </c>
      <c r="BJ37">
        <f t="shared" ref="BJ37:BJ64" si="81">IF(Y37="","",-0.39*Y37+0.72)</f>
        <v>9.1683387484395973E-2</v>
      </c>
      <c r="BK37">
        <f t="shared" ref="BK37:BK64" si="82">IF(Y37="","",0.2376*Y37-0.172)</f>
        <v>0.2107898131633526</v>
      </c>
      <c r="BL37">
        <f t="shared" ref="BL37:BL64" si="83">IF(Y37="","",MIN((1-Y37/2.65)-0.03,0.1737*Y37+0.084))</f>
        <v>0.36204972180396322</v>
      </c>
      <c r="BM37">
        <f t="shared" si="45"/>
        <v>0.15125990864061062</v>
      </c>
      <c r="BN37">
        <f t="shared" ref="BN37:BN64" si="84">IF(Z37="","",0.2376*Z37-0.172)</f>
        <v>0.1375989382610136</v>
      </c>
      <c r="BO37">
        <f t="shared" ref="BO37:BO64" si="85">IF(Z37="","",MIN((1-Z37/2.65)-0.03,0.1737*Z37+0.084))</f>
        <v>0.31033558744081674</v>
      </c>
      <c r="BP37">
        <f t="shared" si="46"/>
        <v>0.17273664917980314</v>
      </c>
      <c r="BQ37">
        <v>33</v>
      </c>
      <c r="BR37" s="10">
        <v>3</v>
      </c>
      <c r="BS37" s="10">
        <f t="shared" si="47"/>
        <v>91</v>
      </c>
      <c r="BT37" s="10">
        <v>2</v>
      </c>
      <c r="BU37" s="10">
        <f t="shared" si="48"/>
        <v>61</v>
      </c>
      <c r="BV37">
        <f t="shared" si="49"/>
        <v>10.694791914526117</v>
      </c>
      <c r="BW37">
        <f t="shared" ref="BW37:BW64" si="86">IF($I37=1,IF($BR37=2,AVERAGE($BM37:$BM38),IF($BR37=3,AVERAGE($BM37:$BM39),IF($BR37=4,AVERAGE($BM37:$BM40),AVERAGE($BM37:$BM41))))*$BS37,BW36)</f>
        <v>13.589660430785489</v>
      </c>
      <c r="BX37">
        <f t="shared" ref="BX37:BX64" si="87">IF($I37=1,IF($BT37=2,AVERAGE($AP37:$AP38),IF($BT37=3,AVERAGE($AP37:$AP39),IF($BT37=4,AVERAGE($AP37:$AP40),AVERAGE($AP37:$AP41))))*$BU37,BX36)</f>
        <v>7.0792964204631774</v>
      </c>
      <c r="BY37">
        <f t="shared" ref="BY37:BY64" si="88">IF($I37=1,IF($BT37=2,AVERAGE($BM37:$BM38),IF($BT37=3,AVERAGE($BM37:$BM39),IF($BT37=4,AVERAGE($BM37:$BM40),AVERAGE($BM37:$BM41))))*$BU37,BY36)</f>
        <v>9.0509016811522791</v>
      </c>
      <c r="BZ37">
        <f t="shared" ref="BZ37:BZ64" si="89">IF(I37=1,IF(BQ37&lt;60,BQ37*AVERAGE(AP37:AP38),IF(BQ37&lt;90,BQ37*AVERAGE(AP37:AP39),IF(BQ37&lt;122,BQ37*AVERAGE(AP37:AP40),BQ37*AVERAGE(AP37:AP41)))),BZ36)</f>
        <v>3.8297833094308991</v>
      </c>
      <c r="CA37" s="83">
        <v>0.1794093851132684</v>
      </c>
      <c r="CB37" s="83">
        <v>0.1595</v>
      </c>
      <c r="CE37" s="83">
        <v>0.24390642892196954</v>
      </c>
      <c r="CF37" s="83">
        <v>2.0492238066343034</v>
      </c>
      <c r="CG37" s="83">
        <v>2.4514245624999997</v>
      </c>
      <c r="CH37" s="83">
        <v>5.7639514150171758</v>
      </c>
      <c r="CI37" s="8">
        <f t="shared" si="50"/>
        <v>3.7147276083828724</v>
      </c>
      <c r="CJ37" s="8">
        <f t="shared" si="51"/>
        <v>3.312526852517176</v>
      </c>
      <c r="CK37" s="8" t="str">
        <f t="shared" si="52"/>
        <v/>
      </c>
      <c r="CL37" s="8">
        <f t="shared" si="53"/>
        <v>8.4406428921969534E-2</v>
      </c>
      <c r="CM37" s="8" t="str">
        <f t="shared" si="54"/>
        <v/>
      </c>
      <c r="CN37" s="8" t="str">
        <f t="shared" si="55"/>
        <v/>
      </c>
      <c r="DA37">
        <v>1</v>
      </c>
      <c r="DB37">
        <v>10.3429</v>
      </c>
      <c r="DC37">
        <v>13.049851688833604</v>
      </c>
      <c r="DD37">
        <f t="shared" si="67"/>
        <v>10.3</v>
      </c>
      <c r="DE37">
        <v>3</v>
      </c>
      <c r="DF37">
        <v>8</v>
      </c>
      <c r="DG37" s="10">
        <v>0.11511830466318679</v>
      </c>
      <c r="DJ37" s="83">
        <v>0.13163135976824181</v>
      </c>
      <c r="DK37" s="83">
        <v>0.18052988293284039</v>
      </c>
      <c r="DL37" s="83" t="str">
        <f t="shared" si="56"/>
        <v/>
      </c>
      <c r="DM37" s="83" t="str">
        <f t="shared" si="57"/>
        <v/>
      </c>
      <c r="DN37" s="83">
        <v>0.24809305873379081</v>
      </c>
      <c r="DO37" s="83" t="str">
        <f t="shared" si="58"/>
        <v/>
      </c>
      <c r="DP37" s="83">
        <v>1.0255409197899692</v>
      </c>
      <c r="DQ37" s="83">
        <v>1.5105863627028135</v>
      </c>
      <c r="DR37" s="83">
        <v>4.2695183384185089</v>
      </c>
      <c r="DS37" s="8">
        <f t="shared" si="59"/>
        <v>3.2439774186285399</v>
      </c>
      <c r="DT37" s="8">
        <f t="shared" si="60"/>
        <v>2.7589319757156954</v>
      </c>
      <c r="DU37" s="8" t="str">
        <f t="shared" si="61"/>
        <v/>
      </c>
      <c r="DV37" s="8" t="str">
        <f t="shared" si="62"/>
        <v/>
      </c>
      <c r="DW37" s="8">
        <f t="shared" si="63"/>
        <v>6.756317580095042E-2</v>
      </c>
      <c r="DX37" s="8">
        <f t="shared" si="64"/>
        <v>0.116461698965549</v>
      </c>
      <c r="EN37" s="50"/>
      <c r="EP37" s="10"/>
      <c r="EQ37" s="10"/>
      <c r="ER37" s="10"/>
      <c r="ES37" s="10"/>
      <c r="ET37" s="10"/>
      <c r="EU37" s="10"/>
      <c r="EV37" s="10"/>
      <c r="EW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</row>
    <row r="38" spans="5:164" x14ac:dyDescent="0.2">
      <c r="G38" t="s">
        <v>5</v>
      </c>
      <c r="H38">
        <v>7</v>
      </c>
      <c r="I38">
        <v>4</v>
      </c>
      <c r="J38" s="8">
        <v>26.401428067278097</v>
      </c>
      <c r="K38" s="8">
        <v>42.519949428327102</v>
      </c>
      <c r="L38" s="8">
        <v>31.078622504394897</v>
      </c>
      <c r="M38" s="83"/>
      <c r="N38" s="83"/>
      <c r="O38" s="8">
        <v>4.2139999999999997E-2</v>
      </c>
      <c r="P38" s="8">
        <v>0.36621999999999999</v>
      </c>
      <c r="Q38" t="str">
        <f t="shared" si="68"/>
        <v/>
      </c>
      <c r="R38" t="str">
        <f t="shared" si="69"/>
        <v/>
      </c>
      <c r="V38" t="str">
        <f t="shared" si="70"/>
        <v/>
      </c>
      <c r="W38" t="str">
        <f t="shared" si="71"/>
        <v/>
      </c>
      <c r="X38" t="str">
        <f t="shared" si="72"/>
        <v/>
      </c>
      <c r="AA38" s="83"/>
      <c r="AB38" s="83"/>
      <c r="AC38" s="83" t="str">
        <f t="shared" si="73"/>
        <v/>
      </c>
      <c r="AD38" s="83" t="str">
        <f t="shared" si="74"/>
        <v/>
      </c>
      <c r="AE38" s="83" t="str">
        <f t="shared" si="32"/>
        <v/>
      </c>
      <c r="AF38" s="8"/>
      <c r="AG38" s="8"/>
      <c r="AH38" s="8" t="str">
        <f t="shared" si="33"/>
        <v/>
      </c>
      <c r="AI38" s="8" t="str">
        <f t="shared" si="34"/>
        <v/>
      </c>
      <c r="AJ38" t="str">
        <f t="shared" si="75"/>
        <v/>
      </c>
      <c r="AK38" t="str">
        <f t="shared" si="35"/>
        <v/>
      </c>
      <c r="AL38" t="str">
        <f t="shared" si="76"/>
        <v/>
      </c>
      <c r="AM38" t="str">
        <f t="shared" si="36"/>
        <v/>
      </c>
      <c r="AN38" t="str">
        <f t="shared" si="77"/>
        <v/>
      </c>
      <c r="AO38" t="str">
        <f t="shared" si="37"/>
        <v/>
      </c>
      <c r="AQ38" t="str">
        <f t="shared" si="39"/>
        <v/>
      </c>
      <c r="AR38" t="str">
        <f>IF(OR(AJ38="",AL38=""),"",AJ38-AL38)</f>
        <v/>
      </c>
      <c r="AS38" s="26" t="str">
        <f>IFERROR(EXP(5.34+0.185*(clay/100)-2.484*porosity-0.002*(clay/100)^2-0.044*(sand/100)*porosity+0.001*(sand/100)^2*porosity^2-0.009*(clay/100)^2*porosity^2-0.00001*(sand/100)^2*(clay/100)+0.009*(clay/100)^2*(sand/100)-0.0007*(sand/100)^2*porosity+0.000005*(clay/100)^2*(sand/100)-0.5*porosity^2*clay/100),"")</f>
        <v/>
      </c>
      <c r="AT38" t="str">
        <f t="shared" si="78"/>
        <v/>
      </c>
      <c r="AU38" s="24" t="str">
        <f>IFERROR(EXP(-0.784+0.018*sand-1.062*porosity-0.00005*sand^2-0.003*clay^2+1.111*porosity^2-0.031*sand*porosity+0.0003*sand^2*porosity^2-0.006*clay^2*porosity^2-0.000002*sand^2*clay+0.008*clay^2*porosity-0.007*porosity^2*clay),"")</f>
        <v/>
      </c>
      <c r="AV38" s="24" t="str">
        <f t="shared" si="79"/>
        <v/>
      </c>
      <c r="AW38" s="24"/>
      <c r="AX38" s="24" t="str">
        <f>IFERROR(MAX(0,-0.018+0.0009*sand+0.005*clay+0.029*porosity-0.0002*clay^2-0.001*sand*porosity-0.0002*clay^2*porosity^2+0.0003*clay^2*porosity-0.002*porosity^2*clay),"")</f>
        <v/>
      </c>
      <c r="AY38" s="24" t="str">
        <f t="shared" si="80"/>
        <v/>
      </c>
      <c r="AZ38" s="24"/>
      <c r="BA38" s="24"/>
      <c r="BJ38" t="str">
        <f t="shared" si="81"/>
        <v/>
      </c>
      <c r="BK38" t="str">
        <f t="shared" si="82"/>
        <v/>
      </c>
      <c r="BL38" t="str">
        <f t="shared" si="83"/>
        <v/>
      </c>
      <c r="BN38" t="str">
        <f t="shared" si="84"/>
        <v/>
      </c>
      <c r="BO38" t="str">
        <f t="shared" si="85"/>
        <v/>
      </c>
      <c r="BP38" t="str">
        <f t="shared" si="46"/>
        <v/>
      </c>
      <c r="BQ38">
        <v>33</v>
      </c>
      <c r="BR38" s="10">
        <v>3</v>
      </c>
      <c r="BS38" s="10">
        <f t="shared" si="47"/>
        <v>91</v>
      </c>
      <c r="BT38" s="10">
        <v>2</v>
      </c>
      <c r="BU38" s="10">
        <f t="shared" si="48"/>
        <v>61</v>
      </c>
      <c r="BV38">
        <f t="shared" ref="BV38:BV64" si="90">IF(I38=1,IF(BR38=2,AVERAGE(AP38:AP39),IF(BR38=3,AVERAGE(AP38:AP40),IF(BR38=4,AVERAGE(AP38:AP41),AVERAGE(AP38:AP42))))*BS38,BV37)</f>
        <v>10.694791914526117</v>
      </c>
      <c r="BW38">
        <f t="shared" si="86"/>
        <v>13.589660430785489</v>
      </c>
      <c r="BX38">
        <f t="shared" si="87"/>
        <v>7.0792964204631774</v>
      </c>
      <c r="BY38">
        <f t="shared" si="88"/>
        <v>9.0509016811522791</v>
      </c>
      <c r="BZ38">
        <f t="shared" si="89"/>
        <v>3.8297833094308991</v>
      </c>
      <c r="CA38" s="83"/>
      <c r="CB38" s="83"/>
      <c r="CE38" s="83"/>
      <c r="CF38" s="83"/>
      <c r="CG38" s="83"/>
      <c r="CH38" s="83"/>
      <c r="CI38" s="8" t="str">
        <f t="shared" si="50"/>
        <v/>
      </c>
      <c r="CJ38" s="8" t="str">
        <f t="shared" si="51"/>
        <v/>
      </c>
      <c r="CK38" s="8" t="str">
        <f t="shared" si="52"/>
        <v/>
      </c>
      <c r="CL38" s="8" t="str">
        <f t="shared" si="53"/>
        <v/>
      </c>
      <c r="CM38" s="8" t="str">
        <f t="shared" si="54"/>
        <v/>
      </c>
      <c r="CN38" s="8" t="str">
        <f t="shared" si="55"/>
        <v/>
      </c>
      <c r="DA38">
        <v>1</v>
      </c>
      <c r="DB38">
        <v>9.2567000000000004</v>
      </c>
      <c r="DC38">
        <v>11.625004020694824</v>
      </c>
      <c r="DD38">
        <f t="shared" si="67"/>
        <v>9.3000000000000007</v>
      </c>
      <c r="DE38">
        <v>3</v>
      </c>
      <c r="DF38">
        <v>9</v>
      </c>
      <c r="DG38" s="10">
        <v>0.12739224455245587</v>
      </c>
      <c r="DJ38" s="83">
        <v>0.1794093851132684</v>
      </c>
      <c r="DK38" s="83">
        <v>0.1595</v>
      </c>
      <c r="DL38" s="83" t="str">
        <f t="shared" si="56"/>
        <v/>
      </c>
      <c r="DM38" s="83" t="str">
        <f t="shared" si="57"/>
        <v/>
      </c>
      <c r="DN38" s="83">
        <v>0.24390642892196954</v>
      </c>
      <c r="DO38" s="83" t="str">
        <f t="shared" si="58"/>
        <v/>
      </c>
      <c r="DP38" s="83">
        <v>2.0492238066343034</v>
      </c>
      <c r="DQ38" s="83">
        <v>2.4514245624999997</v>
      </c>
      <c r="DR38" s="83">
        <v>5.7639514150171758</v>
      </c>
      <c r="DS38" s="8">
        <f t="shared" si="59"/>
        <v>3.7147276083828724</v>
      </c>
      <c r="DT38" s="8">
        <f t="shared" si="60"/>
        <v>3.312526852517176</v>
      </c>
      <c r="DU38" s="8" t="str">
        <f t="shared" si="61"/>
        <v/>
      </c>
      <c r="DV38" s="8" t="str">
        <f t="shared" si="62"/>
        <v/>
      </c>
      <c r="DW38" s="8">
        <f t="shared" si="63"/>
        <v>8.4406428921969534E-2</v>
      </c>
      <c r="DX38" s="8">
        <f t="shared" si="64"/>
        <v>6.4497043808701138E-2</v>
      </c>
      <c r="EN38" s="50"/>
      <c r="EP38" s="10"/>
      <c r="EQ38" s="10"/>
      <c r="ER38" s="10"/>
      <c r="ES38" s="10"/>
      <c r="ET38" s="10"/>
      <c r="EU38" s="10"/>
      <c r="EV38" s="10"/>
      <c r="EW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</row>
    <row r="39" spans="5:164" x14ac:dyDescent="0.2">
      <c r="G39" t="s">
        <v>5</v>
      </c>
      <c r="H39">
        <v>7</v>
      </c>
      <c r="I39">
        <v>5</v>
      </c>
      <c r="M39" s="83"/>
      <c r="N39" s="83"/>
      <c r="O39" s="8"/>
      <c r="P39" s="8"/>
      <c r="Q39" t="str">
        <f t="shared" si="68"/>
        <v/>
      </c>
      <c r="R39" t="str">
        <f t="shared" si="69"/>
        <v/>
      </c>
      <c r="V39" t="str">
        <f t="shared" si="70"/>
        <v/>
      </c>
      <c r="W39" t="str">
        <f t="shared" si="71"/>
        <v/>
      </c>
      <c r="X39" t="str">
        <f t="shared" si="72"/>
        <v/>
      </c>
      <c r="AA39" s="83"/>
      <c r="AB39" s="83"/>
      <c r="AC39" s="83" t="str">
        <f t="shared" si="73"/>
        <v/>
      </c>
      <c r="AD39" s="83" t="str">
        <f t="shared" si="74"/>
        <v/>
      </c>
      <c r="AE39" s="83" t="str">
        <f t="shared" si="32"/>
        <v/>
      </c>
      <c r="AF39" s="8"/>
      <c r="AG39" s="8"/>
      <c r="AH39" s="8" t="str">
        <f t="shared" si="33"/>
        <v/>
      </c>
      <c r="AI39" s="8" t="str">
        <f t="shared" si="34"/>
        <v/>
      </c>
      <c r="AJ39" t="str">
        <f t="shared" si="75"/>
        <v/>
      </c>
      <c r="AK39" t="str">
        <f t="shared" si="35"/>
        <v/>
      </c>
      <c r="AL39" t="str">
        <f t="shared" si="76"/>
        <v/>
      </c>
      <c r="AM39" t="str">
        <f t="shared" si="36"/>
        <v/>
      </c>
      <c r="AN39" t="str">
        <f t="shared" si="77"/>
        <v/>
      </c>
      <c r="AO39" t="str">
        <f t="shared" si="37"/>
        <v/>
      </c>
      <c r="AQ39" t="str">
        <f t="shared" si="39"/>
        <v/>
      </c>
      <c r="AR39" t="str">
        <f t="shared" si="40"/>
        <v/>
      </c>
      <c r="AS39" s="26" t="str">
        <f>IFERROR(EXP(5.34+0.185*(clay/100)-2.484*porosity-0.002*(clay/100)^2-0.044*(sand/100)*porosity+0.001*(sand/100)^2*porosity^2-0.009*(clay/100)^2*porosity^2-0.00001*(sand/100)^2*(clay/100)+0.009*(clay/100)^2*(sand/100)-0.0007*(sand/100)^2*porosity+0.000005*(clay/100)^2*(sand/100)-0.5*porosity^2*clay/100),"")</f>
        <v/>
      </c>
      <c r="AT39" t="str">
        <f t="shared" si="78"/>
        <v/>
      </c>
      <c r="AU39" s="24" t="str">
        <f>IFERROR(EXP(-0.784+0.018*sand-1.062*porosity-0.00005*sand^2-0.003*clay^2+1.111*porosity^2-0.031*sand*porosity+0.0003*sand^2*porosity^2-0.006*clay^2*porosity^2-0.000002*sand^2*clay+0.008*clay^2*porosity-0.007*porosity^2*clay),"")</f>
        <v/>
      </c>
      <c r="AV39" s="24" t="str">
        <f t="shared" si="79"/>
        <v/>
      </c>
      <c r="AW39" s="24"/>
      <c r="AX39" s="24" t="str">
        <f>IFERROR(MAX(0,-0.018+0.0009*sand+0.005*clay+0.029*porosity-0.0002*clay^2-0.001*sand*porosity-0.0002*clay^2*porosity^2+0.0003*clay^2*porosity-0.002*porosity^2*clay),"")</f>
        <v/>
      </c>
      <c r="AY39" s="24" t="str">
        <f t="shared" si="80"/>
        <v/>
      </c>
      <c r="AZ39" s="24"/>
      <c r="BA39" s="24"/>
      <c r="BJ39" t="str">
        <f t="shared" si="81"/>
        <v/>
      </c>
      <c r="BK39" t="str">
        <f t="shared" si="82"/>
        <v/>
      </c>
      <c r="BL39" t="str">
        <f t="shared" si="83"/>
        <v/>
      </c>
      <c r="BN39" t="str">
        <f t="shared" si="84"/>
        <v/>
      </c>
      <c r="BO39" t="str">
        <f t="shared" si="85"/>
        <v/>
      </c>
      <c r="BP39" t="str">
        <f t="shared" si="46"/>
        <v/>
      </c>
      <c r="BQ39">
        <v>33</v>
      </c>
      <c r="BR39" s="10">
        <v>3</v>
      </c>
      <c r="BS39" s="10">
        <f t="shared" si="47"/>
        <v>91</v>
      </c>
      <c r="BT39" s="10">
        <v>2</v>
      </c>
      <c r="BU39" s="10">
        <f t="shared" si="48"/>
        <v>61</v>
      </c>
      <c r="BV39">
        <f t="shared" si="90"/>
        <v>10.694791914526117</v>
      </c>
      <c r="BW39">
        <f t="shared" si="86"/>
        <v>13.589660430785489</v>
      </c>
      <c r="BX39">
        <f t="shared" si="87"/>
        <v>7.0792964204631774</v>
      </c>
      <c r="BY39">
        <f t="shared" si="88"/>
        <v>9.0509016811522791</v>
      </c>
      <c r="BZ39">
        <f t="shared" si="89"/>
        <v>3.8297833094308991</v>
      </c>
      <c r="CA39" s="83"/>
      <c r="CB39" s="83"/>
      <c r="CE39" s="83"/>
      <c r="CF39" s="83"/>
      <c r="CG39" s="83"/>
      <c r="CH39" s="83"/>
      <c r="CI39" s="8" t="str">
        <f t="shared" si="50"/>
        <v/>
      </c>
      <c r="CJ39" s="8" t="str">
        <f t="shared" si="51"/>
        <v/>
      </c>
      <c r="CK39" s="8" t="str">
        <f t="shared" si="52"/>
        <v/>
      </c>
      <c r="CL39" s="8" t="str">
        <f t="shared" si="53"/>
        <v/>
      </c>
      <c r="CM39" s="8" t="str">
        <f t="shared" si="54"/>
        <v/>
      </c>
      <c r="CN39" s="8" t="str">
        <f t="shared" si="55"/>
        <v/>
      </c>
      <c r="DA39">
        <v>1</v>
      </c>
      <c r="DB39">
        <v>10.2873</v>
      </c>
      <c r="DC39">
        <v>13.0305</v>
      </c>
      <c r="DD39">
        <f t="shared" si="67"/>
        <v>10.3</v>
      </c>
      <c r="DE39">
        <v>3</v>
      </c>
      <c r="DF39">
        <v>10</v>
      </c>
      <c r="DG39" s="10">
        <v>0.12774436040995063</v>
      </c>
      <c r="DJ39" s="83"/>
      <c r="DK39" s="83"/>
      <c r="DL39" s="83" t="str">
        <f t="shared" si="56"/>
        <v/>
      </c>
      <c r="DM39" s="83" t="str">
        <f t="shared" si="57"/>
        <v/>
      </c>
      <c r="DN39" s="83"/>
      <c r="DO39" s="83" t="str">
        <f t="shared" si="58"/>
        <v/>
      </c>
      <c r="DP39" s="83"/>
      <c r="DQ39" s="83"/>
      <c r="DR39" s="83"/>
      <c r="DS39" s="8" t="str">
        <f t="shared" si="59"/>
        <v/>
      </c>
      <c r="DT39" s="8" t="str">
        <f t="shared" si="60"/>
        <v/>
      </c>
      <c r="DU39" s="8" t="str">
        <f t="shared" si="61"/>
        <v/>
      </c>
      <c r="DV39" s="8" t="str">
        <f t="shared" si="62"/>
        <v/>
      </c>
      <c r="DW39" s="8" t="str">
        <f t="shared" si="63"/>
        <v/>
      </c>
      <c r="DX39" s="8" t="str">
        <f t="shared" si="64"/>
        <v/>
      </c>
      <c r="EN39" s="50"/>
      <c r="EP39" s="10"/>
      <c r="EQ39" s="10"/>
      <c r="ER39" s="10"/>
      <c r="ES39" s="10"/>
      <c r="ET39" s="10"/>
      <c r="EU39" s="10"/>
      <c r="EV39" s="10"/>
      <c r="EW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</row>
    <row r="40" spans="5:164" x14ac:dyDescent="0.2">
      <c r="G40" t="s">
        <v>5</v>
      </c>
      <c r="H40">
        <v>8</v>
      </c>
      <c r="I40">
        <v>1</v>
      </c>
      <c r="J40" s="8">
        <v>11.822743575097975</v>
      </c>
      <c r="K40" s="8">
        <v>58.166904204205707</v>
      </c>
      <c r="L40" s="8">
        <v>30.010352220696333</v>
      </c>
      <c r="M40" s="83"/>
      <c r="N40" s="83"/>
      <c r="O40" s="8">
        <v>0.15351333333333331</v>
      </c>
      <c r="P40" s="8">
        <v>2.1579999999999999</v>
      </c>
      <c r="Q40" t="str">
        <f t="shared" si="68"/>
        <v/>
      </c>
      <c r="R40" t="str">
        <f t="shared" si="69"/>
        <v/>
      </c>
      <c r="S40" s="8">
        <v>1.4496417313171264</v>
      </c>
      <c r="T40" s="8">
        <v>1.3740980895785844</v>
      </c>
      <c r="U40" s="8">
        <v>1.4437034398876345</v>
      </c>
      <c r="V40">
        <f t="shared" si="70"/>
        <v>5.3106956874694314E-2</v>
      </c>
      <c r="W40">
        <f t="shared" si="71"/>
        <v>-4.8932355550245665E-2</v>
      </c>
      <c r="X40">
        <f t="shared" si="72"/>
        <v>4.1746013244486485E-3</v>
      </c>
      <c r="Y40" s="8">
        <f>AVERAGE(S40:U40)</f>
        <v>1.4224810869277817</v>
      </c>
      <c r="Z40" s="8">
        <v>1.2338560646043213</v>
      </c>
      <c r="AA40" s="83">
        <v>0.11996215704824982</v>
      </c>
      <c r="AB40" s="83">
        <v>0.27560646900269542</v>
      </c>
      <c r="AC40" s="83">
        <f t="shared" si="73"/>
        <v>0.17064389954819567</v>
      </c>
      <c r="AD40" s="83">
        <f t="shared" si="74"/>
        <v>0.39204498959128214</v>
      </c>
      <c r="AE40" s="83">
        <f t="shared" si="32"/>
        <v>0.22140109004308647</v>
      </c>
      <c r="AF40" s="8">
        <v>6.3384238150273351</v>
      </c>
      <c r="AG40" s="8">
        <v>71.374672500968842</v>
      </c>
      <c r="AH40" s="8">
        <f t="shared" si="33"/>
        <v>65.036248685941501</v>
      </c>
      <c r="AI40" s="8">
        <f t="shared" si="34"/>
        <v>0.15564431195444561</v>
      </c>
      <c r="AJ40">
        <f t="shared" si="75"/>
        <v>0.46321468417819556</v>
      </c>
      <c r="AK40">
        <f t="shared" si="35"/>
        <v>0.53439393788516176</v>
      </c>
      <c r="AL40">
        <f t="shared" si="76"/>
        <v>0.34382169773203686</v>
      </c>
      <c r="AM40">
        <f t="shared" si="36"/>
        <v>0.35048610174587713</v>
      </c>
      <c r="AN40">
        <f t="shared" si="77"/>
        <v>0.18715394618928016</v>
      </c>
      <c r="AO40">
        <f t="shared" si="37"/>
        <v>0.18414369058634061</v>
      </c>
      <c r="AP40">
        <f t="shared" si="38"/>
        <v>0.15666775154275669</v>
      </c>
      <c r="AQ40">
        <f t="shared" si="39"/>
        <v>0.16634241115953652</v>
      </c>
      <c r="AR40">
        <f t="shared" si="40"/>
        <v>0.1193929864461587</v>
      </c>
      <c r="AS40">
        <f t="shared" ref="AS40:AS64" si="91">EXP(5.3396738+0.1845038*clay-2.48394546*porosity-0.00213853*clay^2-0.04356349*sand*porosity-0.61745089*clay*porosity+0.00143598*sand^2*porosity^2-0.00855375*clay^2*porosity^2-0.00001282*sand^2*clay+0.00895359*clay^2*porosity-0.00072472*sand^2*porosity+0.0000054*clay^2*sand+0.5002806*porosity^2*clay)</f>
        <v>72.3700033235733</v>
      </c>
      <c r="AT40">
        <f t="shared" si="78"/>
        <v>46.968033161068639</v>
      </c>
      <c r="AU40" s="24">
        <f t="shared" ref="AU40:AU64" si="92">EXP(-0.7842831+0.0177544*sand-1.062498*porosity-0.00005304*sand^2-0.00273493*clay^2+1.11134946*porosity^2-0.03088295*sand*porosity+0.00026587*sand^2*porosity^2-0.00610522*clay^2*porosity^2-0.00000235*sand^2*clay+0.00798746*clay^2*porosity-0.00674491*porosity^2*clay)</f>
        <v>0.25649132318712603</v>
      </c>
      <c r="AV40" s="24">
        <f t="shared" si="79"/>
        <v>0.27985097137550619</v>
      </c>
      <c r="AW40" s="24">
        <f t="shared" si="41"/>
        <v>3.8987673640345295</v>
      </c>
      <c r="AX40" s="24">
        <f t="shared" ref="AX40:AX64" si="93">-0.0182482+0.00087269*sand+0.00513488*clay+0.02939286*porosity-0.00015395*clay^2-0.0010827*sand*porosity-0.00018233*clay^2*porosity^2+0.00030703*clay^2*porosity-0.0023584*porosity^2*clay</f>
        <v>9.2870630498854162E-2</v>
      </c>
      <c r="AY40" s="24">
        <f t="shared" si="80"/>
        <v>9.7047811446315274E-2</v>
      </c>
      <c r="AZ40" s="24">
        <f t="shared" ref="AZ40:AZ64" si="94">EXP(19.52348*porosity-8.96847-0.028212*clay+0.00018107*sand^2-0.0094125*clay^2-8.395215*porosity^2+0.077718*sand*porosity-0.00298*sand^2*porosity^2-0.019492*clay^2*porosity^2+0.0000173*sand^2*clay+0.02733*clay^2*porosity+0.001434*sand^2*porosity-0.0000035*clay^2*sand)</f>
        <v>5.3640049027163843E-2</v>
      </c>
      <c r="BA40" s="24">
        <f t="shared" si="42"/>
        <v>0.14900013618656624</v>
      </c>
      <c r="BB40">
        <f t="shared" ref="BB40:BB64" si="95">ROUND(0.005*clay+0.0158*1.72*AVERAGE(N40,P40)+0.026,2)</f>
        <v>0.23</v>
      </c>
      <c r="BC40">
        <f t="shared" ref="BC40:BC64" si="96">ROUND(0.2576-0.002*sand+0.0036*clay+0.0229*1.72*AVERAGE(N40,P40),2)</f>
        <v>0.43</v>
      </c>
      <c r="BD40">
        <f t="shared" si="43"/>
        <v>0.19999999999999998</v>
      </c>
      <c r="BE40">
        <f t="shared" ref="BE40:BE64" si="97">100*EXP(-4.396-0.0715*clay-4.88*10^-4*sand^2-4.285*10^-5*sand^2*clay)</f>
        <v>0.11253095016714609</v>
      </c>
      <c r="BF40">
        <f t="shared" ref="BF40:BF64" si="98">-3.14-0.00222*clay^2-3.484*10^-5*sand^2*clay</f>
        <v>-5.2855247654180886</v>
      </c>
      <c r="BG40">
        <f t="shared" ref="BG40:BG64" si="99">ROUND((1500/BE40)^(1/BF40),2)</f>
        <v>0.17</v>
      </c>
      <c r="BH40">
        <f t="shared" ref="BH40:BH64" si="100">ROUND((33/BE40)^(1/BF40),2)</f>
        <v>0.34</v>
      </c>
      <c r="BI40">
        <f t="shared" ref="BI40:BI64" si="101">BH40-BG40</f>
        <v>0.17</v>
      </c>
      <c r="BJ40">
        <f t="shared" si="81"/>
        <v>0.1652323760981651</v>
      </c>
      <c r="BK40">
        <f t="shared" si="82"/>
        <v>0.16598150625404096</v>
      </c>
      <c r="BL40">
        <f t="shared" si="83"/>
        <v>0.33108496479935567</v>
      </c>
      <c r="BM40">
        <f t="shared" si="45"/>
        <v>0.16510345854531472</v>
      </c>
      <c r="BN40">
        <f t="shared" si="84"/>
        <v>0.12116420094998676</v>
      </c>
      <c r="BO40">
        <f t="shared" si="85"/>
        <v>0.29832079842177062</v>
      </c>
      <c r="BP40">
        <f t="shared" si="46"/>
        <v>0.17715659747178386</v>
      </c>
      <c r="BQ40">
        <v>55</v>
      </c>
      <c r="BR40" s="10">
        <v>4</v>
      </c>
      <c r="BS40" s="10">
        <f t="shared" si="47"/>
        <v>122</v>
      </c>
      <c r="BT40" s="10">
        <v>4</v>
      </c>
      <c r="BU40" s="10">
        <f t="shared" si="48"/>
        <v>122</v>
      </c>
      <c r="BV40">
        <f t="shared" si="90"/>
        <v>16.825722021388341</v>
      </c>
      <c r="BW40">
        <f t="shared" si="86"/>
        <v>19.606170005951753</v>
      </c>
      <c r="BX40">
        <f t="shared" si="87"/>
        <v>16.825722021388341</v>
      </c>
      <c r="BY40">
        <f t="shared" si="88"/>
        <v>19.606170005951753</v>
      </c>
      <c r="BZ40">
        <f t="shared" si="89"/>
        <v>8.7697905732174242</v>
      </c>
      <c r="CA40" s="83">
        <v>0.11449159327461969</v>
      </c>
      <c r="CB40" s="83">
        <v>0.12255809171293425</v>
      </c>
      <c r="CE40" s="83">
        <v>0.26922346686918536</v>
      </c>
      <c r="CF40" s="83">
        <v>2.3743314651721379</v>
      </c>
      <c r="CG40" s="83">
        <v>4.1207236616628959</v>
      </c>
      <c r="CH40" s="83">
        <v>0.63302520410100616</v>
      </c>
      <c r="CI40" s="8">
        <f t="shared" si="50"/>
        <v>-1.7413062610711316</v>
      </c>
      <c r="CJ40" s="8">
        <f t="shared" si="51"/>
        <v>-3.4876984575618897</v>
      </c>
      <c r="CK40" s="8" t="str">
        <f t="shared" si="52"/>
        <v/>
      </c>
      <c r="CL40" s="8">
        <f t="shared" si="53"/>
        <v>0.14666537515625111</v>
      </c>
      <c r="CM40" s="8" t="str">
        <f t="shared" si="54"/>
        <v/>
      </c>
      <c r="CN40" s="8" t="str">
        <f t="shared" si="55"/>
        <v/>
      </c>
      <c r="DA40">
        <v>1</v>
      </c>
      <c r="DB40">
        <v>10.3841</v>
      </c>
      <c r="DC40">
        <v>13.188040867840915</v>
      </c>
      <c r="DD40">
        <f t="shared" si="67"/>
        <v>10.4</v>
      </c>
      <c r="DE40">
        <v>3</v>
      </c>
      <c r="DF40">
        <v>11</v>
      </c>
      <c r="DG40" s="10">
        <v>0.10967046881155462</v>
      </c>
      <c r="DJ40" s="83"/>
      <c r="DK40" s="83"/>
      <c r="DL40" s="83" t="str">
        <f t="shared" si="56"/>
        <v/>
      </c>
      <c r="DM40" s="83" t="str">
        <f t="shared" si="57"/>
        <v/>
      </c>
      <c r="DN40" s="83"/>
      <c r="DO40" s="83" t="str">
        <f t="shared" si="58"/>
        <v/>
      </c>
      <c r="DP40" s="83"/>
      <c r="DQ40" s="83"/>
      <c r="DR40" s="83"/>
      <c r="DS40" s="8" t="str">
        <f t="shared" si="59"/>
        <v/>
      </c>
      <c r="DT40" s="8" t="str">
        <f t="shared" si="60"/>
        <v/>
      </c>
      <c r="DU40" s="8" t="str">
        <f t="shared" si="61"/>
        <v/>
      </c>
      <c r="DV40" s="8" t="str">
        <f t="shared" si="62"/>
        <v/>
      </c>
      <c r="DW40" s="8" t="str">
        <f t="shared" si="63"/>
        <v/>
      </c>
      <c r="DX40" s="8" t="str">
        <f t="shared" si="64"/>
        <v/>
      </c>
      <c r="EN40" s="51"/>
      <c r="EP40" s="10"/>
      <c r="EQ40" s="10"/>
      <c r="ER40" s="10"/>
      <c r="ES40" s="10"/>
      <c r="ET40" s="10"/>
      <c r="EU40" s="10"/>
      <c r="EV40" s="10"/>
      <c r="EW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</row>
    <row r="41" spans="5:164" x14ac:dyDescent="0.2">
      <c r="E41">
        <v>100</v>
      </c>
      <c r="G41" t="s">
        <v>5</v>
      </c>
      <c r="H41">
        <v>8</v>
      </c>
      <c r="I41">
        <v>2</v>
      </c>
      <c r="J41" s="8">
        <v>12.3577396339938</v>
      </c>
      <c r="K41" s="8">
        <v>60.06058960242899</v>
      </c>
      <c r="L41" s="8">
        <v>27.581670763577197</v>
      </c>
      <c r="M41" s="83">
        <v>7.4459999999999998E-2</v>
      </c>
      <c r="N41" s="83">
        <v>0.72030000000000005</v>
      </c>
      <c r="O41" s="8">
        <v>7.1559999999999999E-2</v>
      </c>
      <c r="P41" s="8">
        <v>0.81945000000000001</v>
      </c>
      <c r="Q41">
        <f t="shared" si="68"/>
        <v>2.8999999999999998E-3</v>
      </c>
      <c r="R41">
        <f t="shared" si="69"/>
        <v>-9.914999999999996E-2</v>
      </c>
      <c r="S41" s="8">
        <v>1.3376923238534626</v>
      </c>
      <c r="T41" s="8">
        <v>1.5052974362253557</v>
      </c>
      <c r="U41" s="8">
        <v>1.3178495036356341</v>
      </c>
      <c r="V41">
        <f t="shared" si="70"/>
        <v>-0.12084469147861471</v>
      </c>
      <c r="W41">
        <f t="shared" si="71"/>
        <v>0.1351515312483258</v>
      </c>
      <c r="X41">
        <f t="shared" si="72"/>
        <v>1.43068397697111E-2</v>
      </c>
      <c r="Y41" s="8">
        <f>AVERAGE(S41,U41)</f>
        <v>1.3277709137445484</v>
      </c>
      <c r="Z41" s="8">
        <v>1.4613150041064884</v>
      </c>
      <c r="AA41" s="83">
        <v>0.18539724601334379</v>
      </c>
      <c r="AB41" s="83">
        <v>0.26459542505974737</v>
      </c>
      <c r="AC41" s="83">
        <f t="shared" si="73"/>
        <v>0.2461650707448603</v>
      </c>
      <c r="AD41" s="83">
        <f t="shared" si="74"/>
        <v>0.35132210930420793</v>
      </c>
      <c r="AE41" s="83">
        <f t="shared" si="32"/>
        <v>0.10515703855934763</v>
      </c>
      <c r="AF41" s="8">
        <v>9.2397072499137209</v>
      </c>
      <c r="AG41" s="8">
        <v>66.514435208478716</v>
      </c>
      <c r="AH41" s="8">
        <f t="shared" si="33"/>
        <v>57.274727958564995</v>
      </c>
      <c r="AI41" s="8">
        <f t="shared" si="34"/>
        <v>7.9198179046403583E-2</v>
      </c>
      <c r="AJ41">
        <f t="shared" si="75"/>
        <v>0.49895437217186855</v>
      </c>
      <c r="AK41">
        <f t="shared" si="35"/>
        <v>0.44856037580887231</v>
      </c>
      <c r="AL41">
        <f t="shared" si="76"/>
        <v>0.33727060638623169</v>
      </c>
      <c r="AM41">
        <f t="shared" si="36"/>
        <v>0.33146287857550805</v>
      </c>
      <c r="AN41">
        <f t="shared" si="77"/>
        <v>0.17503688253926386</v>
      </c>
      <c r="AO41">
        <f t="shared" si="37"/>
        <v>0.17634778176921101</v>
      </c>
      <c r="AP41">
        <f t="shared" si="38"/>
        <v>0.16223372384696783</v>
      </c>
      <c r="AQ41">
        <f t="shared" si="39"/>
        <v>0.15511509680629704</v>
      </c>
      <c r="AR41">
        <f t="shared" si="40"/>
        <v>0.16168376578563687</v>
      </c>
      <c r="AS41">
        <f t="shared" si="91"/>
        <v>54.944231768830136</v>
      </c>
      <c r="AT41">
        <f t="shared" si="78"/>
        <v>75.229815399574008</v>
      </c>
      <c r="AU41" s="24">
        <f t="shared" si="92"/>
        <v>0.28140107366209943</v>
      </c>
      <c r="AV41" s="24">
        <f t="shared" si="79"/>
        <v>0.26559994146996724</v>
      </c>
      <c r="AW41" s="24">
        <f t="shared" si="41"/>
        <v>3.5536467113866781</v>
      </c>
      <c r="AX41" s="24">
        <f t="shared" si="93"/>
        <v>9.0853369221675445E-2</v>
      </c>
      <c r="AY41" s="24">
        <f t="shared" si="80"/>
        <v>8.800489653704055E-2</v>
      </c>
      <c r="AZ41" s="24">
        <f t="shared" si="94"/>
        <v>0.13122842512753094</v>
      </c>
      <c r="BA41" s="24">
        <f t="shared" si="42"/>
        <v>0.36452340313203035</v>
      </c>
      <c r="BB41">
        <f t="shared" si="95"/>
        <v>0.18</v>
      </c>
      <c r="BC41">
        <f t="shared" si="96"/>
        <v>0.36</v>
      </c>
      <c r="BD41">
        <f t="shared" si="43"/>
        <v>0.18</v>
      </c>
      <c r="BE41">
        <f t="shared" si="97"/>
        <v>0.13293007388064451</v>
      </c>
      <c r="BF41">
        <f t="shared" si="98"/>
        <v>-4.9756113645873743</v>
      </c>
      <c r="BG41">
        <f t="shared" si="99"/>
        <v>0.15</v>
      </c>
      <c r="BH41">
        <f t="shared" si="100"/>
        <v>0.33</v>
      </c>
      <c r="BI41">
        <f t="shared" si="101"/>
        <v>0.18000000000000002</v>
      </c>
      <c r="BJ41">
        <f t="shared" si="81"/>
        <v>0.20216934363962613</v>
      </c>
      <c r="BK41">
        <f t="shared" si="82"/>
        <v>0.14347836910570472</v>
      </c>
      <c r="BL41">
        <f t="shared" si="83"/>
        <v>0.31463380771742805</v>
      </c>
      <c r="BM41">
        <f t="shared" si="45"/>
        <v>0.17115543861172333</v>
      </c>
      <c r="BN41">
        <f t="shared" si="84"/>
        <v>0.17520844497570165</v>
      </c>
      <c r="BO41">
        <f t="shared" si="85"/>
        <v>0.33783041621329707</v>
      </c>
      <c r="BP41">
        <f t="shared" si="46"/>
        <v>0.16262197123759542</v>
      </c>
      <c r="BQ41">
        <v>55</v>
      </c>
      <c r="BR41" s="10">
        <v>4</v>
      </c>
      <c r="BS41" s="10">
        <f t="shared" si="47"/>
        <v>122</v>
      </c>
      <c r="BT41" s="10">
        <v>4</v>
      </c>
      <c r="BU41" s="10">
        <f t="shared" si="48"/>
        <v>122</v>
      </c>
      <c r="BV41">
        <f t="shared" si="90"/>
        <v>16.825722021388341</v>
      </c>
      <c r="BW41">
        <f t="shared" si="86"/>
        <v>19.606170005951753</v>
      </c>
      <c r="BX41">
        <f t="shared" si="87"/>
        <v>16.825722021388341</v>
      </c>
      <c r="BY41">
        <f t="shared" si="88"/>
        <v>19.606170005951753</v>
      </c>
      <c r="BZ41">
        <f t="shared" si="89"/>
        <v>8.7697905732174242</v>
      </c>
      <c r="CA41" s="83">
        <v>0.13478727207722571</v>
      </c>
      <c r="CB41" s="83">
        <v>0.12614302461899168</v>
      </c>
      <c r="CE41" s="83">
        <v>0.31274834437086096</v>
      </c>
      <c r="CF41" s="83">
        <v>1.7021809081158386</v>
      </c>
      <c r="CG41" s="83">
        <v>1.9280507033997654</v>
      </c>
      <c r="CH41" s="83">
        <v>6.5735873344370859</v>
      </c>
      <c r="CI41" s="8">
        <f t="shared" si="50"/>
        <v>4.8714064263212471</v>
      </c>
      <c r="CJ41" s="8">
        <f t="shared" si="51"/>
        <v>4.6455366310373201</v>
      </c>
      <c r="CK41" s="8" t="str">
        <f t="shared" si="52"/>
        <v/>
      </c>
      <c r="CL41" s="8">
        <f t="shared" si="53"/>
        <v>0.18660531975186928</v>
      </c>
      <c r="CM41" s="8" t="str">
        <f t="shared" si="54"/>
        <v/>
      </c>
      <c r="CN41" s="8" t="str">
        <f t="shared" si="55"/>
        <v/>
      </c>
      <c r="DA41">
        <v>1</v>
      </c>
      <c r="DB41">
        <v>10.0784</v>
      </c>
      <c r="DC41">
        <v>13.025292294641208</v>
      </c>
      <c r="DD41">
        <f t="shared" si="67"/>
        <v>10.1</v>
      </c>
      <c r="DE41">
        <v>3</v>
      </c>
      <c r="DF41">
        <v>12</v>
      </c>
      <c r="DG41" s="10">
        <v>0.10866571867021713</v>
      </c>
      <c r="DJ41" s="83">
        <v>0.11449159327461969</v>
      </c>
      <c r="DK41" s="83">
        <v>0.12255809171293425</v>
      </c>
      <c r="DL41" s="83">
        <f t="shared" si="56"/>
        <v>7.6153436627801891</v>
      </c>
      <c r="DM41" s="83">
        <f t="shared" si="57"/>
        <v>8.1518822505147579</v>
      </c>
      <c r="DN41" s="83">
        <v>0.26922346686918536</v>
      </c>
      <c r="DO41" s="83">
        <f t="shared" si="58"/>
        <v>17.907246843672446</v>
      </c>
      <c r="DP41" s="83">
        <v>2.3743314651721379</v>
      </c>
      <c r="DQ41" s="83">
        <v>4.1207236616628959</v>
      </c>
      <c r="DR41" s="83">
        <v>0.63302520410100616</v>
      </c>
      <c r="DS41" s="8">
        <f t="shared" si="59"/>
        <v>-1.7413062610711316</v>
      </c>
      <c r="DT41" s="8">
        <f t="shared" si="60"/>
        <v>-3.4876984575618897</v>
      </c>
      <c r="DU41" s="8">
        <f t="shared" si="61"/>
        <v>9.7553645931576884</v>
      </c>
      <c r="DV41" s="8">
        <f t="shared" si="62"/>
        <v>10.291903180892257</v>
      </c>
      <c r="DW41" s="8">
        <f t="shared" si="63"/>
        <v>0.14666537515625111</v>
      </c>
      <c r="DX41" s="8">
        <f t="shared" si="64"/>
        <v>0.15473187359456567</v>
      </c>
      <c r="EN41" s="50"/>
      <c r="EP41" s="10"/>
      <c r="EQ41" s="10"/>
      <c r="ER41" s="10"/>
      <c r="ES41" s="10"/>
      <c r="ET41" s="10"/>
      <c r="EU41" s="10"/>
      <c r="EV41" s="10"/>
      <c r="EW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</row>
    <row r="42" spans="5:164" x14ac:dyDescent="0.2">
      <c r="G42" t="s">
        <v>5</v>
      </c>
      <c r="H42">
        <v>8</v>
      </c>
      <c r="I42">
        <v>3</v>
      </c>
      <c r="J42" s="8">
        <v>6.69548404077619</v>
      </c>
      <c r="K42" s="8">
        <v>48.658844807979797</v>
      </c>
      <c r="L42" s="8">
        <v>44.645671151244002</v>
      </c>
      <c r="M42" s="83">
        <v>4.8140000000000002E-2</v>
      </c>
      <c r="N42" s="83">
        <v>0.32558999999999999</v>
      </c>
      <c r="O42" s="8">
        <v>4.4600000000000001E-2</v>
      </c>
      <c r="P42" s="8">
        <v>0.39623000000000003</v>
      </c>
      <c r="Q42">
        <f t="shared" si="68"/>
        <v>3.5400000000000015E-3</v>
      </c>
      <c r="R42">
        <f t="shared" si="69"/>
        <v>-7.0640000000000036E-2</v>
      </c>
      <c r="S42" s="8">
        <v>1.5252154708644645</v>
      </c>
      <c r="T42" s="8">
        <v>1.5627670617172675</v>
      </c>
      <c r="U42" s="8">
        <v>1.6075886396329238</v>
      </c>
      <c r="V42">
        <f t="shared" si="70"/>
        <v>-2.3991708021598505E-2</v>
      </c>
      <c r="W42">
        <f t="shared" si="71"/>
        <v>-2.8636502102799274E-2</v>
      </c>
      <c r="X42">
        <f t="shared" si="72"/>
        <v>-5.2628210124397778E-2</v>
      </c>
      <c r="Y42" s="8">
        <f>AVERAGE(S42:U42)</f>
        <v>1.5651903907382188</v>
      </c>
      <c r="Z42" s="8">
        <v>1.3035231936290375</v>
      </c>
      <c r="AA42" s="83">
        <v>0.22022325139532106</v>
      </c>
      <c r="AB42" s="83">
        <v>0.275224896669098</v>
      </c>
      <c r="AC42" s="83">
        <f t="shared" si="73"/>
        <v>0.34469131690108357</v>
      </c>
      <c r="AD42" s="83">
        <f t="shared" si="74"/>
        <v>0.43077936355839136</v>
      </c>
      <c r="AE42" s="83">
        <f t="shared" si="32"/>
        <v>8.6088046657307793E-2</v>
      </c>
      <c r="AF42" s="8">
        <v>8.2105626115443613</v>
      </c>
      <c r="AG42" s="8">
        <v>58.258126389872004</v>
      </c>
      <c r="AH42" s="8">
        <f t="shared" si="33"/>
        <v>50.047563778327643</v>
      </c>
      <c r="AI42" s="8">
        <f t="shared" si="34"/>
        <v>5.5001645273776933E-2</v>
      </c>
      <c r="AJ42">
        <f t="shared" si="75"/>
        <v>0.40936211670255895</v>
      </c>
      <c r="AK42">
        <f t="shared" si="35"/>
        <v>0.50810445523432546</v>
      </c>
      <c r="AL42">
        <f t="shared" si="76"/>
        <v>0.38247464721486985</v>
      </c>
      <c r="AM42">
        <f t="shared" si="36"/>
        <v>0.40975762059659249</v>
      </c>
      <c r="AN42">
        <f t="shared" si="77"/>
        <v>0.26735634255168306</v>
      </c>
      <c r="AO42">
        <f t="shared" si="37"/>
        <v>0.25027628143613534</v>
      </c>
      <c r="AP42">
        <f t="shared" si="38"/>
        <v>0.11511830466318679</v>
      </c>
      <c r="AQ42">
        <f t="shared" si="39"/>
        <v>0.15948133916045715</v>
      </c>
      <c r="AR42">
        <f t="shared" si="40"/>
        <v>2.6887469487689108E-2</v>
      </c>
      <c r="AS42">
        <f t="shared" si="91"/>
        <v>168.82239604037645</v>
      </c>
      <c r="AT42">
        <f t="shared" si="78"/>
        <v>79.557724320155288</v>
      </c>
      <c r="AU42" s="24">
        <f t="shared" si="92"/>
        <v>0.13165971873260035</v>
      </c>
      <c r="AV42" s="24">
        <f t="shared" si="79"/>
        <v>0.20013631100388793</v>
      </c>
      <c r="AW42" s="24">
        <f t="shared" si="41"/>
        <v>7.5953375081333006</v>
      </c>
      <c r="AX42" s="24">
        <f t="shared" si="93"/>
        <v>9.1027203671570966E-2</v>
      </c>
      <c r="AY42" s="24">
        <f t="shared" si="80"/>
        <v>0.1111798062782714</v>
      </c>
      <c r="AZ42" s="24">
        <f t="shared" si="94"/>
        <v>1.6586890481365517E-3</v>
      </c>
      <c r="BA42" s="24">
        <f t="shared" si="42"/>
        <v>4.6074695781570885E-3</v>
      </c>
      <c r="BB42">
        <f t="shared" si="95"/>
        <v>0.26</v>
      </c>
      <c r="BC42">
        <f t="shared" si="96"/>
        <v>0.42</v>
      </c>
      <c r="BD42">
        <f t="shared" si="43"/>
        <v>0.15999999999999998</v>
      </c>
      <c r="BE42">
        <f t="shared" si="97"/>
        <v>4.5473117559321083E-2</v>
      </c>
      <c r="BF42">
        <f t="shared" si="98"/>
        <v>-7.6347141029453072</v>
      </c>
      <c r="BG42">
        <f t="shared" si="99"/>
        <v>0.26</v>
      </c>
      <c r="BH42">
        <f t="shared" si="100"/>
        <v>0.42</v>
      </c>
      <c r="BI42">
        <f t="shared" si="101"/>
        <v>0.15999999999999998</v>
      </c>
      <c r="BJ42">
        <f t="shared" si="81"/>
        <v>0.10957574761209465</v>
      </c>
      <c r="BK42">
        <f t="shared" si="82"/>
        <v>0.1998892368394008</v>
      </c>
      <c r="BL42">
        <f t="shared" si="83"/>
        <v>0.35587357087122862</v>
      </c>
      <c r="BM42">
        <f t="shared" si="45"/>
        <v>0.15598433403182782</v>
      </c>
      <c r="BN42">
        <f t="shared" si="84"/>
        <v>0.13771711080625931</v>
      </c>
      <c r="BO42">
        <f t="shared" si="85"/>
        <v>0.3104219787333638</v>
      </c>
      <c r="BP42">
        <f t="shared" si="46"/>
        <v>0.17270486792710449</v>
      </c>
      <c r="BQ42">
        <v>55</v>
      </c>
      <c r="BR42" s="10">
        <v>4</v>
      </c>
      <c r="BS42" s="10">
        <f t="shared" si="47"/>
        <v>122</v>
      </c>
      <c r="BT42" s="10">
        <v>4</v>
      </c>
      <c r="BU42" s="10">
        <f t="shared" si="48"/>
        <v>122</v>
      </c>
      <c r="BV42">
        <f t="shared" si="90"/>
        <v>16.825722021388341</v>
      </c>
      <c r="BW42">
        <f t="shared" si="86"/>
        <v>19.606170005951753</v>
      </c>
      <c r="BX42">
        <f t="shared" si="87"/>
        <v>16.825722021388341</v>
      </c>
      <c r="BY42">
        <f t="shared" si="88"/>
        <v>19.606170005951753</v>
      </c>
      <c r="BZ42">
        <f t="shared" si="89"/>
        <v>8.7697905732174242</v>
      </c>
      <c r="CA42" s="83">
        <v>0.21830427892234572</v>
      </c>
      <c r="CB42" s="83">
        <v>0.22214403002580335</v>
      </c>
      <c r="CE42" s="83">
        <v>0.29033423667570024</v>
      </c>
      <c r="CF42" s="83">
        <v>1.6365887480190178</v>
      </c>
      <c r="CG42" s="83">
        <v>2.8150050824927675</v>
      </c>
      <c r="CH42" s="83">
        <v>4.7253115025594701</v>
      </c>
      <c r="CI42" s="8">
        <f t="shared" si="50"/>
        <v>3.0887227545404521</v>
      </c>
      <c r="CJ42" s="8">
        <f t="shared" si="51"/>
        <v>1.9103064200667026</v>
      </c>
      <c r="CK42" s="8" t="str">
        <f t="shared" si="52"/>
        <v/>
      </c>
      <c r="CL42" s="8">
        <f t="shared" si="53"/>
        <v>6.819020664989689E-2</v>
      </c>
      <c r="CM42" s="8" t="str">
        <f t="shared" si="54"/>
        <v/>
      </c>
      <c r="CN42" s="8" t="str">
        <f t="shared" si="55"/>
        <v/>
      </c>
      <c r="DA42">
        <v>1</v>
      </c>
      <c r="DB42">
        <v>10.171099999999999</v>
      </c>
      <c r="DC42">
        <v>13.120859754039436</v>
      </c>
      <c r="DD42">
        <f t="shared" si="67"/>
        <v>10.199999999999999</v>
      </c>
      <c r="DE42">
        <v>4</v>
      </c>
      <c r="DF42">
        <v>1</v>
      </c>
      <c r="DG42" s="10">
        <v>0.10376244788976152</v>
      </c>
      <c r="DJ42" s="83">
        <v>0.13478727207722571</v>
      </c>
      <c r="DK42" s="83">
        <v>0.12614302461899168</v>
      </c>
      <c r="DL42" s="83">
        <f t="shared" si="56"/>
        <v>7.8524539324210814</v>
      </c>
      <c r="DM42" s="83">
        <f t="shared" si="57"/>
        <v>7.3488562714539531</v>
      </c>
      <c r="DN42" s="83">
        <v>0.31274834437086096</v>
      </c>
      <c r="DO42" s="83">
        <f t="shared" si="58"/>
        <v>18.220132574580834</v>
      </c>
      <c r="DP42" s="83">
        <v>1.7021809081158386</v>
      </c>
      <c r="DQ42" s="83">
        <v>1.9280507033997654</v>
      </c>
      <c r="DR42" s="83">
        <v>6.5735873344370859</v>
      </c>
      <c r="DS42" s="8">
        <f t="shared" si="59"/>
        <v>4.8714064263212471</v>
      </c>
      <c r="DT42" s="8">
        <f t="shared" si="60"/>
        <v>4.6455366310373201</v>
      </c>
      <c r="DU42" s="8">
        <f t="shared" si="61"/>
        <v>10.87127630312688</v>
      </c>
      <c r="DV42" s="8">
        <f t="shared" si="62"/>
        <v>10.367678642159753</v>
      </c>
      <c r="DW42" s="8">
        <f t="shared" si="63"/>
        <v>0.18660531975186928</v>
      </c>
      <c r="DX42" s="8">
        <f t="shared" si="64"/>
        <v>0.17796107229363525</v>
      </c>
      <c r="EN42" s="50"/>
      <c r="EP42" s="10"/>
      <c r="EQ42" s="10"/>
      <c r="ER42" s="10"/>
      <c r="ES42" s="10"/>
      <c r="ET42" s="10"/>
      <c r="EU42" s="10"/>
      <c r="EV42" s="10"/>
      <c r="EW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</row>
    <row r="43" spans="5:164" x14ac:dyDescent="0.2">
      <c r="G43" t="s">
        <v>5</v>
      </c>
      <c r="H43">
        <v>8</v>
      </c>
      <c r="I43">
        <v>4</v>
      </c>
      <c r="J43" s="8">
        <v>8.0721881693911399</v>
      </c>
      <c r="K43" s="8">
        <v>51.498918626188903</v>
      </c>
      <c r="L43" s="8">
        <v>40.42889320442</v>
      </c>
      <c r="M43" s="83">
        <v>3.4750000000000003E-2</v>
      </c>
      <c r="N43" s="83">
        <v>0.25477</v>
      </c>
      <c r="O43" s="8">
        <v>4.3020000000000003E-2</v>
      </c>
      <c r="P43" s="8">
        <v>0.26384999999999997</v>
      </c>
      <c r="Q43">
        <f t="shared" si="68"/>
        <v>-8.2699999999999996E-3</v>
      </c>
      <c r="R43">
        <f t="shared" si="69"/>
        <v>-9.079999999999977E-3</v>
      </c>
      <c r="S43" s="8">
        <v>1.5118108187617358</v>
      </c>
      <c r="T43" s="8">
        <v>1.5995108174461001</v>
      </c>
      <c r="U43" s="8">
        <v>1.7251900973542331</v>
      </c>
      <c r="V43">
        <f t="shared" si="70"/>
        <v>-5.4398709348177449E-2</v>
      </c>
      <c r="W43">
        <f t="shared" si="71"/>
        <v>-7.7956564667881464E-2</v>
      </c>
      <c r="X43">
        <f t="shared" si="72"/>
        <v>-0.13235527401605893</v>
      </c>
      <c r="Y43" s="8">
        <f>AVERAGE(S43:U43)</f>
        <v>1.6121705778540232</v>
      </c>
      <c r="AA43" s="83">
        <v>0.23565057533873482</v>
      </c>
      <c r="AB43" s="83"/>
      <c r="AC43" s="83">
        <f t="shared" si="73"/>
        <v>0.37990892421548111</v>
      </c>
      <c r="AD43" s="83" t="str">
        <f t="shared" si="74"/>
        <v/>
      </c>
      <c r="AE43" s="83" t="str">
        <f t="shared" si="32"/>
        <v/>
      </c>
      <c r="AF43" s="8">
        <v>8.6590027828890364</v>
      </c>
      <c r="AG43" s="8"/>
      <c r="AH43" s="8" t="str">
        <f t="shared" si="33"/>
        <v/>
      </c>
      <c r="AI43" s="8" t="str">
        <f t="shared" si="34"/>
        <v/>
      </c>
      <c r="AJ43">
        <f t="shared" si="75"/>
        <v>0.39163374420602892</v>
      </c>
      <c r="AK43" t="str">
        <f t="shared" si="35"/>
        <v/>
      </c>
      <c r="AL43">
        <f t="shared" si="76"/>
        <v>0.36375807109621094</v>
      </c>
      <c r="AM43" t="str">
        <f t="shared" si="36"/>
        <v/>
      </c>
      <c r="AN43">
        <f t="shared" si="77"/>
        <v>0.24611483405442258</v>
      </c>
      <c r="AO43" t="str">
        <f t="shared" si="37"/>
        <v/>
      </c>
      <c r="AP43">
        <f t="shared" si="38"/>
        <v>0.11764323704178836</v>
      </c>
      <c r="AQ43" t="str">
        <f t="shared" si="39"/>
        <v/>
      </c>
      <c r="AR43">
        <f t="shared" si="40"/>
        <v>2.7875673109817978E-2</v>
      </c>
      <c r="AS43">
        <f t="shared" si="91"/>
        <v>170.58970634273086</v>
      </c>
      <c r="AT43" t="str">
        <f t="shared" si="78"/>
        <v/>
      </c>
      <c r="AU43" s="24">
        <f t="shared" si="92"/>
        <v>0.14647836498423392</v>
      </c>
      <c r="AV43" s="24" t="str">
        <f t="shared" si="79"/>
        <v/>
      </c>
      <c r="AW43" s="24">
        <f t="shared" si="41"/>
        <v>6.8269467651938509</v>
      </c>
      <c r="AX43" s="24">
        <f t="shared" si="93"/>
        <v>8.9055705180245012E-2</v>
      </c>
      <c r="AY43" s="24" t="str">
        <f t="shared" si="80"/>
        <v/>
      </c>
      <c r="AZ43" s="24">
        <f t="shared" si="94"/>
        <v>1.9044375802991001E-3</v>
      </c>
      <c r="BA43" s="24">
        <f t="shared" si="42"/>
        <v>5.290104389719723E-3</v>
      </c>
      <c r="BB43">
        <f t="shared" si="95"/>
        <v>0.24</v>
      </c>
      <c r="BC43">
        <f t="shared" si="96"/>
        <v>0.4</v>
      </c>
      <c r="BD43">
        <f t="shared" si="43"/>
        <v>0.16000000000000003</v>
      </c>
      <c r="BE43">
        <f t="shared" si="97"/>
        <v>5.9238950489283231E-2</v>
      </c>
      <c r="BF43">
        <f t="shared" si="98"/>
        <v>-6.8603607515773692</v>
      </c>
      <c r="BG43">
        <f t="shared" si="99"/>
        <v>0.23</v>
      </c>
      <c r="BH43">
        <f t="shared" si="100"/>
        <v>0.4</v>
      </c>
      <c r="BI43">
        <f t="shared" si="101"/>
        <v>0.17</v>
      </c>
      <c r="BJ43">
        <f t="shared" si="81"/>
        <v>9.1253474636930898E-2</v>
      </c>
      <c r="BK43">
        <f t="shared" si="82"/>
        <v>0.21105172929811594</v>
      </c>
      <c r="BL43">
        <f t="shared" si="83"/>
        <v>0.3616337442060289</v>
      </c>
      <c r="BM43">
        <f t="shared" si="45"/>
        <v>0.15058201490791295</v>
      </c>
      <c r="BN43" t="str">
        <f t="shared" si="84"/>
        <v/>
      </c>
      <c r="BO43" t="str">
        <f t="shared" si="85"/>
        <v/>
      </c>
      <c r="BP43" t="str">
        <f t="shared" si="46"/>
        <v/>
      </c>
      <c r="BQ43">
        <v>55</v>
      </c>
      <c r="BR43" s="10">
        <v>4</v>
      </c>
      <c r="BS43" s="10">
        <f t="shared" si="47"/>
        <v>122</v>
      </c>
      <c r="BT43" s="10">
        <v>4</v>
      </c>
      <c r="BU43" s="10">
        <f t="shared" si="48"/>
        <v>122</v>
      </c>
      <c r="BV43">
        <f t="shared" si="90"/>
        <v>16.825722021388341</v>
      </c>
      <c r="BW43">
        <f t="shared" si="86"/>
        <v>19.606170005951753</v>
      </c>
      <c r="BX43">
        <f t="shared" si="87"/>
        <v>16.825722021388341</v>
      </c>
      <c r="BY43">
        <f t="shared" si="88"/>
        <v>19.606170005951753</v>
      </c>
      <c r="BZ43">
        <f t="shared" si="89"/>
        <v>8.7697905732174242</v>
      </c>
      <c r="CA43" s="83">
        <v>0.21305595408895259</v>
      </c>
      <c r="CB43" s="83">
        <v>0.23154151851077165</v>
      </c>
      <c r="CE43" s="83"/>
      <c r="CF43" s="83">
        <v>2.9649109277857479</v>
      </c>
      <c r="CG43" s="83">
        <v>2.5113184131632154</v>
      </c>
      <c r="CH43" s="83"/>
      <c r="CI43" s="8" t="str">
        <f t="shared" si="50"/>
        <v/>
      </c>
      <c r="CJ43" s="8" t="str">
        <f t="shared" si="51"/>
        <v/>
      </c>
      <c r="CK43" s="8" t="str">
        <f t="shared" si="52"/>
        <v/>
      </c>
      <c r="CL43" s="8" t="str">
        <f t="shared" si="53"/>
        <v/>
      </c>
      <c r="CM43" s="8" t="str">
        <f t="shared" si="54"/>
        <v/>
      </c>
      <c r="CN43" s="8" t="str">
        <f t="shared" si="55"/>
        <v/>
      </c>
      <c r="DA43">
        <v>1</v>
      </c>
      <c r="DB43">
        <v>9.1809999999999992</v>
      </c>
      <c r="DC43">
        <v>11.514217219226436</v>
      </c>
      <c r="DD43">
        <f t="shared" si="67"/>
        <v>9.1999999999999993</v>
      </c>
      <c r="DE43">
        <v>4</v>
      </c>
      <c r="DF43">
        <v>2</v>
      </c>
      <c r="DG43" s="10">
        <v>0.11987835820977463</v>
      </c>
      <c r="DJ43" s="83">
        <v>0.21830427892234572</v>
      </c>
      <c r="DK43" s="83">
        <v>0.22214403002580335</v>
      </c>
      <c r="DL43" s="83" t="str">
        <f t="shared" si="56"/>
        <v/>
      </c>
      <c r="DM43" s="83" t="str">
        <f t="shared" si="57"/>
        <v/>
      </c>
      <c r="DN43" s="83">
        <v>0.29033423667570024</v>
      </c>
      <c r="DO43" s="83" t="str">
        <f t="shared" si="58"/>
        <v/>
      </c>
      <c r="DP43" s="83">
        <v>1.6365887480190178</v>
      </c>
      <c r="DQ43" s="83">
        <v>2.8150050824927675</v>
      </c>
      <c r="DR43" s="83">
        <v>4.7253115025594701</v>
      </c>
      <c r="DS43" s="8">
        <f t="shared" si="59"/>
        <v>3.0887227545404521</v>
      </c>
      <c r="DT43" s="8">
        <f t="shared" si="60"/>
        <v>1.9103064200667026</v>
      </c>
      <c r="DU43" s="8" t="str">
        <f t="shared" si="61"/>
        <v/>
      </c>
      <c r="DV43" s="8" t="str">
        <f t="shared" si="62"/>
        <v/>
      </c>
      <c r="DW43" s="8">
        <f t="shared" si="63"/>
        <v>6.819020664989689E-2</v>
      </c>
      <c r="DX43" s="8">
        <f t="shared" si="64"/>
        <v>7.2029957753354523E-2</v>
      </c>
      <c r="EN43" s="50"/>
      <c r="EP43" s="10"/>
      <c r="EQ43" s="10"/>
      <c r="ER43" s="10"/>
      <c r="ES43" s="10"/>
      <c r="ET43" s="10"/>
      <c r="EU43" s="10"/>
      <c r="EV43" s="10"/>
      <c r="EW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</row>
    <row r="44" spans="5:164" x14ac:dyDescent="0.2">
      <c r="G44" t="s">
        <v>5</v>
      </c>
      <c r="H44">
        <v>8</v>
      </c>
      <c r="I44">
        <v>5</v>
      </c>
      <c r="J44" s="8">
        <v>7.67819308009694</v>
      </c>
      <c r="K44" s="8">
        <v>46.261096411638299</v>
      </c>
      <c r="L44" s="8">
        <v>46.060710508264698</v>
      </c>
      <c r="M44" s="83">
        <v>4.2169999999999999E-2</v>
      </c>
      <c r="N44" s="83">
        <v>0.22012999999999999</v>
      </c>
      <c r="O44" s="8">
        <v>2.5860000000000001E-2</v>
      </c>
      <c r="P44" s="8">
        <v>0.23608999999999999</v>
      </c>
      <c r="Q44">
        <f t="shared" si="68"/>
        <v>1.6309999999999998E-2</v>
      </c>
      <c r="R44">
        <f t="shared" si="69"/>
        <v>-1.5960000000000002E-2</v>
      </c>
      <c r="S44" s="8">
        <v>1.6512357723681701</v>
      </c>
      <c r="T44" s="8">
        <v>1.640874928907605</v>
      </c>
      <c r="U44" s="8">
        <v>1.6877846832027767</v>
      </c>
      <c r="V44">
        <f t="shared" si="70"/>
        <v>6.2416030823808071E-3</v>
      </c>
      <c r="W44">
        <f t="shared" si="71"/>
        <v>-2.8259481780308741E-2</v>
      </c>
      <c r="X44">
        <f t="shared" si="72"/>
        <v>-2.2017878697927935E-2</v>
      </c>
      <c r="Y44" s="8">
        <f>AVERAGE(S44:U44)</f>
        <v>1.6599651281595174</v>
      </c>
      <c r="AA44" s="83">
        <v>0.22769815735595189</v>
      </c>
      <c r="AB44" s="83"/>
      <c r="AC44" s="83">
        <f t="shared" si="73"/>
        <v>0.37797100095705866</v>
      </c>
      <c r="AD44" s="83" t="str">
        <f t="shared" si="74"/>
        <v/>
      </c>
      <c r="AE44" s="83" t="str">
        <f t="shared" si="32"/>
        <v/>
      </c>
      <c r="AF44" s="8">
        <v>7.8997238446195208</v>
      </c>
      <c r="AG44" s="8"/>
      <c r="AH44" s="8" t="str">
        <f t="shared" si="33"/>
        <v/>
      </c>
      <c r="AI44" s="8" t="str">
        <f t="shared" si="34"/>
        <v/>
      </c>
      <c r="AJ44">
        <f t="shared" si="75"/>
        <v>0.37359806484546509</v>
      </c>
      <c r="AK44" t="str">
        <f t="shared" si="35"/>
        <v/>
      </c>
      <c r="AL44">
        <f t="shared" si="76"/>
        <v>0.36365130705563187</v>
      </c>
      <c r="AM44" t="str">
        <f t="shared" si="36"/>
        <v/>
      </c>
      <c r="AN44">
        <f t="shared" si="77"/>
        <v>0.27421305045891775</v>
      </c>
      <c r="AO44" t="str">
        <f t="shared" si="37"/>
        <v/>
      </c>
      <c r="AP44">
        <f t="shared" si="38"/>
        <v>8.9438256596714116E-2</v>
      </c>
      <c r="AQ44" t="str">
        <f t="shared" si="39"/>
        <v/>
      </c>
      <c r="AR44">
        <f t="shared" si="40"/>
        <v>9.9467577898332271E-3</v>
      </c>
      <c r="AS44">
        <f t="shared" si="91"/>
        <v>233.20865253563085</v>
      </c>
      <c r="AT44" t="str">
        <f t="shared" si="78"/>
        <v/>
      </c>
      <c r="AU44" s="24">
        <f t="shared" si="92"/>
        <v>9.9428350923627215E-2</v>
      </c>
      <c r="AV44" s="24" t="str">
        <f t="shared" si="79"/>
        <v/>
      </c>
      <c r="AW44" s="24">
        <f t="shared" si="41"/>
        <v>10.057493569093978</v>
      </c>
      <c r="AX44" s="24">
        <f t="shared" si="93"/>
        <v>8.0430063286990733E-2</v>
      </c>
      <c r="AY44" s="24" t="str">
        <f t="shared" si="80"/>
        <v/>
      </c>
      <c r="AZ44" s="24">
        <f t="shared" si="94"/>
        <v>3.3739894358368518E-4</v>
      </c>
      <c r="BA44" s="24">
        <f t="shared" si="42"/>
        <v>9.3721928773245883E-4</v>
      </c>
      <c r="BB44">
        <f t="shared" si="95"/>
        <v>0.26</v>
      </c>
      <c r="BC44">
        <f t="shared" si="96"/>
        <v>0.42</v>
      </c>
      <c r="BD44">
        <f t="shared" si="43"/>
        <v>0.15999999999999998</v>
      </c>
      <c r="BE44">
        <f t="shared" si="97"/>
        <v>3.9585224068265326E-2</v>
      </c>
      <c r="BF44">
        <f t="shared" si="98"/>
        <v>-7.9445354734097444</v>
      </c>
      <c r="BG44">
        <f t="shared" si="99"/>
        <v>0.27</v>
      </c>
      <c r="BH44">
        <f t="shared" si="100"/>
        <v>0.43</v>
      </c>
      <c r="BI44">
        <f t="shared" si="101"/>
        <v>0.15999999999999998</v>
      </c>
      <c r="BJ44">
        <f t="shared" si="81"/>
        <v>7.261360001778816E-2</v>
      </c>
      <c r="BK44">
        <f t="shared" si="82"/>
        <v>0.22240771445070134</v>
      </c>
      <c r="BL44">
        <f t="shared" si="83"/>
        <v>0.34359806484546507</v>
      </c>
      <c r="BM44">
        <f t="shared" si="45"/>
        <v>0.12119035039476372</v>
      </c>
      <c r="BN44" t="str">
        <f t="shared" si="84"/>
        <v/>
      </c>
      <c r="BO44" t="str">
        <f t="shared" si="85"/>
        <v/>
      </c>
      <c r="BP44" t="str">
        <f t="shared" si="46"/>
        <v/>
      </c>
      <c r="BQ44">
        <v>55</v>
      </c>
      <c r="BR44" s="10">
        <v>4</v>
      </c>
      <c r="BS44" s="10">
        <f t="shared" si="47"/>
        <v>122</v>
      </c>
      <c r="BT44" s="10">
        <v>4</v>
      </c>
      <c r="BU44" s="10">
        <f t="shared" si="48"/>
        <v>122</v>
      </c>
      <c r="BV44">
        <f t="shared" si="90"/>
        <v>16.825722021388341</v>
      </c>
      <c r="BW44">
        <f t="shared" si="86"/>
        <v>19.606170005951753</v>
      </c>
      <c r="BX44">
        <f t="shared" si="87"/>
        <v>16.825722021388341</v>
      </c>
      <c r="BY44">
        <f t="shared" si="88"/>
        <v>19.606170005951753</v>
      </c>
      <c r="BZ44">
        <f t="shared" si="89"/>
        <v>8.7697905732174242</v>
      </c>
      <c r="CA44" s="83">
        <v>0.21222339304531071</v>
      </c>
      <c r="CB44" s="83">
        <v>0.22878692646134507</v>
      </c>
      <c r="CE44" s="83"/>
      <c r="CF44" s="83">
        <v>3.0674302774850721</v>
      </c>
      <c r="CG44" s="83">
        <v>2.5430769432222919</v>
      </c>
      <c r="CH44" s="83"/>
      <c r="CI44" s="8" t="str">
        <f t="shared" si="50"/>
        <v/>
      </c>
      <c r="CJ44" s="8" t="str">
        <f t="shared" si="51"/>
        <v/>
      </c>
      <c r="CK44" s="8" t="str">
        <f t="shared" si="52"/>
        <v/>
      </c>
      <c r="CL44" s="8" t="str">
        <f t="shared" si="53"/>
        <v/>
      </c>
      <c r="CM44" s="8" t="str">
        <f t="shared" si="54"/>
        <v/>
      </c>
      <c r="CN44" s="8" t="str">
        <f t="shared" si="55"/>
        <v/>
      </c>
      <c r="DE44">
        <v>4</v>
      </c>
      <c r="DF44">
        <v>3</v>
      </c>
      <c r="DG44" s="10">
        <v>8.6035774159236467E-2</v>
      </c>
      <c r="DJ44" s="83">
        <v>0.21305595408895259</v>
      </c>
      <c r="DK44" s="83">
        <v>0.23154151851077165</v>
      </c>
      <c r="DL44" s="83" t="str">
        <f t="shared" si="56"/>
        <v/>
      </c>
      <c r="DM44" s="83" t="str">
        <f t="shared" si="57"/>
        <v/>
      </c>
      <c r="DN44" s="83"/>
      <c r="DO44" s="83" t="str">
        <f t="shared" si="58"/>
        <v/>
      </c>
      <c r="DP44" s="83">
        <v>2.9649109277857479</v>
      </c>
      <c r="DQ44" s="83">
        <v>2.5113184131632154</v>
      </c>
      <c r="DR44" s="83"/>
      <c r="DS44" s="8" t="str">
        <f t="shared" si="59"/>
        <v/>
      </c>
      <c r="DT44" s="8" t="str">
        <f t="shared" si="60"/>
        <v/>
      </c>
      <c r="DU44" s="8" t="str">
        <f t="shared" si="61"/>
        <v/>
      </c>
      <c r="DV44" s="8" t="str">
        <f t="shared" si="62"/>
        <v/>
      </c>
      <c r="DW44" s="8" t="str">
        <f t="shared" si="63"/>
        <v/>
      </c>
      <c r="DX44" s="8" t="str">
        <f t="shared" si="64"/>
        <v/>
      </c>
      <c r="EN44" s="50"/>
      <c r="EP44" s="10"/>
      <c r="EQ44" s="10"/>
      <c r="ER44" s="10"/>
      <c r="ES44" s="10"/>
      <c r="ET44" s="10"/>
      <c r="EU44" s="10"/>
      <c r="EV44" s="10"/>
      <c r="EW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</row>
    <row r="45" spans="5:164" x14ac:dyDescent="0.2">
      <c r="G45" t="s">
        <v>5</v>
      </c>
      <c r="H45">
        <v>9</v>
      </c>
      <c r="I45">
        <v>1</v>
      </c>
      <c r="J45" s="8">
        <v>9.7227805125582574</v>
      </c>
      <c r="K45" s="8">
        <v>55.208650350843556</v>
      </c>
      <c r="L45" s="8">
        <v>35.068569136598207</v>
      </c>
      <c r="M45" s="83">
        <v>0.12776999999999999</v>
      </c>
      <c r="N45" s="83">
        <v>1.7784</v>
      </c>
      <c r="O45" s="8">
        <v>0.10792666666666666</v>
      </c>
      <c r="P45" s="8">
        <v>1.3632666666666668</v>
      </c>
      <c r="Q45">
        <f t="shared" si="68"/>
        <v>1.9843333333333338E-2</v>
      </c>
      <c r="R45">
        <f t="shared" si="69"/>
        <v>0.41513333333333313</v>
      </c>
      <c r="S45" s="8">
        <v>1.4377069299147158</v>
      </c>
      <c r="T45" s="8">
        <v>1.31653704635937</v>
      </c>
      <c r="U45" s="8">
        <v>1.4316522013983715</v>
      </c>
      <c r="V45">
        <f t="shared" si="70"/>
        <v>8.6841535297744757E-2</v>
      </c>
      <c r="W45">
        <f t="shared" si="71"/>
        <v>-8.2502157353800343E-2</v>
      </c>
      <c r="X45">
        <f t="shared" si="72"/>
        <v>4.3393779439444159E-3</v>
      </c>
      <c r="Y45" s="8">
        <f>AVERAGE(S45:U45)</f>
        <v>1.3952987258908192</v>
      </c>
      <c r="Z45" s="8">
        <v>1.1240502062975173</v>
      </c>
      <c r="AA45" s="83">
        <v>0.12747148288973409</v>
      </c>
      <c r="AB45" s="83">
        <v>0.22798434442270069</v>
      </c>
      <c r="AC45" s="83">
        <f t="shared" si="73"/>
        <v>0.17786079766345933</v>
      </c>
      <c r="AD45" s="83">
        <f t="shared" si="74"/>
        <v>0.31810626529604796</v>
      </c>
      <c r="AE45" s="83">
        <f t="shared" si="32"/>
        <v>0.14024546763258863</v>
      </c>
      <c r="AF45" s="8">
        <v>3.632855944578147</v>
      </c>
      <c r="AG45" s="8">
        <v>31.269087718533196</v>
      </c>
      <c r="AH45" s="8">
        <f t="shared" si="33"/>
        <v>27.63623177395505</v>
      </c>
      <c r="AI45" s="8">
        <f t="shared" si="34"/>
        <v>0.1005128615329666</v>
      </c>
      <c r="AJ45">
        <f t="shared" si="75"/>
        <v>0.47347217890912485</v>
      </c>
      <c r="AK45">
        <f t="shared" si="35"/>
        <v>0.57583011083112556</v>
      </c>
      <c r="AL45">
        <f t="shared" si="76"/>
        <v>0.36763033240028375</v>
      </c>
      <c r="AM45">
        <f t="shared" si="36"/>
        <v>0.37542294035436163</v>
      </c>
      <c r="AN45">
        <f t="shared" si="77"/>
        <v>0.2105877900434176</v>
      </c>
      <c r="AO45">
        <f t="shared" si="37"/>
        <v>0.20290927161340161</v>
      </c>
      <c r="AP45">
        <f t="shared" si="38"/>
        <v>0.15704254235686615</v>
      </c>
      <c r="AQ45">
        <f t="shared" si="39"/>
        <v>0.17251366874096002</v>
      </c>
      <c r="AR45">
        <f t="shared" si="40"/>
        <v>0.1058418465088411</v>
      </c>
      <c r="AS45">
        <f t="shared" si="91"/>
        <v>78.219613730733926</v>
      </c>
      <c r="AT45">
        <f t="shared" si="78"/>
        <v>41.874430219489071</v>
      </c>
      <c r="AU45" s="24">
        <f t="shared" si="92"/>
        <v>0.23139722719950503</v>
      </c>
      <c r="AV45" s="24">
        <f t="shared" si="79"/>
        <v>0.27052136063963816</v>
      </c>
      <c r="AW45" s="24">
        <f t="shared" si="41"/>
        <v>4.3215729596354429</v>
      </c>
      <c r="AX45" s="24">
        <f t="shared" si="93"/>
        <v>9.9883024137034468E-2</v>
      </c>
      <c r="AY45" s="24">
        <f t="shared" si="80"/>
        <v>0.1074968443856474</v>
      </c>
      <c r="AZ45" s="24">
        <f t="shared" si="94"/>
        <v>3.9154014846440335E-2</v>
      </c>
      <c r="BA45" s="24">
        <f t="shared" si="42"/>
        <v>0.10876115235122315</v>
      </c>
      <c r="BB45">
        <f t="shared" si="95"/>
        <v>0.24</v>
      </c>
      <c r="BC45">
        <f t="shared" si="96"/>
        <v>0.43</v>
      </c>
      <c r="BD45">
        <f t="shared" si="43"/>
        <v>0.19</v>
      </c>
      <c r="BE45">
        <f t="shared" si="97"/>
        <v>8.3207552459701142E-2</v>
      </c>
      <c r="BF45">
        <f t="shared" si="98"/>
        <v>-5.9856647976773756</v>
      </c>
      <c r="BG45">
        <f t="shared" si="99"/>
        <v>0.19</v>
      </c>
      <c r="BH45">
        <f t="shared" si="100"/>
        <v>0.37</v>
      </c>
      <c r="BI45">
        <f t="shared" si="101"/>
        <v>0.18</v>
      </c>
      <c r="BJ45">
        <f t="shared" si="81"/>
        <v>0.17583349690258043</v>
      </c>
      <c r="BK45">
        <f t="shared" si="82"/>
        <v>0.15952297727165865</v>
      </c>
      <c r="BL45">
        <f t="shared" si="83"/>
        <v>0.3263633886872353</v>
      </c>
      <c r="BM45">
        <f t="shared" si="45"/>
        <v>0.16684041141557665</v>
      </c>
      <c r="BN45">
        <f t="shared" si="84"/>
        <v>9.5074329016290149E-2</v>
      </c>
      <c r="BO45">
        <f t="shared" si="85"/>
        <v>0.27924752083387877</v>
      </c>
      <c r="BP45">
        <f t="shared" si="46"/>
        <v>0.18417319181758862</v>
      </c>
      <c r="BQ45">
        <v>85</v>
      </c>
      <c r="BR45" s="10">
        <v>4</v>
      </c>
      <c r="BS45" s="10">
        <f t="shared" si="47"/>
        <v>122</v>
      </c>
      <c r="BT45" s="10">
        <v>4</v>
      </c>
      <c r="BU45" s="10">
        <f t="shared" si="48"/>
        <v>122</v>
      </c>
      <c r="BV45">
        <f t="shared" si="90"/>
        <v>15.304093376225429</v>
      </c>
      <c r="BW45">
        <f t="shared" si="86"/>
        <v>18.994588163194585</v>
      </c>
      <c r="BX45">
        <f t="shared" si="87"/>
        <v>15.304093376225429</v>
      </c>
      <c r="BY45">
        <f t="shared" si="88"/>
        <v>18.994588163194585</v>
      </c>
      <c r="BZ45">
        <f t="shared" si="89"/>
        <v>11.649119984143297</v>
      </c>
      <c r="CA45" s="83">
        <v>0.10334690185436439</v>
      </c>
      <c r="CB45" s="83">
        <v>0.11482613679785997</v>
      </c>
      <c r="CE45" s="83">
        <v>0.25547723375881115</v>
      </c>
      <c r="CF45" s="83">
        <v>3.2157964910296997</v>
      </c>
      <c r="CG45" s="83">
        <v>9.3459591134887265</v>
      </c>
      <c r="CH45" s="83">
        <v>2.1704062678605442</v>
      </c>
      <c r="CI45" s="8">
        <f t="shared" si="50"/>
        <v>-1.0453902231691554</v>
      </c>
      <c r="CJ45" s="8">
        <f t="shared" si="51"/>
        <v>-7.1755528456281823</v>
      </c>
      <c r="CK45" s="8" t="str">
        <f t="shared" si="52"/>
        <v/>
      </c>
      <c r="CL45" s="8">
        <f t="shared" si="53"/>
        <v>0.14065109696095118</v>
      </c>
      <c r="CM45" s="8" t="str">
        <f t="shared" si="54"/>
        <v/>
      </c>
      <c r="CN45" s="8" t="str">
        <f t="shared" si="55"/>
        <v/>
      </c>
      <c r="DE45">
        <v>4</v>
      </c>
      <c r="DF45">
        <v>4</v>
      </c>
      <c r="DG45" s="10">
        <v>0.12220323513624864</v>
      </c>
      <c r="DJ45" s="83">
        <v>0.21222339304531071</v>
      </c>
      <c r="DK45" s="83">
        <v>0.22878692646134507</v>
      </c>
      <c r="DL45" s="83">
        <f t="shared" si="56"/>
        <v>6.6360318930585684</v>
      </c>
      <c r="DM45" s="83">
        <f t="shared" si="57"/>
        <v>7.1539584723734029</v>
      </c>
      <c r="DN45" s="83"/>
      <c r="DO45" s="83" t="str">
        <f t="shared" si="58"/>
        <v/>
      </c>
      <c r="DP45" s="83">
        <v>3.0674302774850721</v>
      </c>
      <c r="DQ45" s="83">
        <v>2.5430769432222919</v>
      </c>
      <c r="DR45" s="83"/>
      <c r="DS45" s="8" t="str">
        <f t="shared" si="59"/>
        <v/>
      </c>
      <c r="DT45" s="8" t="str">
        <f t="shared" si="60"/>
        <v/>
      </c>
      <c r="DU45" s="8" t="str">
        <f t="shared" si="61"/>
        <v/>
      </c>
      <c r="DV45" s="8" t="str">
        <f t="shared" si="62"/>
        <v/>
      </c>
      <c r="DW45" s="8" t="str">
        <f t="shared" si="63"/>
        <v/>
      </c>
      <c r="DX45" s="8" t="str">
        <f t="shared" si="64"/>
        <v/>
      </c>
      <c r="EN45" s="50"/>
      <c r="EP45" s="10"/>
      <c r="EQ45" s="10"/>
      <c r="ER45" s="10"/>
      <c r="ES45" s="10"/>
      <c r="ET45" s="10"/>
      <c r="EU45" s="10"/>
      <c r="EV45" s="10"/>
      <c r="EW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</row>
    <row r="46" spans="5:164" x14ac:dyDescent="0.2">
      <c r="G46" t="s">
        <v>5</v>
      </c>
      <c r="H46">
        <v>9</v>
      </c>
      <c r="I46">
        <v>2</v>
      </c>
      <c r="J46" s="8">
        <v>7.0589209728017703</v>
      </c>
      <c r="K46" s="8">
        <v>56.1497233927266</v>
      </c>
      <c r="L46" s="8">
        <v>36.7913556344716</v>
      </c>
      <c r="M46" s="83">
        <v>8.5339999999999999E-2</v>
      </c>
      <c r="N46" s="83">
        <v>0.91766999999999999</v>
      </c>
      <c r="O46" s="8">
        <v>8.4870000000000001E-2</v>
      </c>
      <c r="P46" s="8">
        <v>0.79405000000000003</v>
      </c>
      <c r="Q46">
        <f t="shared" si="68"/>
        <v>4.699999999999982E-4</v>
      </c>
      <c r="R46">
        <f t="shared" si="69"/>
        <v>0.12361999999999995</v>
      </c>
      <c r="S46" s="8">
        <v>1.2718606844961164</v>
      </c>
      <c r="T46" s="8">
        <v>1.5278773635684866</v>
      </c>
      <c r="U46" s="8">
        <v>1.7104160223724127</v>
      </c>
      <c r="V46">
        <f t="shared" si="70"/>
        <v>-0.17029352550315191</v>
      </c>
      <c r="W46">
        <f t="shared" si="71"/>
        <v>-0.1214184632851615</v>
      </c>
      <c r="X46">
        <f t="shared" si="72"/>
        <v>-0.29171198878831339</v>
      </c>
      <c r="Y46" s="8">
        <f>AVERAGE(T46,U46)</f>
        <v>1.6191466929704497</v>
      </c>
      <c r="Z46" s="8">
        <v>1.3688798762783483</v>
      </c>
      <c r="AA46" s="83">
        <v>0.12654914941113077</v>
      </c>
      <c r="AB46" s="83">
        <v>0.25473126419379277</v>
      </c>
      <c r="AC46" s="83">
        <f t="shared" si="73"/>
        <v>0.2049016367672557</v>
      </c>
      <c r="AD46" s="83">
        <f t="shared" si="74"/>
        <v>0.41244728401556147</v>
      </c>
      <c r="AE46" s="83">
        <f t="shared" si="32"/>
        <v>0.20754564724830576</v>
      </c>
      <c r="AF46" s="8">
        <v>3.2276944395056644</v>
      </c>
      <c r="AG46" s="8">
        <v>33.943072302189591</v>
      </c>
      <c r="AH46" s="8">
        <f t="shared" si="33"/>
        <v>30.715377862683926</v>
      </c>
      <c r="AI46" s="8">
        <f t="shared" si="34"/>
        <v>0.128182114782662</v>
      </c>
      <c r="AJ46">
        <f t="shared" si="75"/>
        <v>0.38900124793567936</v>
      </c>
      <c r="AK46">
        <f t="shared" si="35"/>
        <v>0.48344155612137796</v>
      </c>
      <c r="AL46">
        <f t="shared" si="76"/>
        <v>0.35470770140007468</v>
      </c>
      <c r="AM46">
        <f t="shared" si="36"/>
        <v>0.37893334272381951</v>
      </c>
      <c r="AN46">
        <f t="shared" si="77"/>
        <v>0.22799707710433914</v>
      </c>
      <c r="AO46">
        <f t="shared" si="37"/>
        <v>0.21878078121208117</v>
      </c>
      <c r="AP46">
        <f t="shared" si="38"/>
        <v>0.12671062429573554</v>
      </c>
      <c r="AQ46">
        <f t="shared" si="39"/>
        <v>0.16015256151173834</v>
      </c>
      <c r="AR46">
        <f t="shared" si="40"/>
        <v>3.429354653560468E-2</v>
      </c>
      <c r="AS46">
        <f t="shared" si="91"/>
        <v>161.243946679049</v>
      </c>
      <c r="AT46">
        <f t="shared" si="78"/>
        <v>80.119835052894487</v>
      </c>
      <c r="AU46" s="24">
        <f t="shared" si="92"/>
        <v>0.16895617951888162</v>
      </c>
      <c r="AV46" s="24">
        <f t="shared" si="79"/>
        <v>0.22612571042480711</v>
      </c>
      <c r="AW46" s="24">
        <f t="shared" si="41"/>
        <v>5.9186944380939055</v>
      </c>
      <c r="AX46" s="24">
        <f t="shared" si="93"/>
        <v>8.8095852839744485E-2</v>
      </c>
      <c r="AY46" s="24">
        <f t="shared" si="80"/>
        <v>0.10191485508957809</v>
      </c>
      <c r="AZ46" s="24">
        <f t="shared" si="94"/>
        <v>3.031330070016415E-3</v>
      </c>
      <c r="BA46" s="24">
        <f t="shared" si="42"/>
        <v>8.4203613056011532E-3</v>
      </c>
      <c r="BB46">
        <f t="shared" si="95"/>
        <v>0.23</v>
      </c>
      <c r="BC46">
        <f t="shared" si="96"/>
        <v>0.41</v>
      </c>
      <c r="BD46">
        <f t="shared" si="43"/>
        <v>0.17999999999999997</v>
      </c>
      <c r="BE46">
        <f t="shared" si="97"/>
        <v>8.0115744807157885E-2</v>
      </c>
      <c r="BF46">
        <f t="shared" si="98"/>
        <v>-6.2088710840154748</v>
      </c>
      <c r="BG46">
        <f t="shared" si="99"/>
        <v>0.21</v>
      </c>
      <c r="BH46">
        <f t="shared" si="100"/>
        <v>0.38</v>
      </c>
      <c r="BI46">
        <f t="shared" si="101"/>
        <v>0.17</v>
      </c>
      <c r="BJ46">
        <f t="shared" si="81"/>
        <v>8.8532789741524565E-2</v>
      </c>
      <c r="BK46">
        <f t="shared" si="82"/>
        <v>0.21270925424977888</v>
      </c>
      <c r="BL46">
        <f t="shared" si="83"/>
        <v>0.35900124793567934</v>
      </c>
      <c r="BM46">
        <f t="shared" si="45"/>
        <v>0.14629199368590046</v>
      </c>
      <c r="BN46">
        <f t="shared" si="84"/>
        <v>0.15324585860373557</v>
      </c>
      <c r="BO46">
        <f t="shared" si="85"/>
        <v>0.32177443450954907</v>
      </c>
      <c r="BP46">
        <f t="shared" si="46"/>
        <v>0.16852857590581349</v>
      </c>
      <c r="BQ46">
        <v>85</v>
      </c>
      <c r="BR46" s="10">
        <v>4</v>
      </c>
      <c r="BS46" s="10">
        <f t="shared" si="47"/>
        <v>122</v>
      </c>
      <c r="BT46" s="10">
        <v>4</v>
      </c>
      <c r="BU46" s="10">
        <f t="shared" si="48"/>
        <v>122</v>
      </c>
      <c r="BV46">
        <f t="shared" si="90"/>
        <v>15.304093376225429</v>
      </c>
      <c r="BW46">
        <f t="shared" si="86"/>
        <v>18.994588163194585</v>
      </c>
      <c r="BX46">
        <f t="shared" si="87"/>
        <v>15.304093376225429</v>
      </c>
      <c r="BY46">
        <f t="shared" si="88"/>
        <v>18.994588163194585</v>
      </c>
      <c r="BZ46">
        <f t="shared" si="89"/>
        <v>11.649119984143297</v>
      </c>
      <c r="CA46" s="83">
        <v>0.13529168390566801</v>
      </c>
      <c r="CB46" s="83">
        <v>0.11762563729060467</v>
      </c>
      <c r="CE46" s="83">
        <v>0.22790981109079825</v>
      </c>
      <c r="CF46" s="83">
        <v>1.1144780030340642</v>
      </c>
      <c r="CG46" s="83">
        <v>1.7113642571012382</v>
      </c>
      <c r="CH46" s="83">
        <v>2.3726287324801953</v>
      </c>
      <c r="CI46" s="8">
        <f t="shared" si="50"/>
        <v>1.2581507294461312</v>
      </c>
      <c r="CJ46" s="8">
        <f t="shared" si="51"/>
        <v>0.66126447537895716</v>
      </c>
      <c r="CK46" s="8" t="str">
        <f t="shared" si="52"/>
        <v/>
      </c>
      <c r="CL46" s="8">
        <f t="shared" si="53"/>
        <v>0.11028417380019358</v>
      </c>
      <c r="CM46" s="8" t="str">
        <f t="shared" si="54"/>
        <v/>
      </c>
      <c r="CN46" s="8" t="str">
        <f t="shared" si="55"/>
        <v/>
      </c>
      <c r="DE46">
        <v>4</v>
      </c>
      <c r="DF46">
        <v>5</v>
      </c>
      <c r="DG46" s="10">
        <v>0.12628982106023484</v>
      </c>
      <c r="DJ46" s="83">
        <v>0.10334690185436439</v>
      </c>
      <c r="DK46" s="83">
        <v>0.11482613679785997</v>
      </c>
      <c r="DL46" s="83">
        <f t="shared" si="56"/>
        <v>3.507911361849982</v>
      </c>
      <c r="DM46" s="83">
        <f t="shared" si="57"/>
        <v>3.8975518635108739</v>
      </c>
      <c r="DN46" s="83">
        <v>0.25547723375881115</v>
      </c>
      <c r="DO46" s="83">
        <f t="shared" si="58"/>
        <v>8.6716822170387182</v>
      </c>
      <c r="DP46" s="83">
        <v>3.2157964910296997</v>
      </c>
      <c r="DQ46" s="83">
        <v>9.3459591134887265</v>
      </c>
      <c r="DR46" s="83">
        <v>2.1704062678605442</v>
      </c>
      <c r="DS46" s="8">
        <f t="shared" si="59"/>
        <v>-1.0453902231691554</v>
      </c>
      <c r="DT46" s="8">
        <f t="shared" si="60"/>
        <v>-7.1755528456281823</v>
      </c>
      <c r="DU46" s="8">
        <f t="shared" si="61"/>
        <v>4.7741303535278448</v>
      </c>
      <c r="DV46" s="8">
        <f t="shared" si="62"/>
        <v>5.1637708551887362</v>
      </c>
      <c r="DW46" s="8">
        <f t="shared" si="63"/>
        <v>0.14065109696095118</v>
      </c>
      <c r="DX46" s="8">
        <f t="shared" si="64"/>
        <v>0.15213033190444675</v>
      </c>
      <c r="EN46" s="50"/>
      <c r="EP46" s="10"/>
      <c r="EQ46" s="10"/>
      <c r="ER46" s="10"/>
      <c r="ES46" s="10"/>
      <c r="ET46" s="10"/>
      <c r="EU46" s="10"/>
      <c r="EV46" s="10"/>
      <c r="EW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</row>
    <row r="47" spans="5:164" x14ac:dyDescent="0.2">
      <c r="G47" t="s">
        <v>5</v>
      </c>
      <c r="H47">
        <v>9</v>
      </c>
      <c r="I47">
        <v>3</v>
      </c>
      <c r="J47" s="8">
        <v>5.6099195486992102</v>
      </c>
      <c r="K47" s="8">
        <v>56.612643490379902</v>
      </c>
      <c r="L47" s="8">
        <v>37.777436960920802</v>
      </c>
      <c r="M47" s="83">
        <v>6.5740000000000007E-2</v>
      </c>
      <c r="N47" s="83">
        <v>0.49596000000000001</v>
      </c>
      <c r="O47" s="8">
        <v>0.15007000000000001</v>
      </c>
      <c r="P47" s="8">
        <v>1.9557</v>
      </c>
      <c r="Q47">
        <f t="shared" si="68"/>
        <v>-8.4330000000000002E-2</v>
      </c>
      <c r="R47">
        <f t="shared" si="69"/>
        <v>-1.45974</v>
      </c>
      <c r="S47" s="8">
        <v>1.5664989519884485</v>
      </c>
      <c r="T47" s="8">
        <v>1.5654672898623361</v>
      </c>
      <c r="U47" s="8">
        <v>1.6738995605955826</v>
      </c>
      <c r="V47">
        <f t="shared" si="70"/>
        <v>6.4400183142061449E-4</v>
      </c>
      <c r="W47">
        <f t="shared" si="71"/>
        <v>-6.7687452286776584E-2</v>
      </c>
      <c r="X47">
        <f t="shared" si="72"/>
        <v>-6.7043450455355966E-2</v>
      </c>
      <c r="Y47" s="8">
        <f t="shared" ref="Y47:Y54" si="102">AVERAGE(S47:U47)</f>
        <v>1.6019552674821222</v>
      </c>
      <c r="Z47" s="8" t="e">
        <v>#VALUE!</v>
      </c>
      <c r="AA47" s="83">
        <v>0.19741309620048494</v>
      </c>
      <c r="AB47" s="83">
        <v>0.21541501976284572</v>
      </c>
      <c r="AC47" s="83">
        <f t="shared" si="73"/>
        <v>0.31624694932832181</v>
      </c>
      <c r="AD47" s="83">
        <f t="shared" si="74"/>
        <v>0.34508522560385618</v>
      </c>
      <c r="AE47" s="83">
        <f t="shared" si="32"/>
        <v>2.8838276275534369E-2</v>
      </c>
      <c r="AF47" s="8">
        <v>2.029007042258637</v>
      </c>
      <c r="AG47" s="8">
        <v>45.607619159344509</v>
      </c>
      <c r="AH47" s="8">
        <f t="shared" si="33"/>
        <v>43.578612117085875</v>
      </c>
      <c r="AI47" s="8">
        <f t="shared" si="34"/>
        <v>1.8001923562360772E-2</v>
      </c>
      <c r="AJ47">
        <f t="shared" si="75"/>
        <v>0.39548857830863304</v>
      </c>
      <c r="AK47" t="e">
        <f t="shared" si="35"/>
        <v>#VALUE!</v>
      </c>
      <c r="AL47">
        <f t="shared" si="76"/>
        <v>0.3611255204370174</v>
      </c>
      <c r="AM47" t="str">
        <f t="shared" si="36"/>
        <v/>
      </c>
      <c r="AN47">
        <f t="shared" si="77"/>
        <v>0.23373327588456153</v>
      </c>
      <c r="AO47" t="str">
        <f t="shared" si="37"/>
        <v/>
      </c>
      <c r="AP47">
        <f t="shared" si="38"/>
        <v>0.12739224455245587</v>
      </c>
      <c r="AQ47" t="str">
        <f t="shared" si="39"/>
        <v/>
      </c>
      <c r="AR47">
        <f t="shared" si="40"/>
        <v>3.4363057871615643E-2</v>
      </c>
      <c r="AS47">
        <f t="shared" si="91"/>
        <v>160.77238167680471</v>
      </c>
      <c r="AT47" t="e">
        <f t="shared" si="78"/>
        <v>#VALUE!</v>
      </c>
      <c r="AU47" s="24">
        <f t="shared" si="92"/>
        <v>0.16525555697053324</v>
      </c>
      <c r="AV47" s="24" t="e">
        <f t="shared" si="79"/>
        <v>#VALUE!</v>
      </c>
      <c r="AW47" s="24">
        <f t="shared" si="41"/>
        <v>6.051233727518829</v>
      </c>
      <c r="AX47" s="24">
        <f t="shared" si="93"/>
        <v>8.8802589135209525E-2</v>
      </c>
      <c r="AY47" s="24" t="e">
        <f t="shared" si="80"/>
        <v>#VALUE!</v>
      </c>
      <c r="AZ47" s="24">
        <f t="shared" si="94"/>
        <v>2.9955795091237015E-3</v>
      </c>
      <c r="BA47" s="24">
        <f t="shared" si="42"/>
        <v>8.3210541920102823E-3</v>
      </c>
      <c r="BB47">
        <f t="shared" si="95"/>
        <v>0.25</v>
      </c>
      <c r="BC47">
        <f t="shared" si="96"/>
        <v>0.43</v>
      </c>
      <c r="BD47">
        <f t="shared" si="43"/>
        <v>0.18</v>
      </c>
      <c r="BE47">
        <f t="shared" si="97"/>
        <v>7.7442549343488917E-2</v>
      </c>
      <c r="BF47">
        <f t="shared" si="98"/>
        <v>-6.3496604470985778</v>
      </c>
      <c r="BG47">
        <f t="shared" si="99"/>
        <v>0.21</v>
      </c>
      <c r="BH47">
        <f t="shared" si="100"/>
        <v>0.39</v>
      </c>
      <c r="BI47">
        <f t="shared" si="101"/>
        <v>0.18000000000000002</v>
      </c>
      <c r="BJ47">
        <f t="shared" si="81"/>
        <v>9.5237445681972233E-2</v>
      </c>
      <c r="BK47">
        <f t="shared" si="82"/>
        <v>0.20862457155375225</v>
      </c>
      <c r="BL47">
        <f t="shared" si="83"/>
        <v>0.36225962996164462</v>
      </c>
      <c r="BM47">
        <f t="shared" si="45"/>
        <v>0.15363505840789238</v>
      </c>
      <c r="BN47" t="e">
        <f t="shared" si="84"/>
        <v>#VALUE!</v>
      </c>
      <c r="BO47" t="e">
        <f t="shared" si="85"/>
        <v>#VALUE!</v>
      </c>
      <c r="BP47" t="e">
        <f t="shared" si="46"/>
        <v>#VALUE!</v>
      </c>
      <c r="BQ47">
        <v>85</v>
      </c>
      <c r="BR47" s="10">
        <v>4</v>
      </c>
      <c r="BS47" s="10">
        <f t="shared" si="47"/>
        <v>122</v>
      </c>
      <c r="BT47" s="10">
        <v>4</v>
      </c>
      <c r="BU47" s="10">
        <f t="shared" si="48"/>
        <v>122</v>
      </c>
      <c r="BV47">
        <f t="shared" si="90"/>
        <v>15.304093376225429</v>
      </c>
      <c r="BW47">
        <f t="shared" si="86"/>
        <v>18.994588163194585</v>
      </c>
      <c r="BX47">
        <f t="shared" si="87"/>
        <v>15.304093376225429</v>
      </c>
      <c r="BY47">
        <f t="shared" si="88"/>
        <v>18.994588163194585</v>
      </c>
      <c r="BZ47">
        <f t="shared" si="89"/>
        <v>11.649119984143297</v>
      </c>
      <c r="CA47" s="83">
        <v>0.14067707419750941</v>
      </c>
      <c r="CB47" s="83">
        <v>0.12870571221981181</v>
      </c>
      <c r="CE47" s="83">
        <v>0.23993610223642192</v>
      </c>
      <c r="CF47" s="83">
        <v>0.79847395193825665</v>
      </c>
      <c r="CG47" s="83">
        <v>1.0252410219329957</v>
      </c>
      <c r="CH47" s="83">
        <v>1.8108233493077748</v>
      </c>
      <c r="CI47" s="8">
        <f t="shared" si="50"/>
        <v>1.0123493973695181</v>
      </c>
      <c r="CJ47" s="8">
        <f t="shared" si="51"/>
        <v>0.78558232737477907</v>
      </c>
      <c r="CK47" s="8" t="str">
        <f t="shared" si="52"/>
        <v/>
      </c>
      <c r="CL47" s="8">
        <f t="shared" si="53"/>
        <v>0.11123039001661011</v>
      </c>
      <c r="CM47" s="8" t="str">
        <f t="shared" si="54"/>
        <v/>
      </c>
      <c r="CN47" s="8" t="str">
        <f t="shared" si="55"/>
        <v/>
      </c>
      <c r="DE47">
        <v>4</v>
      </c>
      <c r="DF47">
        <v>6</v>
      </c>
      <c r="DG47" s="10">
        <v>9.8702501914788188E-2</v>
      </c>
      <c r="DJ47" s="83">
        <v>0.13529168390566801</v>
      </c>
      <c r="DK47" s="83">
        <v>0.11762563729060467</v>
      </c>
      <c r="DL47" s="83">
        <f t="shared" si="56"/>
        <v>6.1703315949961253</v>
      </c>
      <c r="DM47" s="83">
        <f t="shared" si="57"/>
        <v>5.3646252689250895</v>
      </c>
      <c r="DN47" s="83">
        <v>0.22790981109079825</v>
      </c>
      <c r="DO47" s="83">
        <f t="shared" si="58"/>
        <v>10.394423866907278</v>
      </c>
      <c r="DP47" s="83">
        <v>1.1144780030340642</v>
      </c>
      <c r="DQ47" s="83">
        <v>1.7113642571012382</v>
      </c>
      <c r="DR47" s="83">
        <v>2.3726287324801953</v>
      </c>
      <c r="DS47" s="8">
        <f t="shared" si="59"/>
        <v>1.2581507294461312</v>
      </c>
      <c r="DT47" s="8">
        <f t="shared" si="60"/>
        <v>0.66126447537895716</v>
      </c>
      <c r="DU47" s="8">
        <f t="shared" si="61"/>
        <v>5.0297985979821886</v>
      </c>
      <c r="DV47" s="8">
        <f t="shared" si="62"/>
        <v>4.2240922719111529</v>
      </c>
      <c r="DW47" s="8">
        <f t="shared" si="63"/>
        <v>0.11028417380019358</v>
      </c>
      <c r="DX47" s="8">
        <f t="shared" si="64"/>
        <v>9.2618127185130239E-2</v>
      </c>
      <c r="EN47" s="50"/>
      <c r="EP47" s="10"/>
      <c r="EQ47" s="10"/>
      <c r="ER47" s="10"/>
      <c r="ES47" s="10"/>
      <c r="ET47" s="10"/>
      <c r="EU47" s="10"/>
      <c r="EV47" s="10"/>
      <c r="EW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</row>
    <row r="48" spans="5:164" x14ac:dyDescent="0.2">
      <c r="G48" t="s">
        <v>5</v>
      </c>
      <c r="H48">
        <v>9</v>
      </c>
      <c r="I48">
        <v>4</v>
      </c>
      <c r="J48" s="8">
        <v>5.3221694189129796</v>
      </c>
      <c r="K48" s="8">
        <v>42.100441549429704</v>
      </c>
      <c r="L48" s="8">
        <v>52.577389031657297</v>
      </c>
      <c r="M48" s="83">
        <v>4.2790000000000002E-2</v>
      </c>
      <c r="N48" s="83">
        <v>0.28944999999999999</v>
      </c>
      <c r="O48" s="8">
        <v>3.1550000000000002E-2</v>
      </c>
      <c r="P48" s="8">
        <v>0.37141999999999997</v>
      </c>
      <c r="Q48">
        <f t="shared" si="68"/>
        <v>1.124E-2</v>
      </c>
      <c r="R48">
        <f t="shared" si="69"/>
        <v>-8.1969999999999987E-2</v>
      </c>
      <c r="S48" s="8">
        <v>1.5390036883354654</v>
      </c>
      <c r="T48" s="8">
        <v>1.5400519071632881</v>
      </c>
      <c r="U48" s="8">
        <v>1.6155022030715254</v>
      </c>
      <c r="V48">
        <f t="shared" si="70"/>
        <v>-6.6985147875392383E-4</v>
      </c>
      <c r="W48">
        <f t="shared" si="71"/>
        <v>-4.8215592913489452E-2</v>
      </c>
      <c r="X48">
        <f t="shared" si="72"/>
        <v>-4.8885444392243377E-2</v>
      </c>
      <c r="Y48" s="8">
        <f t="shared" si="102"/>
        <v>1.5648525995234264</v>
      </c>
      <c r="AA48" s="83">
        <v>0.21535075653370003</v>
      </c>
      <c r="AB48" s="83"/>
      <c r="AC48" s="83">
        <f t="shared" si="73"/>
        <v>0.33699219117109697</v>
      </c>
      <c r="AD48" s="83" t="str">
        <f t="shared" si="74"/>
        <v/>
      </c>
      <c r="AE48" s="83" t="str">
        <f t="shared" si="32"/>
        <v/>
      </c>
      <c r="AF48" s="8">
        <v>3.4316116045040688</v>
      </c>
      <c r="AG48" s="8"/>
      <c r="AH48" s="8" t="str">
        <f t="shared" si="33"/>
        <v/>
      </c>
      <c r="AI48" s="8" t="str">
        <f t="shared" si="34"/>
        <v/>
      </c>
      <c r="AJ48">
        <f t="shared" si="75"/>
        <v>0.40948958508549949</v>
      </c>
      <c r="AK48" t="str">
        <f t="shared" si="35"/>
        <v/>
      </c>
      <c r="AL48">
        <f t="shared" si="76"/>
        <v>0.39702395927997824</v>
      </c>
      <c r="AM48" t="str">
        <f t="shared" si="36"/>
        <v/>
      </c>
      <c r="AN48">
        <f t="shared" si="77"/>
        <v>0.30639581716616926</v>
      </c>
      <c r="AO48" t="str">
        <f t="shared" si="37"/>
        <v/>
      </c>
      <c r="AP48">
        <f t="shared" si="38"/>
        <v>9.0628142113808985E-2</v>
      </c>
      <c r="AQ48" t="str">
        <f t="shared" si="39"/>
        <v/>
      </c>
      <c r="AR48">
        <f t="shared" si="40"/>
        <v>1.2465625805521241E-2</v>
      </c>
      <c r="AS48">
        <f t="shared" si="91"/>
        <v>213.29657254820924</v>
      </c>
      <c r="AT48" t="str">
        <f t="shared" si="78"/>
        <v/>
      </c>
      <c r="AU48" s="24">
        <f t="shared" si="92"/>
        <v>8.9124385978268952E-2</v>
      </c>
      <c r="AV48" s="24" t="str">
        <f t="shared" si="79"/>
        <v/>
      </c>
      <c r="AW48" s="24">
        <f t="shared" si="41"/>
        <v>11.220273654887544</v>
      </c>
      <c r="AX48" s="24">
        <f t="shared" si="93"/>
        <v>8.2719538421166222E-2</v>
      </c>
      <c r="AY48" s="24" t="str">
        <f t="shared" si="80"/>
        <v/>
      </c>
      <c r="AZ48" s="24">
        <f t="shared" si="94"/>
        <v>3.9706183991268491E-4</v>
      </c>
      <c r="BA48" s="24">
        <f t="shared" si="42"/>
        <v>1.1029495553130137E-3</v>
      </c>
      <c r="BB48">
        <f t="shared" si="95"/>
        <v>0.3</v>
      </c>
      <c r="BC48">
        <f t="shared" si="96"/>
        <v>0.45</v>
      </c>
      <c r="BD48">
        <f t="shared" si="43"/>
        <v>0.15000000000000002</v>
      </c>
      <c r="BE48">
        <f t="shared" si="97"/>
        <v>2.65758698679124E-2</v>
      </c>
      <c r="BF48">
        <f t="shared" si="98"/>
        <v>-9.3288141999991741</v>
      </c>
      <c r="BG48">
        <f t="shared" si="99"/>
        <v>0.31</v>
      </c>
      <c r="BH48">
        <f t="shared" si="100"/>
        <v>0.47</v>
      </c>
      <c r="BI48">
        <f t="shared" si="101"/>
        <v>0.15999999999999998</v>
      </c>
      <c r="BJ48">
        <f t="shared" si="81"/>
        <v>0.10970748618586368</v>
      </c>
      <c r="BK48">
        <f t="shared" si="82"/>
        <v>0.19980897764676614</v>
      </c>
      <c r="BL48">
        <f t="shared" si="83"/>
        <v>0.35581489653721915</v>
      </c>
      <c r="BM48">
        <f t="shared" si="45"/>
        <v>0.15600591889045301</v>
      </c>
      <c r="BN48" t="str">
        <f t="shared" si="84"/>
        <v/>
      </c>
      <c r="BO48" t="str">
        <f t="shared" si="85"/>
        <v/>
      </c>
      <c r="BP48" t="str">
        <f t="shared" si="46"/>
        <v/>
      </c>
      <c r="BQ48">
        <v>85</v>
      </c>
      <c r="BR48" s="10">
        <v>4</v>
      </c>
      <c r="BS48" s="10">
        <f t="shared" si="47"/>
        <v>122</v>
      </c>
      <c r="BT48" s="10">
        <v>4</v>
      </c>
      <c r="BU48" s="10">
        <f t="shared" si="48"/>
        <v>122</v>
      </c>
      <c r="BV48">
        <f t="shared" si="90"/>
        <v>15.304093376225429</v>
      </c>
      <c r="BW48">
        <f t="shared" si="86"/>
        <v>18.994588163194585</v>
      </c>
      <c r="BX48">
        <f t="shared" si="87"/>
        <v>15.304093376225429</v>
      </c>
      <c r="BY48">
        <f t="shared" si="88"/>
        <v>18.994588163194585</v>
      </c>
      <c r="BZ48">
        <f t="shared" si="89"/>
        <v>11.649119984143297</v>
      </c>
      <c r="CA48" s="83">
        <v>0.14957008598280355</v>
      </c>
      <c r="CB48" s="83">
        <v>0.19319805658759642</v>
      </c>
      <c r="CE48" s="83">
        <v>0.28170393340949906</v>
      </c>
      <c r="CF48" s="83">
        <v>0.41681495367593152</v>
      </c>
      <c r="CG48" s="83">
        <v>2.1522309945698765</v>
      </c>
      <c r="CH48" s="83">
        <v>1.9695517110059302</v>
      </c>
      <c r="CI48" s="8">
        <f t="shared" si="50"/>
        <v>1.5527367573299986</v>
      </c>
      <c r="CJ48" s="8">
        <f t="shared" si="51"/>
        <v>-0.18267928356394636</v>
      </c>
      <c r="CK48" s="8" t="str">
        <f t="shared" si="52"/>
        <v/>
      </c>
      <c r="CL48" s="8">
        <f t="shared" si="53"/>
        <v>8.850587682190264E-2</v>
      </c>
      <c r="CM48" s="8" t="str">
        <f t="shared" si="54"/>
        <v/>
      </c>
      <c r="CN48" s="8" t="str">
        <f t="shared" si="55"/>
        <v/>
      </c>
      <c r="DE48">
        <v>4</v>
      </c>
      <c r="DF48">
        <v>7</v>
      </c>
      <c r="DG48" s="10"/>
      <c r="DJ48" s="83">
        <v>0.14067707419750941</v>
      </c>
      <c r="DK48" s="83">
        <v>0.12870571221981181</v>
      </c>
      <c r="DL48" s="83" t="str">
        <f t="shared" si="56"/>
        <v/>
      </c>
      <c r="DM48" s="83" t="str">
        <f t="shared" si="57"/>
        <v/>
      </c>
      <c r="DN48" s="83">
        <v>0.23993610223642192</v>
      </c>
      <c r="DO48" s="83" t="str">
        <f t="shared" si="58"/>
        <v/>
      </c>
      <c r="DP48" s="83">
        <v>0.79847395193825665</v>
      </c>
      <c r="DQ48" s="83">
        <v>1.0252410219329957</v>
      </c>
      <c r="DR48" s="83">
        <v>1.8108233493077748</v>
      </c>
      <c r="DS48" s="8">
        <f t="shared" si="59"/>
        <v>1.0123493973695181</v>
      </c>
      <c r="DT48" s="8">
        <f t="shared" si="60"/>
        <v>0.78558232737477907</v>
      </c>
      <c r="DU48" s="8" t="str">
        <f t="shared" si="61"/>
        <v/>
      </c>
      <c r="DV48" s="8" t="str">
        <f t="shared" si="62"/>
        <v/>
      </c>
      <c r="DW48" s="8">
        <f t="shared" si="63"/>
        <v>0.11123039001661011</v>
      </c>
      <c r="DX48" s="8">
        <f t="shared" si="64"/>
        <v>9.9259028038912511E-2</v>
      </c>
      <c r="EN48" s="50"/>
      <c r="EP48" s="10"/>
      <c r="EQ48" s="10"/>
      <c r="ER48" s="10"/>
      <c r="ES48" s="10"/>
      <c r="ET48" s="10"/>
      <c r="EU48" s="10"/>
      <c r="EV48" s="10"/>
      <c r="EW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</row>
    <row r="49" spans="7:164" x14ac:dyDescent="0.2">
      <c r="G49" t="s">
        <v>5</v>
      </c>
      <c r="H49">
        <v>9</v>
      </c>
      <c r="I49">
        <v>5</v>
      </c>
      <c r="J49" s="8">
        <v>6.5390364062877904</v>
      </c>
      <c r="K49" s="8">
        <v>50.797887733944499</v>
      </c>
      <c r="L49" s="8">
        <v>42.663075859767801</v>
      </c>
      <c r="M49" s="83">
        <v>3.1300000000000001E-2</v>
      </c>
      <c r="N49" s="83">
        <v>0.23011000000000001</v>
      </c>
      <c r="O49" s="8">
        <v>3.5529999999999999E-2</v>
      </c>
      <c r="P49" s="8">
        <v>0.25385000000000002</v>
      </c>
      <c r="Q49">
        <f t="shared" si="68"/>
        <v>-4.2299999999999977E-3</v>
      </c>
      <c r="R49">
        <f t="shared" si="69"/>
        <v>-2.3740000000000011E-2</v>
      </c>
      <c r="S49" s="8">
        <v>1.5616900356654566</v>
      </c>
      <c r="T49" s="8">
        <v>1.5733381774321065</v>
      </c>
      <c r="U49" s="8">
        <v>1.6762146038518324</v>
      </c>
      <c r="V49">
        <f t="shared" si="70"/>
        <v>-7.2630766372557233E-3</v>
      </c>
      <c r="W49">
        <f t="shared" si="71"/>
        <v>-6.4147516764673826E-2</v>
      </c>
      <c r="X49">
        <f t="shared" si="72"/>
        <v>-7.141059340192954E-2</v>
      </c>
      <c r="Y49" s="8">
        <f t="shared" si="102"/>
        <v>1.6037476056497983</v>
      </c>
      <c r="AA49" s="83">
        <v>0.18727818727818721</v>
      </c>
      <c r="AB49" s="83"/>
      <c r="AC49" s="83">
        <f t="shared" si="73"/>
        <v>0.30034694443782728</v>
      </c>
      <c r="AD49" s="83" t="str">
        <f t="shared" si="74"/>
        <v/>
      </c>
      <c r="AE49" s="83" t="str">
        <f t="shared" si="32"/>
        <v/>
      </c>
      <c r="AF49" s="8">
        <v>5.7782056211672534</v>
      </c>
      <c r="AG49" s="8"/>
      <c r="AH49" s="8" t="str">
        <f t="shared" si="33"/>
        <v/>
      </c>
      <c r="AI49" s="8" t="str">
        <f t="shared" si="34"/>
        <v/>
      </c>
      <c r="AJ49">
        <f t="shared" si="75"/>
        <v>0.39481222428309493</v>
      </c>
      <c r="AK49" t="str">
        <f t="shared" si="35"/>
        <v/>
      </c>
      <c r="AL49">
        <f t="shared" si="76"/>
        <v>0.3711817013432705</v>
      </c>
      <c r="AM49" t="str">
        <f t="shared" si="36"/>
        <v/>
      </c>
      <c r="AN49">
        <f t="shared" si="77"/>
        <v>0.25830042440992795</v>
      </c>
      <c r="AO49" t="str">
        <f t="shared" si="37"/>
        <v/>
      </c>
      <c r="AP49">
        <f t="shared" si="38"/>
        <v>0.11288127693334254</v>
      </c>
      <c r="AQ49" t="str">
        <f t="shared" si="39"/>
        <v/>
      </c>
      <c r="AR49">
        <f t="shared" si="40"/>
        <v>2.3630522939824428E-2</v>
      </c>
      <c r="AS49">
        <f t="shared" si="91"/>
        <v>180.87485562113611</v>
      </c>
      <c r="AT49" t="str">
        <f t="shared" si="78"/>
        <v/>
      </c>
      <c r="AU49" s="24">
        <f t="shared" si="92"/>
        <v>0.13345073035877941</v>
      </c>
      <c r="AV49" s="24" t="str">
        <f t="shared" si="79"/>
        <v/>
      </c>
      <c r="AW49" s="24">
        <f t="shared" si="41"/>
        <v>7.4934022265110247</v>
      </c>
      <c r="AX49" s="24">
        <f t="shared" si="93"/>
        <v>8.8349089464358987E-2</v>
      </c>
      <c r="AY49" s="24" t="str">
        <f t="shared" si="80"/>
        <v/>
      </c>
      <c r="AZ49" s="24">
        <f t="shared" si="94"/>
        <v>1.3705652524270977E-3</v>
      </c>
      <c r="BA49" s="24">
        <f t="shared" si="42"/>
        <v>3.8071257011863826E-3</v>
      </c>
      <c r="BB49">
        <f t="shared" si="95"/>
        <v>0.25</v>
      </c>
      <c r="BC49">
        <f t="shared" si="96"/>
        <v>0.41</v>
      </c>
      <c r="BD49">
        <f t="shared" si="43"/>
        <v>0.15999999999999998</v>
      </c>
      <c r="BE49">
        <f t="shared" si="97"/>
        <v>5.2851224448487326E-2</v>
      </c>
      <c r="BF49">
        <f t="shared" si="98"/>
        <v>-7.2442626378058748</v>
      </c>
      <c r="BG49">
        <f t="shared" si="99"/>
        <v>0.24</v>
      </c>
      <c r="BH49">
        <f t="shared" si="100"/>
        <v>0.41</v>
      </c>
      <c r="BI49">
        <f t="shared" si="101"/>
        <v>0.16999999999999998</v>
      </c>
      <c r="BJ49">
        <f t="shared" si="81"/>
        <v>9.4538433796578558E-2</v>
      </c>
      <c r="BK49">
        <f t="shared" si="82"/>
        <v>0.20905043110239213</v>
      </c>
      <c r="BL49">
        <f t="shared" si="83"/>
        <v>0.36257095910136999</v>
      </c>
      <c r="BM49">
        <f t="shared" si="45"/>
        <v>0.15352052799897786</v>
      </c>
      <c r="BN49" t="str">
        <f t="shared" si="84"/>
        <v/>
      </c>
      <c r="BO49" t="str">
        <f t="shared" si="85"/>
        <v/>
      </c>
      <c r="BP49" t="str">
        <f t="shared" si="46"/>
        <v/>
      </c>
      <c r="BQ49">
        <v>85</v>
      </c>
      <c r="BR49" s="10">
        <v>4</v>
      </c>
      <c r="BS49" s="10">
        <f t="shared" si="47"/>
        <v>122</v>
      </c>
      <c r="BT49" s="10">
        <v>4</v>
      </c>
      <c r="BU49" s="10">
        <f t="shared" si="48"/>
        <v>122</v>
      </c>
      <c r="BV49">
        <f t="shared" si="90"/>
        <v>15.304093376225429</v>
      </c>
      <c r="BW49">
        <f t="shared" si="86"/>
        <v>18.994588163194585</v>
      </c>
      <c r="BX49">
        <f t="shared" si="87"/>
        <v>15.304093376225429</v>
      </c>
      <c r="BY49">
        <f t="shared" si="88"/>
        <v>18.994588163194585</v>
      </c>
      <c r="BZ49">
        <f t="shared" si="89"/>
        <v>11.649119984143297</v>
      </c>
      <c r="CA49" s="83">
        <v>0.18731988472622485</v>
      </c>
      <c r="CB49" s="83">
        <v>0.19185403612237367</v>
      </c>
      <c r="CE49" s="83"/>
      <c r="CF49" s="83">
        <v>1.9081219980787703</v>
      </c>
      <c r="CG49" s="83">
        <v>2.1249764252365155</v>
      </c>
      <c r="CH49" s="83"/>
      <c r="CI49" s="8" t="str">
        <f t="shared" si="50"/>
        <v/>
      </c>
      <c r="CJ49" s="8" t="str">
        <f t="shared" si="51"/>
        <v/>
      </c>
      <c r="CK49" s="8" t="str">
        <f t="shared" si="52"/>
        <v/>
      </c>
      <c r="CL49" s="8" t="str">
        <f t="shared" si="53"/>
        <v/>
      </c>
      <c r="CM49" s="8" t="str">
        <f t="shared" si="54"/>
        <v/>
      </c>
      <c r="CN49" s="8" t="str">
        <f t="shared" si="55"/>
        <v/>
      </c>
      <c r="DE49">
        <v>4</v>
      </c>
      <c r="DF49">
        <v>8</v>
      </c>
      <c r="DG49" s="10">
        <v>0.11764323704178836</v>
      </c>
      <c r="DJ49" s="83">
        <v>0.14957008598280355</v>
      </c>
      <c r="DK49" s="83">
        <v>0.19319805658759642</v>
      </c>
      <c r="DL49" s="83" t="str">
        <f t="shared" si="56"/>
        <v/>
      </c>
      <c r="DM49" s="83" t="str">
        <f t="shared" si="57"/>
        <v/>
      </c>
      <c r="DN49" s="83">
        <v>0.28170393340949906</v>
      </c>
      <c r="DO49" s="83" t="str">
        <f t="shared" si="58"/>
        <v/>
      </c>
      <c r="DP49" s="83">
        <v>0.41681495367593152</v>
      </c>
      <c r="DQ49" s="83">
        <v>2.1522309945698765</v>
      </c>
      <c r="DR49" s="83">
        <v>1.9695517110059302</v>
      </c>
      <c r="DS49" s="8">
        <f t="shared" si="59"/>
        <v>1.5527367573299986</v>
      </c>
      <c r="DT49" s="8">
        <f t="shared" si="60"/>
        <v>-0.18267928356394636</v>
      </c>
      <c r="DU49" s="8" t="str">
        <f t="shared" si="61"/>
        <v/>
      </c>
      <c r="DV49" s="8" t="str">
        <f t="shared" si="62"/>
        <v/>
      </c>
      <c r="DW49" s="8">
        <f t="shared" si="63"/>
        <v>8.850587682190264E-2</v>
      </c>
      <c r="DX49" s="8">
        <f t="shared" si="64"/>
        <v>0.13213384742669551</v>
      </c>
      <c r="EN49" s="50"/>
      <c r="EP49" s="10"/>
      <c r="EQ49" s="10"/>
      <c r="ER49" s="10"/>
      <c r="ES49" s="10"/>
      <c r="ET49" s="10"/>
      <c r="EU49" s="10"/>
      <c r="EV49" s="10"/>
      <c r="EW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</row>
    <row r="50" spans="7:164" x14ac:dyDescent="0.2">
      <c r="G50" t="s">
        <v>5</v>
      </c>
      <c r="H50">
        <v>10</v>
      </c>
      <c r="I50">
        <v>1</v>
      </c>
      <c r="J50" s="8">
        <v>8.3388330574289657</v>
      </c>
      <c r="K50" s="8">
        <v>55.16503169450435</v>
      </c>
      <c r="L50" s="8">
        <v>36.496135248066693</v>
      </c>
      <c r="M50" s="83">
        <v>0.12609000000000001</v>
      </c>
      <c r="N50" s="83">
        <v>1.5738000000000001</v>
      </c>
      <c r="O50" s="8">
        <v>0.12801499999999999</v>
      </c>
      <c r="P50" s="8">
        <v>1.5343</v>
      </c>
      <c r="Q50">
        <f t="shared" si="68"/>
        <v>-1.9249999999999823E-3</v>
      </c>
      <c r="R50">
        <f t="shared" si="69"/>
        <v>3.9500000000000091E-2</v>
      </c>
      <c r="S50" s="8">
        <v>1.4984740197829354</v>
      </c>
      <c r="T50" s="8">
        <v>1.2911306632739894</v>
      </c>
      <c r="U50" s="8">
        <v>1.3654577175225653</v>
      </c>
      <c r="V50">
        <f t="shared" si="70"/>
        <v>0.14970414630598231</v>
      </c>
      <c r="W50">
        <f t="shared" si="71"/>
        <v>-5.3664937189542419E-2</v>
      </c>
      <c r="X50">
        <f t="shared" si="72"/>
        <v>9.6039209116439872E-2</v>
      </c>
      <c r="Y50" s="8">
        <f t="shared" si="102"/>
        <v>1.3850208001931632</v>
      </c>
      <c r="Z50" s="8">
        <v>1.2634765679019795</v>
      </c>
      <c r="AA50" s="83">
        <v>0.36899999999999999</v>
      </c>
      <c r="AB50" s="83">
        <v>0.21683309557774613</v>
      </c>
      <c r="AC50" s="83">
        <f t="shared" si="73"/>
        <v>0.5110726752712772</v>
      </c>
      <c r="AD50" s="83">
        <f t="shared" si="74"/>
        <v>0.30031834754545056</v>
      </c>
      <c r="AE50" s="83">
        <f t="shared" si="32"/>
        <v>-0.21075432772582664</v>
      </c>
      <c r="AF50" s="8">
        <v>4.2821132036754648</v>
      </c>
      <c r="AG50" s="8">
        <v>29.872723652761803</v>
      </c>
      <c r="AH50" s="8">
        <f t="shared" si="33"/>
        <v>25.590610449086338</v>
      </c>
      <c r="AI50" s="8">
        <f t="shared" si="34"/>
        <v>-0.15216690442225386</v>
      </c>
      <c r="AJ50">
        <f t="shared" si="75"/>
        <v>0.47735064143654216</v>
      </c>
      <c r="AK50">
        <f t="shared" si="35"/>
        <v>0.52321638947095117</v>
      </c>
      <c r="AL50">
        <f t="shared" si="76"/>
        <v>0.37534662433097721</v>
      </c>
      <c r="AM50">
        <f t="shared" si="36"/>
        <v>0.37953873735131627</v>
      </c>
      <c r="AN50">
        <f t="shared" si="77"/>
        <v>0.21746960465274029</v>
      </c>
      <c r="AO50">
        <f t="shared" si="37"/>
        <v>0.21240838837216139</v>
      </c>
      <c r="AP50">
        <f t="shared" si="38"/>
        <v>0.15787701967823692</v>
      </c>
      <c r="AQ50">
        <f t="shared" si="39"/>
        <v>0.16713034897915488</v>
      </c>
      <c r="AR50">
        <f t="shared" si="40"/>
        <v>0.10200401710556495</v>
      </c>
      <c r="AS50">
        <f t="shared" si="91"/>
        <v>80.813147296195638</v>
      </c>
      <c r="AT50">
        <f t="shared" si="78"/>
        <v>59.87700578274282</v>
      </c>
      <c r="AU50" s="24">
        <f t="shared" si="92"/>
        <v>0.22494357428423437</v>
      </c>
      <c r="AV50" s="24">
        <f t="shared" si="79"/>
        <v>0.24730854429951052</v>
      </c>
      <c r="AW50" s="24">
        <f t="shared" si="41"/>
        <v>4.4455593060703267</v>
      </c>
      <c r="AX50" s="24">
        <f t="shared" si="93"/>
        <v>0.10136007028817427</v>
      </c>
      <c r="AY50" s="24">
        <f t="shared" si="80"/>
        <v>0.10595590089747139</v>
      </c>
      <c r="AZ50" s="24">
        <f t="shared" si="94"/>
        <v>3.5422117636521866E-2</v>
      </c>
      <c r="BA50" s="24">
        <f t="shared" si="42"/>
        <v>9.8394771212560739E-2</v>
      </c>
      <c r="BB50">
        <f t="shared" si="95"/>
        <v>0.25</v>
      </c>
      <c r="BC50">
        <f t="shared" si="96"/>
        <v>0.43</v>
      </c>
      <c r="BD50">
        <f t="shared" si="43"/>
        <v>0.18</v>
      </c>
      <c r="BE50">
        <f t="shared" si="97"/>
        <v>7.8631581516923052E-2</v>
      </c>
      <c r="BF50">
        <f t="shared" si="98"/>
        <v>-6.1853856722333171</v>
      </c>
      <c r="BG50">
        <f t="shared" si="99"/>
        <v>0.2</v>
      </c>
      <c r="BH50">
        <f t="shared" si="100"/>
        <v>0.38</v>
      </c>
      <c r="BI50">
        <f t="shared" si="101"/>
        <v>0.18</v>
      </c>
      <c r="BJ50">
        <f t="shared" si="81"/>
        <v>0.17984188792466627</v>
      </c>
      <c r="BK50">
        <f t="shared" si="82"/>
        <v>0.15708094212589557</v>
      </c>
      <c r="BL50">
        <f t="shared" si="83"/>
        <v>0.32457811299355244</v>
      </c>
      <c r="BM50">
        <f t="shared" si="45"/>
        <v>0.16749717086765686</v>
      </c>
      <c r="BN50">
        <f t="shared" si="84"/>
        <v>0.12820203253351037</v>
      </c>
      <c r="BO50">
        <f t="shared" si="85"/>
        <v>0.30346587984457385</v>
      </c>
      <c r="BP50">
        <f t="shared" si="46"/>
        <v>0.17526384731106348</v>
      </c>
      <c r="BQ50">
        <v>73</v>
      </c>
      <c r="BR50" s="10">
        <v>4</v>
      </c>
      <c r="BS50" s="10">
        <f t="shared" si="47"/>
        <v>122</v>
      </c>
      <c r="BT50" s="10">
        <v>4</v>
      </c>
      <c r="BU50" s="10">
        <f t="shared" si="48"/>
        <v>122</v>
      </c>
      <c r="BV50">
        <f t="shared" si="90"/>
        <v>16.051548539144399</v>
      </c>
      <c r="BW50">
        <f t="shared" si="86"/>
        <v>19.334120107483027</v>
      </c>
      <c r="BX50">
        <f t="shared" si="87"/>
        <v>16.051548539144399</v>
      </c>
      <c r="BY50">
        <f t="shared" si="88"/>
        <v>19.334120107483027</v>
      </c>
      <c r="BZ50">
        <f t="shared" si="89"/>
        <v>10.395870894310921</v>
      </c>
      <c r="CA50" s="83">
        <v>0.12450778173635854</v>
      </c>
      <c r="CB50" s="83">
        <v>0.11355311355311355</v>
      </c>
      <c r="CE50" s="83">
        <v>0.24816983894582728</v>
      </c>
      <c r="CF50" s="83">
        <v>2.3005555034689666</v>
      </c>
      <c r="CG50" s="83">
        <v>6.6056898656898655</v>
      </c>
      <c r="CH50" s="83">
        <v>0.93664744997559801</v>
      </c>
      <c r="CI50" s="8">
        <f t="shared" si="50"/>
        <v>-1.3639080534933687</v>
      </c>
      <c r="CJ50" s="8">
        <f t="shared" si="51"/>
        <v>-5.6690424157142676</v>
      </c>
      <c r="CK50" s="8" t="str">
        <f t="shared" si="52"/>
        <v/>
      </c>
      <c r="CL50" s="8">
        <f t="shared" si="53"/>
        <v>0.13461672539271374</v>
      </c>
      <c r="CM50" s="8" t="str">
        <f t="shared" si="54"/>
        <v/>
      </c>
      <c r="CN50" s="8" t="str">
        <f t="shared" si="55"/>
        <v/>
      </c>
      <c r="DE50">
        <v>4</v>
      </c>
      <c r="DF50">
        <v>9</v>
      </c>
      <c r="DG50" s="10">
        <v>9.0628142113808985E-2</v>
      </c>
      <c r="DJ50" s="83">
        <v>0.18731988472622485</v>
      </c>
      <c r="DK50" s="83">
        <v>0.19185403612237367</v>
      </c>
      <c r="DL50" s="83">
        <f t="shared" si="56"/>
        <v>5.5957551510937114</v>
      </c>
      <c r="DM50" s="83">
        <f t="shared" si="57"/>
        <v>5.7312026027506491</v>
      </c>
      <c r="DN50" s="83"/>
      <c r="DO50" s="83" t="str">
        <f t="shared" si="58"/>
        <v/>
      </c>
      <c r="DP50" s="83">
        <v>1.9081219980787703</v>
      </c>
      <c r="DQ50" s="83">
        <v>2.1249764252365155</v>
      </c>
      <c r="DR50" s="83"/>
      <c r="DS50" s="8" t="str">
        <f t="shared" si="59"/>
        <v/>
      </c>
      <c r="DT50" s="8" t="str">
        <f t="shared" si="60"/>
        <v/>
      </c>
      <c r="DU50" s="8" t="str">
        <f t="shared" si="61"/>
        <v/>
      </c>
      <c r="DV50" s="8" t="str">
        <f t="shared" si="62"/>
        <v/>
      </c>
      <c r="DW50" s="8" t="str">
        <f t="shared" si="63"/>
        <v/>
      </c>
      <c r="DX50" s="8" t="str">
        <f t="shared" si="64"/>
        <v/>
      </c>
      <c r="EN50" s="50"/>
      <c r="EP50" s="10"/>
      <c r="EQ50" s="10"/>
      <c r="ER50" s="10"/>
      <c r="ES50" s="10"/>
      <c r="ET50" s="10"/>
      <c r="EU50" s="10"/>
      <c r="EV50" s="10"/>
      <c r="EW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</row>
    <row r="51" spans="7:164" x14ac:dyDescent="0.2">
      <c r="G51" t="s">
        <v>5</v>
      </c>
      <c r="H51">
        <v>10</v>
      </c>
      <c r="I51">
        <v>2</v>
      </c>
      <c r="J51" s="8">
        <v>7.4315159505624697</v>
      </c>
      <c r="K51" s="8">
        <v>56.499125074635003</v>
      </c>
      <c r="L51" s="8">
        <v>36.069358974802498</v>
      </c>
      <c r="M51" s="83">
        <v>7.6569999999999999E-2</v>
      </c>
      <c r="N51" s="83">
        <v>0.73506000000000005</v>
      </c>
      <c r="O51" s="8">
        <v>8.0640000000000003E-2</v>
      </c>
      <c r="P51" s="8">
        <v>0.71467999999999998</v>
      </c>
      <c r="Q51">
        <f t="shared" si="68"/>
        <v>-4.0700000000000042E-3</v>
      </c>
      <c r="R51">
        <f t="shared" si="69"/>
        <v>2.0380000000000065E-2</v>
      </c>
      <c r="S51" s="8">
        <v>1.4227242165329244</v>
      </c>
      <c r="T51" s="8">
        <v>1.5362371451561021</v>
      </c>
      <c r="U51" s="8">
        <v>1.6435094809270065</v>
      </c>
      <c r="V51">
        <f t="shared" si="70"/>
        <v>-7.399042764515848E-2</v>
      </c>
      <c r="W51">
        <f t="shared" si="71"/>
        <v>-6.9922660744069665E-2</v>
      </c>
      <c r="X51">
        <f t="shared" si="72"/>
        <v>-0.14391308838922814</v>
      </c>
      <c r="Y51" s="8">
        <f t="shared" si="102"/>
        <v>1.5341569475386778</v>
      </c>
      <c r="Z51" s="8">
        <v>1.2907207994798631</v>
      </c>
      <c r="AA51" s="83">
        <v>0.14003860175852456</v>
      </c>
      <c r="AB51" s="83">
        <v>0.21730769230769229</v>
      </c>
      <c r="AC51" s="83">
        <f t="shared" si="73"/>
        <v>0.21484119381144257</v>
      </c>
      <c r="AD51" s="83">
        <f t="shared" si="74"/>
        <v>0.33338410590744344</v>
      </c>
      <c r="AE51" s="83">
        <f t="shared" si="32"/>
        <v>0.11854291209600087</v>
      </c>
      <c r="AF51" s="8">
        <v>4.2923004458702287</v>
      </c>
      <c r="AG51" s="8">
        <v>19.939030008849183</v>
      </c>
      <c r="AH51" s="8">
        <f t="shared" si="33"/>
        <v>15.646729562978955</v>
      </c>
      <c r="AI51" s="8">
        <f t="shared" si="34"/>
        <v>7.7269090549167724E-2</v>
      </c>
      <c r="AJ51">
        <f t="shared" si="75"/>
        <v>0.42107284998540462</v>
      </c>
      <c r="AK51">
        <f t="shared" si="35"/>
        <v>0.51293554736608937</v>
      </c>
      <c r="AL51">
        <f t="shared" si="76"/>
        <v>0.36360997504518544</v>
      </c>
      <c r="AM51">
        <f t="shared" si="36"/>
        <v>0.37862063420767439</v>
      </c>
      <c r="AN51">
        <f t="shared" si="77"/>
        <v>0.22200378413429403</v>
      </c>
      <c r="AO51">
        <f t="shared" si="37"/>
        <v>0.212088506698903</v>
      </c>
      <c r="AP51">
        <f t="shared" si="38"/>
        <v>0.14160619091089141</v>
      </c>
      <c r="AQ51">
        <f t="shared" si="39"/>
        <v>0.16653212750877139</v>
      </c>
      <c r="AR51">
        <f t="shared" si="40"/>
        <v>5.7462874940219177E-2</v>
      </c>
      <c r="AS51">
        <f t="shared" si="91"/>
        <v>122.42359878143492</v>
      </c>
      <c r="AT51">
        <f t="shared" si="78"/>
        <v>64.73587669865185</v>
      </c>
      <c r="AU51" s="24">
        <f t="shared" si="92"/>
        <v>0.19432050329810008</v>
      </c>
      <c r="AV51" s="24">
        <f t="shared" si="79"/>
        <v>0.24461015864803912</v>
      </c>
      <c r="AW51" s="24">
        <f t="shared" si="41"/>
        <v>5.1461373505498598</v>
      </c>
      <c r="AX51" s="24">
        <f t="shared" si="93"/>
        <v>9.3204062453694808E-2</v>
      </c>
      <c r="AY51" s="24">
        <f t="shared" si="80"/>
        <v>0.10420764217422655</v>
      </c>
      <c r="AZ51" s="24">
        <f t="shared" si="94"/>
        <v>8.5157419310686929E-3</v>
      </c>
      <c r="BA51" s="24">
        <f t="shared" si="42"/>
        <v>2.3654838697413038E-2</v>
      </c>
      <c r="BB51">
        <f t="shared" si="95"/>
        <v>0.23</v>
      </c>
      <c r="BC51">
        <f t="shared" si="96"/>
        <v>0.4</v>
      </c>
      <c r="BD51">
        <f t="shared" si="43"/>
        <v>0.17</v>
      </c>
      <c r="BE51">
        <f t="shared" si="97"/>
        <v>8.3567721794449198E-2</v>
      </c>
      <c r="BF51">
        <f t="shared" si="98"/>
        <v>-6.0976189244115888</v>
      </c>
      <c r="BG51">
        <f t="shared" si="99"/>
        <v>0.2</v>
      </c>
      <c r="BH51">
        <f t="shared" si="100"/>
        <v>0.38</v>
      </c>
      <c r="BI51">
        <f t="shared" si="101"/>
        <v>0.18</v>
      </c>
      <c r="BJ51">
        <f t="shared" si="81"/>
        <v>0.12167879045991559</v>
      </c>
      <c r="BK51">
        <f t="shared" si="82"/>
        <v>0.19251569073518987</v>
      </c>
      <c r="BL51">
        <f t="shared" si="83"/>
        <v>0.35048306178746835</v>
      </c>
      <c r="BM51">
        <f t="shared" si="45"/>
        <v>0.15796737105227848</v>
      </c>
      <c r="BN51">
        <f t="shared" si="84"/>
        <v>0.13467526195641549</v>
      </c>
      <c r="BO51">
        <f t="shared" si="85"/>
        <v>0.30819820286965222</v>
      </c>
      <c r="BP51">
        <f t="shared" si="46"/>
        <v>0.17352294091323672</v>
      </c>
      <c r="BQ51">
        <v>73</v>
      </c>
      <c r="BR51" s="10">
        <v>4</v>
      </c>
      <c r="BS51" s="10">
        <f t="shared" si="47"/>
        <v>122</v>
      </c>
      <c r="BT51" s="10">
        <v>4</v>
      </c>
      <c r="BU51" s="10">
        <f t="shared" si="48"/>
        <v>122</v>
      </c>
      <c r="BV51">
        <f t="shared" si="90"/>
        <v>16.051548539144399</v>
      </c>
      <c r="BW51">
        <f t="shared" si="86"/>
        <v>19.334120107483027</v>
      </c>
      <c r="BX51">
        <f t="shared" si="87"/>
        <v>16.051548539144399</v>
      </c>
      <c r="BY51">
        <f t="shared" si="88"/>
        <v>19.334120107483027</v>
      </c>
      <c r="BZ51">
        <f t="shared" si="89"/>
        <v>10.395870894310921</v>
      </c>
      <c r="CA51" s="83">
        <v>0.14100000000000001</v>
      </c>
      <c r="CB51" s="83">
        <v>0.11691981631932187</v>
      </c>
      <c r="CE51" s="83">
        <v>0.2312173563680191</v>
      </c>
      <c r="CF51" s="83">
        <v>1.8731416666666667</v>
      </c>
      <c r="CG51" s="83">
        <v>2.4479159307665141</v>
      </c>
      <c r="CH51" s="83">
        <v>2.4688473031337885</v>
      </c>
      <c r="CI51" s="8">
        <f t="shared" si="50"/>
        <v>0.59570563646712182</v>
      </c>
      <c r="CJ51" s="8">
        <f t="shared" si="51"/>
        <v>2.0931372367274381E-2</v>
      </c>
      <c r="CK51" s="8" t="str">
        <f t="shared" si="52"/>
        <v/>
      </c>
      <c r="CL51" s="8">
        <f t="shared" si="53"/>
        <v>0.11429754004869723</v>
      </c>
      <c r="CM51" s="8" t="str">
        <f t="shared" si="54"/>
        <v/>
      </c>
      <c r="CN51" s="8" t="str">
        <f t="shared" si="55"/>
        <v/>
      </c>
      <c r="DE51">
        <v>4</v>
      </c>
      <c r="DF51">
        <v>10</v>
      </c>
      <c r="DG51" s="10">
        <v>9.9052708972868608E-2</v>
      </c>
      <c r="DJ51" s="83">
        <v>0.12450778173635854</v>
      </c>
      <c r="DK51" s="83">
        <v>0.11355311355311355</v>
      </c>
      <c r="DL51" s="83">
        <f t="shared" si="56"/>
        <v>2.4825643963764974</v>
      </c>
      <c r="DM51" s="83">
        <f t="shared" si="57"/>
        <v>2.2641389387337902</v>
      </c>
      <c r="DN51" s="83">
        <v>0.24816983894582728</v>
      </c>
      <c r="DO51" s="83">
        <f t="shared" si="58"/>
        <v>4.948265866032119</v>
      </c>
      <c r="DP51" s="83">
        <v>2.3005555034689666</v>
      </c>
      <c r="DQ51" s="83">
        <v>6.6056898656898655</v>
      </c>
      <c r="DR51" s="83">
        <v>0.93664744997559801</v>
      </c>
      <c r="DS51" s="8">
        <f t="shared" si="59"/>
        <v>-1.3639080534933687</v>
      </c>
      <c r="DT51" s="8">
        <f t="shared" si="60"/>
        <v>-5.6690424157142676</v>
      </c>
      <c r="DU51" s="8">
        <f t="shared" si="61"/>
        <v>2.6841269272983288</v>
      </c>
      <c r="DV51" s="8">
        <f t="shared" si="62"/>
        <v>2.4657014696556216</v>
      </c>
      <c r="DW51" s="8">
        <f t="shared" si="63"/>
        <v>0.13461672539271374</v>
      </c>
      <c r="DX51" s="8">
        <f t="shared" si="64"/>
        <v>0.12366205720946874</v>
      </c>
      <c r="EN51" s="50"/>
      <c r="EP51" s="10"/>
      <c r="EQ51" s="10"/>
      <c r="ER51" s="10"/>
      <c r="ES51" s="10"/>
      <c r="ET51" s="10"/>
      <c r="EU51" s="10"/>
      <c r="EV51" s="10"/>
      <c r="EW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</row>
    <row r="52" spans="7:164" x14ac:dyDescent="0.2">
      <c r="G52" t="s">
        <v>5</v>
      </c>
      <c r="H52">
        <v>10</v>
      </c>
      <c r="I52">
        <v>3</v>
      </c>
      <c r="J52" s="8">
        <v>7.9428411734799198</v>
      </c>
      <c r="K52" s="8">
        <v>51.313649632824699</v>
      </c>
      <c r="L52" s="8">
        <v>40.743509193695402</v>
      </c>
      <c r="M52" s="83">
        <v>6.2539999999999998E-2</v>
      </c>
      <c r="N52" s="83">
        <v>0.52124999999999999</v>
      </c>
      <c r="O52" s="8">
        <v>6.0539999999999997E-2</v>
      </c>
      <c r="P52" s="8">
        <v>0.44346000000000002</v>
      </c>
      <c r="Q52">
        <f t="shared" si="68"/>
        <v>2.0000000000000018E-3</v>
      </c>
      <c r="R52">
        <f t="shared" si="69"/>
        <v>7.778999999999997E-2</v>
      </c>
      <c r="S52" s="8">
        <v>1.5591421406552737</v>
      </c>
      <c r="T52" s="8">
        <v>1.4470685933160308</v>
      </c>
      <c r="U52" s="8">
        <v>1.6563175604808127</v>
      </c>
      <c r="V52">
        <f t="shared" si="70"/>
        <v>7.2111228240221814E-2</v>
      </c>
      <c r="W52">
        <f t="shared" si="71"/>
        <v>-0.13463658810205908</v>
      </c>
      <c r="X52">
        <f t="shared" si="72"/>
        <v>-6.2525359861837285E-2</v>
      </c>
      <c r="Y52" s="8">
        <f t="shared" si="102"/>
        <v>1.5541760981507056</v>
      </c>
      <c r="Z52" s="8">
        <v>1.4381417496609323</v>
      </c>
      <c r="AA52" s="83">
        <v>0.19712259648165825</v>
      </c>
      <c r="AB52" s="83">
        <v>0.21920210434020168</v>
      </c>
      <c r="AC52" s="83">
        <f t="shared" si="73"/>
        <v>0.3063632278571996</v>
      </c>
      <c r="AD52" s="83">
        <f t="shared" si="74"/>
        <v>0.34067867122987849</v>
      </c>
      <c r="AE52" s="83">
        <f t="shared" si="32"/>
        <v>3.4315443372678889E-2</v>
      </c>
      <c r="AF52" s="8">
        <v>1.4446456559608023</v>
      </c>
      <c r="AG52" s="8">
        <v>24.388238161823374</v>
      </c>
      <c r="AH52" s="8">
        <f t="shared" si="33"/>
        <v>22.943592505862572</v>
      </c>
      <c r="AI52" s="8">
        <f t="shared" si="34"/>
        <v>2.2079507858543429E-2</v>
      </c>
      <c r="AJ52">
        <f t="shared" si="75"/>
        <v>0.41351845352803562</v>
      </c>
      <c r="AK52">
        <f t="shared" si="35"/>
        <v>0.45730500012795006</v>
      </c>
      <c r="AL52">
        <f t="shared" si="76"/>
        <v>0.37405030842672821</v>
      </c>
      <c r="AM52">
        <f t="shared" si="36"/>
        <v>0.38717207390748576</v>
      </c>
      <c r="AN52">
        <f t="shared" si="77"/>
        <v>0.24630594801677758</v>
      </c>
      <c r="AO52">
        <f t="shared" si="37"/>
        <v>0.24059809698282369</v>
      </c>
      <c r="AP52">
        <f t="shared" si="38"/>
        <v>0.12774436040995063</v>
      </c>
      <c r="AQ52">
        <f t="shared" si="39"/>
        <v>0.14657397692466206</v>
      </c>
      <c r="AR52">
        <f t="shared" si="40"/>
        <v>3.9468145101307417E-2</v>
      </c>
      <c r="AS52">
        <f t="shared" si="91"/>
        <v>144.35253608496484</v>
      </c>
      <c r="AT52">
        <f t="shared" si="78"/>
        <v>103.01244877547491</v>
      </c>
      <c r="AU52" s="24">
        <f t="shared" si="92"/>
        <v>0.15919610186428462</v>
      </c>
      <c r="AV52" s="24">
        <f t="shared" si="79"/>
        <v>0.18858510775449094</v>
      </c>
      <c r="AW52" s="24">
        <f t="shared" si="41"/>
        <v>6.2815608440745896</v>
      </c>
      <c r="AX52" s="24">
        <f t="shared" si="93"/>
        <v>9.3507230026692326E-2</v>
      </c>
      <c r="AY52" s="24">
        <f t="shared" si="80"/>
        <v>0.10152983245497539</v>
      </c>
      <c r="AZ52" s="24">
        <f t="shared" si="94"/>
        <v>3.6713698109317795E-3</v>
      </c>
      <c r="BA52" s="24">
        <f t="shared" si="42"/>
        <v>1.0198249474810499E-2</v>
      </c>
      <c r="BB52">
        <f t="shared" si="95"/>
        <v>0.24</v>
      </c>
      <c r="BC52">
        <f t="shared" si="96"/>
        <v>0.41</v>
      </c>
      <c r="BD52">
        <f t="shared" si="43"/>
        <v>0.16999999999999998</v>
      </c>
      <c r="BE52">
        <f t="shared" si="97"/>
        <v>5.8138797738134226E-2</v>
      </c>
      <c r="BF52">
        <f t="shared" si="98"/>
        <v>-6.9148291519122704</v>
      </c>
      <c r="BG52">
        <f t="shared" si="99"/>
        <v>0.23</v>
      </c>
      <c r="BH52">
        <f t="shared" si="100"/>
        <v>0.4</v>
      </c>
      <c r="BI52">
        <f t="shared" si="101"/>
        <v>0.17</v>
      </c>
      <c r="BJ52">
        <f t="shared" si="81"/>
        <v>0.11387132172122483</v>
      </c>
      <c r="BK52">
        <f t="shared" si="82"/>
        <v>0.19727224092060769</v>
      </c>
      <c r="BL52">
        <f t="shared" si="83"/>
        <v>0.35396038824877757</v>
      </c>
      <c r="BM52">
        <f t="shared" si="45"/>
        <v>0.15668814732816988</v>
      </c>
      <c r="BN52">
        <f t="shared" si="84"/>
        <v>0.16970247971943753</v>
      </c>
      <c r="BO52">
        <f t="shared" si="85"/>
        <v>0.33380522191610396</v>
      </c>
      <c r="BP52">
        <f t="shared" si="46"/>
        <v>0.16410274219666643</v>
      </c>
      <c r="BQ52">
        <v>73</v>
      </c>
      <c r="BR52" s="10">
        <v>4</v>
      </c>
      <c r="BS52" s="10">
        <f t="shared" si="47"/>
        <v>122</v>
      </c>
      <c r="BT52" s="10">
        <v>4</v>
      </c>
      <c r="BU52" s="10">
        <f t="shared" si="48"/>
        <v>122</v>
      </c>
      <c r="BV52">
        <f t="shared" si="90"/>
        <v>16.051548539144399</v>
      </c>
      <c r="BW52">
        <f t="shared" si="86"/>
        <v>19.334120107483027</v>
      </c>
      <c r="BX52">
        <f t="shared" si="87"/>
        <v>16.051548539144399</v>
      </c>
      <c r="BY52">
        <f t="shared" si="88"/>
        <v>19.334120107483027</v>
      </c>
      <c r="BZ52">
        <f t="shared" si="89"/>
        <v>10.395870894310921</v>
      </c>
      <c r="CA52" s="83">
        <v>0.14589843749999998</v>
      </c>
      <c r="CB52" s="83">
        <v>0.14282899921197792</v>
      </c>
      <c r="CE52" s="83">
        <v>0.24975288303130141</v>
      </c>
      <c r="CF52" s="83">
        <v>0.9491858723958333</v>
      </c>
      <c r="CG52" s="83">
        <v>1.4904394864722881</v>
      </c>
      <c r="CH52" s="83">
        <v>1.0982203459637561</v>
      </c>
      <c r="CI52" s="8">
        <f t="shared" si="50"/>
        <v>0.14903447356792277</v>
      </c>
      <c r="CJ52" s="8">
        <f t="shared" si="51"/>
        <v>-0.39221914050853202</v>
      </c>
      <c r="CK52" s="8" t="str">
        <f t="shared" si="52"/>
        <v/>
      </c>
      <c r="CL52" s="8">
        <f t="shared" si="53"/>
        <v>0.1069238838193235</v>
      </c>
      <c r="CM52" s="8" t="str">
        <f t="shared" si="54"/>
        <v/>
      </c>
      <c r="CN52" s="8" t="str">
        <f t="shared" si="55"/>
        <v/>
      </c>
      <c r="DE52">
        <v>4</v>
      </c>
      <c r="DF52">
        <v>11</v>
      </c>
      <c r="DG52" s="10">
        <v>0.10458460360845401</v>
      </c>
      <c r="DJ52" s="83">
        <v>0.14100000000000001</v>
      </c>
      <c r="DK52" s="83">
        <v>0.11691981631932187</v>
      </c>
      <c r="DL52" s="83">
        <f t="shared" si="56"/>
        <v>3.438741580817096</v>
      </c>
      <c r="DM52" s="83">
        <f t="shared" si="57"/>
        <v>2.8514683262322649</v>
      </c>
      <c r="DN52" s="83">
        <v>0.2312173563680191</v>
      </c>
      <c r="DO52" s="83">
        <f t="shared" si="58"/>
        <v>5.6389839542504383</v>
      </c>
      <c r="DP52" s="83">
        <v>1.8731416666666667</v>
      </c>
      <c r="DQ52" s="83">
        <v>2.4479159307665141</v>
      </c>
      <c r="DR52" s="83">
        <v>2.4688473031337885</v>
      </c>
      <c r="DS52" s="8">
        <f t="shared" si="59"/>
        <v>0.59570563646712182</v>
      </c>
      <c r="DT52" s="8">
        <f t="shared" si="60"/>
        <v>2.0931372367274381E-2</v>
      </c>
      <c r="DU52" s="8">
        <f t="shared" si="61"/>
        <v>2.7875156280181734</v>
      </c>
      <c r="DV52" s="8">
        <f t="shared" si="62"/>
        <v>2.2002423734333423</v>
      </c>
      <c r="DW52" s="8">
        <f t="shared" si="63"/>
        <v>0.11429754004869723</v>
      </c>
      <c r="DX52" s="8">
        <f t="shared" si="64"/>
        <v>9.0217356368019086E-2</v>
      </c>
      <c r="EN52" s="51"/>
      <c r="EP52" s="10"/>
      <c r="EQ52" s="10"/>
      <c r="ER52" s="10"/>
      <c r="ES52" s="10"/>
      <c r="ET52" s="10"/>
      <c r="EU52" s="10"/>
      <c r="EV52" s="10"/>
      <c r="EW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</row>
    <row r="53" spans="7:164" x14ac:dyDescent="0.2">
      <c r="G53" t="s">
        <v>5</v>
      </c>
      <c r="H53">
        <v>10</v>
      </c>
      <c r="I53">
        <v>4</v>
      </c>
      <c r="J53" s="8">
        <v>5.8368849217750096</v>
      </c>
      <c r="K53" s="8">
        <v>47.587342037399999</v>
      </c>
      <c r="L53" s="8">
        <v>46.575773040824998</v>
      </c>
      <c r="M53" s="83">
        <v>3.8850000000000003E-2</v>
      </c>
      <c r="N53" s="83">
        <v>0.24585000000000001</v>
      </c>
      <c r="O53" s="8">
        <v>3.8420000000000003E-2</v>
      </c>
      <c r="P53" s="8">
        <v>0.32551000000000002</v>
      </c>
      <c r="Q53">
        <f t="shared" si="68"/>
        <v>4.2999999999999983E-4</v>
      </c>
      <c r="R53">
        <f t="shared" si="69"/>
        <v>-7.9660000000000009E-2</v>
      </c>
      <c r="S53" s="8">
        <v>1.5296541273874276</v>
      </c>
      <c r="T53" s="8">
        <v>1.6361160947024618</v>
      </c>
      <c r="U53" s="8">
        <v>1.6650295496578336</v>
      </c>
      <c r="V53">
        <f t="shared" si="70"/>
        <v>-6.6114498020180379E-2</v>
      </c>
      <c r="W53">
        <f t="shared" si="71"/>
        <v>-1.7955694494606177E-2</v>
      </c>
      <c r="X53">
        <f t="shared" si="72"/>
        <v>-8.4070192514786563E-2</v>
      </c>
      <c r="Y53" s="8">
        <f t="shared" si="102"/>
        <v>1.6102665905825742</v>
      </c>
      <c r="AA53" s="83">
        <v>0.19468168572069044</v>
      </c>
      <c r="AB53" s="83"/>
      <c r="AC53" s="83">
        <f t="shared" si="73"/>
        <v>0.31348941431432442</v>
      </c>
      <c r="AD53" s="83" t="str">
        <f t="shared" si="74"/>
        <v/>
      </c>
      <c r="AE53" s="83" t="str">
        <f t="shared" si="32"/>
        <v/>
      </c>
      <c r="AF53" s="8">
        <v>1.8958145976033649</v>
      </c>
      <c r="AG53" s="8"/>
      <c r="AH53" s="8" t="str">
        <f t="shared" si="33"/>
        <v/>
      </c>
      <c r="AI53" s="8" t="str">
        <f t="shared" si="34"/>
        <v/>
      </c>
      <c r="AJ53">
        <f t="shared" si="75"/>
        <v>0.39235222996883989</v>
      </c>
      <c r="AK53" t="str">
        <f t="shared" si="35"/>
        <v/>
      </c>
      <c r="AL53">
        <f t="shared" si="76"/>
        <v>0.37721540594228292</v>
      </c>
      <c r="AM53" t="str">
        <f t="shared" si="36"/>
        <v/>
      </c>
      <c r="AN53">
        <f t="shared" si="77"/>
        <v>0.27816269696941431</v>
      </c>
      <c r="AO53" t="str">
        <f t="shared" si="37"/>
        <v/>
      </c>
      <c r="AP53">
        <f t="shared" si="38"/>
        <v>9.9052708972868608E-2</v>
      </c>
      <c r="AQ53" t="str">
        <f t="shared" si="39"/>
        <v/>
      </c>
      <c r="AR53">
        <f t="shared" si="40"/>
        <v>1.5136824026556972E-2</v>
      </c>
      <c r="AS53">
        <f t="shared" si="91"/>
        <v>207.11870241298311</v>
      </c>
      <c r="AT53" t="str">
        <f t="shared" si="78"/>
        <v/>
      </c>
      <c r="AU53" s="24">
        <f t="shared" si="92"/>
        <v>0.10828528118083805</v>
      </c>
      <c r="AV53" s="24" t="str">
        <f t="shared" si="79"/>
        <v/>
      </c>
      <c r="AW53" s="24">
        <f t="shared" si="41"/>
        <v>9.2348654322648418</v>
      </c>
      <c r="AX53" s="24">
        <f t="shared" si="93"/>
        <v>8.4620673567450344E-2</v>
      </c>
      <c r="AY53" s="24" t="str">
        <f t="shared" si="80"/>
        <v/>
      </c>
      <c r="AZ53" s="24">
        <f t="shared" si="94"/>
        <v>6.0499147983502505E-4</v>
      </c>
      <c r="BA53" s="24">
        <f t="shared" si="42"/>
        <v>1.6805318884306249E-3</v>
      </c>
      <c r="BB53">
        <f t="shared" si="95"/>
        <v>0.27</v>
      </c>
      <c r="BC53">
        <f t="shared" si="96"/>
        <v>0.42</v>
      </c>
      <c r="BD53">
        <f t="shared" si="43"/>
        <v>0.14999999999999997</v>
      </c>
      <c r="BE53">
        <f t="shared" si="97"/>
        <v>4.0533853272753814E-2</v>
      </c>
      <c r="BF53">
        <f t="shared" si="98"/>
        <v>-8.0111359783315272</v>
      </c>
      <c r="BG53">
        <f t="shared" si="99"/>
        <v>0.27</v>
      </c>
      <c r="BH53">
        <f t="shared" si="100"/>
        <v>0.43</v>
      </c>
      <c r="BI53">
        <f t="shared" si="101"/>
        <v>0.15999999999999998</v>
      </c>
      <c r="BJ53">
        <f t="shared" si="81"/>
        <v>9.1996029672796076E-2</v>
      </c>
      <c r="BK53">
        <f t="shared" si="82"/>
        <v>0.21059934192241964</v>
      </c>
      <c r="BL53">
        <f t="shared" si="83"/>
        <v>0.36235222996883987</v>
      </c>
      <c r="BM53">
        <f t="shared" si="45"/>
        <v>0.15175288804642023</v>
      </c>
      <c r="BN53" t="str">
        <f t="shared" si="84"/>
        <v/>
      </c>
      <c r="BO53" t="str">
        <f t="shared" si="85"/>
        <v/>
      </c>
      <c r="BP53" t="str">
        <f t="shared" si="46"/>
        <v/>
      </c>
      <c r="BQ53">
        <v>73</v>
      </c>
      <c r="BR53" s="10">
        <v>4</v>
      </c>
      <c r="BS53" s="10">
        <f t="shared" si="47"/>
        <v>122</v>
      </c>
      <c r="BT53" s="10">
        <v>4</v>
      </c>
      <c r="BU53" s="10">
        <f t="shared" si="48"/>
        <v>122</v>
      </c>
      <c r="BV53">
        <f t="shared" si="90"/>
        <v>16.051548539144399</v>
      </c>
      <c r="BW53">
        <f t="shared" si="86"/>
        <v>19.334120107483027</v>
      </c>
      <c r="BX53">
        <f t="shared" si="87"/>
        <v>16.051548539144399</v>
      </c>
      <c r="BY53">
        <f t="shared" si="88"/>
        <v>19.334120107483027</v>
      </c>
      <c r="BZ53">
        <f t="shared" si="89"/>
        <v>10.395870894310921</v>
      </c>
      <c r="CA53" s="83">
        <v>0.17830267558528434</v>
      </c>
      <c r="CB53" s="83">
        <v>0.18167456556082123</v>
      </c>
      <c r="CE53" s="83">
        <v>0.29451921201482367</v>
      </c>
      <c r="CF53" s="83">
        <v>4.0995113921404682</v>
      </c>
      <c r="CG53" s="83">
        <v>0.89044102159031047</v>
      </c>
      <c r="CH53" s="83"/>
      <c r="CI53" s="8" t="str">
        <f t="shared" si="50"/>
        <v/>
      </c>
      <c r="CJ53" s="8" t="str">
        <f t="shared" si="51"/>
        <v/>
      </c>
      <c r="CK53" s="8" t="str">
        <f t="shared" si="52"/>
        <v/>
      </c>
      <c r="CL53" s="8">
        <f t="shared" si="53"/>
        <v>0.11284464645400244</v>
      </c>
      <c r="CM53" s="8" t="str">
        <f t="shared" si="54"/>
        <v/>
      </c>
      <c r="CN53" s="8" t="str">
        <f t="shared" si="55"/>
        <v/>
      </c>
      <c r="DE53">
        <v>4</v>
      </c>
      <c r="DF53">
        <v>12</v>
      </c>
      <c r="DG53" s="10">
        <v>0.10390170182028713</v>
      </c>
      <c r="DJ53" s="83">
        <v>0.14589843749999998</v>
      </c>
      <c r="DK53" s="83">
        <v>0.14282899921197792</v>
      </c>
      <c r="DL53" s="83" t="str">
        <f t="shared" si="56"/>
        <v/>
      </c>
      <c r="DM53" s="83" t="str">
        <f t="shared" si="57"/>
        <v/>
      </c>
      <c r="DN53" s="83">
        <v>0.24975288303130141</v>
      </c>
      <c r="DO53" s="83" t="str">
        <f t="shared" si="58"/>
        <v/>
      </c>
      <c r="DP53" s="83">
        <v>0.9491858723958333</v>
      </c>
      <c r="DQ53" s="83">
        <v>1.4904394864722881</v>
      </c>
      <c r="DR53" s="83">
        <v>1.0982203459637561</v>
      </c>
      <c r="DS53" s="8">
        <f t="shared" si="59"/>
        <v>0.14903447356792277</v>
      </c>
      <c r="DT53" s="8">
        <f t="shared" si="60"/>
        <v>-0.39221914050853202</v>
      </c>
      <c r="DU53" s="8" t="str">
        <f t="shared" si="61"/>
        <v/>
      </c>
      <c r="DV53" s="8" t="str">
        <f t="shared" si="62"/>
        <v/>
      </c>
      <c r="DW53" s="8">
        <f t="shared" si="63"/>
        <v>0.1069238838193235</v>
      </c>
      <c r="DX53" s="8">
        <f t="shared" si="64"/>
        <v>0.10385444553130144</v>
      </c>
      <c r="EN53" s="50"/>
      <c r="EP53" s="10"/>
      <c r="EQ53" s="10"/>
      <c r="ER53" s="10"/>
      <c r="ES53" s="10"/>
      <c r="ET53" s="10"/>
      <c r="EU53" s="10"/>
      <c r="EV53" s="10"/>
      <c r="EW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</row>
    <row r="54" spans="7:164" x14ac:dyDescent="0.2">
      <c r="G54" t="s">
        <v>5</v>
      </c>
      <c r="H54">
        <v>10</v>
      </c>
      <c r="I54">
        <v>5</v>
      </c>
      <c r="J54" s="8">
        <v>8.4431291376567703</v>
      </c>
      <c r="K54" s="8">
        <v>51.148707597037301</v>
      </c>
      <c r="L54" s="8">
        <v>40.408163265305902</v>
      </c>
      <c r="M54" s="83">
        <v>4.0849999999999997E-2</v>
      </c>
      <c r="N54" s="83">
        <v>0.23558999999999999</v>
      </c>
      <c r="O54" s="8">
        <v>2.8969999999999999E-2</v>
      </c>
      <c r="P54" s="8">
        <v>0.24317</v>
      </c>
      <c r="Q54">
        <f t="shared" si="68"/>
        <v>1.1879999999999998E-2</v>
      </c>
      <c r="R54">
        <f t="shared" si="69"/>
        <v>-7.5800000000000034E-3</v>
      </c>
      <c r="S54" s="8">
        <v>1.6477701883408238</v>
      </c>
      <c r="T54" s="8">
        <v>1.6286780655889941</v>
      </c>
      <c r="U54" s="8">
        <v>1.6175107428197357</v>
      </c>
      <c r="V54">
        <f t="shared" si="70"/>
        <v>1.1703483476982673E-2</v>
      </c>
      <c r="W54">
        <f t="shared" si="71"/>
        <v>6.8455760111652457E-3</v>
      </c>
      <c r="X54">
        <f t="shared" si="72"/>
        <v>1.8549059488147918E-2</v>
      </c>
      <c r="Y54" s="8">
        <f t="shared" si="102"/>
        <v>1.6313196655831845</v>
      </c>
      <c r="AA54" s="83">
        <v>0.20420097863706868</v>
      </c>
      <c r="AB54" s="83"/>
      <c r="AC54" s="83">
        <f t="shared" si="73"/>
        <v>0.33311707218198189</v>
      </c>
      <c r="AD54" s="83" t="str">
        <f t="shared" si="74"/>
        <v/>
      </c>
      <c r="AE54" s="83" t="str">
        <f t="shared" si="32"/>
        <v/>
      </c>
      <c r="AF54" s="8">
        <v>5.7715889446374273</v>
      </c>
      <c r="AG54" s="8"/>
      <c r="AH54" s="8" t="str">
        <f t="shared" si="33"/>
        <v/>
      </c>
      <c r="AI54" s="8" t="str">
        <f t="shared" si="34"/>
        <v/>
      </c>
      <c r="AJ54">
        <f t="shared" si="75"/>
        <v>0.38440767336483606</v>
      </c>
      <c r="AK54" t="str">
        <f t="shared" si="35"/>
        <v/>
      </c>
      <c r="AL54">
        <f t="shared" si="76"/>
        <v>0.35990540013706751</v>
      </c>
      <c r="AM54" t="str">
        <f t="shared" si="36"/>
        <v/>
      </c>
      <c r="AN54">
        <f t="shared" si="77"/>
        <v>0.24601224422042811</v>
      </c>
      <c r="AO54" t="str">
        <f t="shared" si="37"/>
        <v/>
      </c>
      <c r="AP54">
        <f t="shared" si="38"/>
        <v>0.1138931559166394</v>
      </c>
      <c r="AQ54" t="str">
        <f t="shared" si="39"/>
        <v/>
      </c>
      <c r="AR54">
        <f t="shared" si="40"/>
        <v>2.4502273227768545E-2</v>
      </c>
      <c r="AS54">
        <f t="shared" si="91"/>
        <v>179.84619183702742</v>
      </c>
      <c r="AT54" t="str">
        <f t="shared" si="78"/>
        <v/>
      </c>
      <c r="AU54" s="24">
        <f t="shared" si="92"/>
        <v>0.14197710700447833</v>
      </c>
      <c r="AV54" s="24" t="str">
        <f t="shared" si="79"/>
        <v/>
      </c>
      <c r="AW54" s="24">
        <f t="shared" si="41"/>
        <v>7.0433890441820131</v>
      </c>
      <c r="AX54" s="24">
        <f t="shared" si="93"/>
        <v>8.7661485570639047E-2</v>
      </c>
      <c r="AY54" s="24" t="str">
        <f t="shared" si="80"/>
        <v/>
      </c>
      <c r="AZ54" s="24">
        <f t="shared" si="94"/>
        <v>1.5228288176899051E-3</v>
      </c>
      <c r="BA54" s="24">
        <f t="shared" si="42"/>
        <v>4.2300800491386252E-3</v>
      </c>
      <c r="BB54">
        <f t="shared" si="95"/>
        <v>0.23</v>
      </c>
      <c r="BC54">
        <f t="shared" si="96"/>
        <v>0.4</v>
      </c>
      <c r="BD54">
        <f t="shared" si="43"/>
        <v>0.17</v>
      </c>
      <c r="BE54">
        <f t="shared" si="97"/>
        <v>5.8528995928514654E-2</v>
      </c>
      <c r="BF54">
        <f t="shared" si="98"/>
        <v>-6.8652181322813277</v>
      </c>
      <c r="BG54">
        <f t="shared" si="99"/>
        <v>0.23</v>
      </c>
      <c r="BH54">
        <f t="shared" si="100"/>
        <v>0.4</v>
      </c>
      <c r="BI54">
        <f t="shared" si="101"/>
        <v>0.17</v>
      </c>
      <c r="BJ54">
        <f t="shared" si="81"/>
        <v>8.378533042255798E-2</v>
      </c>
      <c r="BK54">
        <f t="shared" si="82"/>
        <v>0.21560155254256469</v>
      </c>
      <c r="BL54">
        <f t="shared" si="83"/>
        <v>0.35440767336483603</v>
      </c>
      <c r="BM54">
        <f t="shared" si="45"/>
        <v>0.13880612082227134</v>
      </c>
      <c r="BN54" t="str">
        <f t="shared" si="84"/>
        <v/>
      </c>
      <c r="BO54" t="str">
        <f t="shared" si="85"/>
        <v/>
      </c>
      <c r="BP54" t="str">
        <f t="shared" si="46"/>
        <v/>
      </c>
      <c r="BQ54">
        <v>73</v>
      </c>
      <c r="BR54" s="10">
        <v>4</v>
      </c>
      <c r="BS54" s="10">
        <f t="shared" si="47"/>
        <v>122</v>
      </c>
      <c r="BT54" s="10">
        <v>4</v>
      </c>
      <c r="BU54" s="10">
        <f t="shared" si="48"/>
        <v>122</v>
      </c>
      <c r="BV54">
        <f t="shared" si="90"/>
        <v>16.051548539144399</v>
      </c>
      <c r="BW54">
        <f t="shared" si="86"/>
        <v>19.334120107483027</v>
      </c>
      <c r="BX54">
        <f t="shared" si="87"/>
        <v>16.051548539144399</v>
      </c>
      <c r="BY54">
        <f t="shared" si="88"/>
        <v>19.334120107483027</v>
      </c>
      <c r="BZ54">
        <f t="shared" si="89"/>
        <v>10.395870894310921</v>
      </c>
      <c r="CA54" s="83">
        <v>0.33850000000000002</v>
      </c>
      <c r="CB54" s="83">
        <v>0.21289584128195338</v>
      </c>
      <c r="CE54" s="83"/>
      <c r="CF54" s="83">
        <v>6.9624308333333333</v>
      </c>
      <c r="CG54" s="83">
        <v>2.1629975836194837</v>
      </c>
      <c r="CH54" s="83"/>
      <c r="CI54" s="8" t="str">
        <f t="shared" si="50"/>
        <v/>
      </c>
      <c r="CJ54" s="8" t="str">
        <f t="shared" si="51"/>
        <v/>
      </c>
      <c r="CK54" s="8" t="str">
        <f t="shared" si="52"/>
        <v/>
      </c>
      <c r="CL54" s="8" t="str">
        <f t="shared" si="53"/>
        <v/>
      </c>
      <c r="CM54" s="8" t="str">
        <f t="shared" si="54"/>
        <v/>
      </c>
      <c r="CN54" s="8" t="str">
        <f t="shared" si="55"/>
        <v/>
      </c>
      <c r="DE54">
        <v>5</v>
      </c>
      <c r="DF54">
        <v>1</v>
      </c>
      <c r="DG54" s="10">
        <v>0.11042614027550551</v>
      </c>
      <c r="DJ54" s="83">
        <v>0.17830267558528434</v>
      </c>
      <c r="DK54" s="83">
        <v>0.18167456556082123</v>
      </c>
      <c r="DL54" s="83" t="str">
        <f t="shared" si="56"/>
        <v/>
      </c>
      <c r="DM54" s="83" t="str">
        <f t="shared" si="57"/>
        <v/>
      </c>
      <c r="DN54" s="83">
        <v>0.29451921201482367</v>
      </c>
      <c r="DO54" s="83" t="str">
        <f t="shared" si="58"/>
        <v/>
      </c>
      <c r="DP54" s="83">
        <v>4.0995113921404682</v>
      </c>
      <c r="DQ54" s="83">
        <v>0.89044102159031047</v>
      </c>
      <c r="DR54" s="83"/>
      <c r="DS54" s="8" t="str">
        <f t="shared" si="59"/>
        <v/>
      </c>
      <c r="DT54" s="8" t="str">
        <f t="shared" si="60"/>
        <v/>
      </c>
      <c r="DU54" s="8" t="str">
        <f t="shared" si="61"/>
        <v/>
      </c>
      <c r="DV54" s="8" t="str">
        <f t="shared" si="62"/>
        <v/>
      </c>
      <c r="DW54" s="8">
        <f t="shared" si="63"/>
        <v>0.11284464645400244</v>
      </c>
      <c r="DX54" s="8">
        <f t="shared" si="64"/>
        <v>0.11621653642953933</v>
      </c>
      <c r="EN54" s="50"/>
      <c r="EP54" s="10"/>
      <c r="EQ54" s="10"/>
      <c r="ER54" s="10"/>
      <c r="ES54" s="10"/>
      <c r="ET54" s="10"/>
      <c r="EU54" s="10"/>
      <c r="EV54" s="10"/>
      <c r="EW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</row>
    <row r="55" spans="7:164" x14ac:dyDescent="0.2">
      <c r="G55" t="s">
        <v>5</v>
      </c>
      <c r="H55">
        <v>11</v>
      </c>
      <c r="I55">
        <v>1</v>
      </c>
      <c r="J55" s="8">
        <v>7.7620460865632763</v>
      </c>
      <c r="K55" s="8">
        <v>58.52566866595037</v>
      </c>
      <c r="L55" s="8">
        <v>33.712285247486335</v>
      </c>
      <c r="M55" s="83">
        <v>0.13455</v>
      </c>
      <c r="N55" s="83">
        <v>1.4826999999999999</v>
      </c>
      <c r="O55" s="8">
        <v>0.14864666666666668</v>
      </c>
      <c r="P55" s="8">
        <v>1.8048333333333335</v>
      </c>
      <c r="Q55">
        <f t="shared" si="68"/>
        <v>-1.4096666666666674E-2</v>
      </c>
      <c r="R55">
        <f t="shared" si="69"/>
        <v>-0.3221333333333336</v>
      </c>
      <c r="S55" s="8">
        <v>1.4583745128310848</v>
      </c>
      <c r="T55" s="8">
        <v>1.2421713208344407</v>
      </c>
      <c r="U55" s="8">
        <v>1.2670392698602519</v>
      </c>
      <c r="V55">
        <f t="shared" si="70"/>
        <v>0.16347716786554828</v>
      </c>
      <c r="W55">
        <f t="shared" si="71"/>
        <v>-1.8803338839824088E-2</v>
      </c>
      <c r="X55">
        <f t="shared" si="72"/>
        <v>0.14467382902572418</v>
      </c>
      <c r="Y55" s="8">
        <f>AVERAGE(S55:T55)</f>
        <v>1.3502729168327627</v>
      </c>
      <c r="Z55" s="8">
        <v>0.9843475340279646</v>
      </c>
      <c r="AA55" s="83">
        <v>0.13571674114816096</v>
      </c>
      <c r="AB55" s="83">
        <v>0.27796506282562067</v>
      </c>
      <c r="AC55" s="83">
        <f t="shared" si="73"/>
        <v>0.18325463993316432</v>
      </c>
      <c r="AD55" s="83">
        <f t="shared" si="74"/>
        <v>0.37532869615915299</v>
      </c>
      <c r="AE55" s="83">
        <f t="shared" si="32"/>
        <v>0.19207405622598867</v>
      </c>
      <c r="AF55" s="8">
        <v>4.3662490670360681</v>
      </c>
      <c r="AG55" s="8">
        <v>44.004944206007643</v>
      </c>
      <c r="AH55" s="8">
        <f t="shared" si="33"/>
        <v>39.638695138971578</v>
      </c>
      <c r="AI55" s="8">
        <f t="shared" si="34"/>
        <v>0.14224832167745971</v>
      </c>
      <c r="AJ55">
        <f t="shared" si="75"/>
        <v>0.4904630502517876</v>
      </c>
      <c r="AK55">
        <f t="shared" si="35"/>
        <v>0.62854810036680586</v>
      </c>
      <c r="AL55">
        <f t="shared" si="76"/>
        <v>0.36745628068062608</v>
      </c>
      <c r="AM55">
        <f t="shared" si="36"/>
        <v>0.37979701906388147</v>
      </c>
      <c r="AN55">
        <f t="shared" si="77"/>
        <v>0.2039892845446345</v>
      </c>
      <c r="AO55">
        <f t="shared" si="37"/>
        <v>0.19878537403509156</v>
      </c>
      <c r="AP55">
        <f t="shared" si="38"/>
        <v>0.16346699613599158</v>
      </c>
      <c r="AQ55">
        <f t="shared" si="39"/>
        <v>0.18101164502878991</v>
      </c>
      <c r="AR55">
        <f t="shared" si="40"/>
        <v>0.12300676957116152</v>
      </c>
      <c r="AS55">
        <f t="shared" si="91"/>
        <v>71.253143562991056</v>
      </c>
      <c r="AT55">
        <f t="shared" si="78"/>
        <v>33.737045357249912</v>
      </c>
      <c r="AU55" s="24">
        <f t="shared" si="92"/>
        <v>0.24618022339527668</v>
      </c>
      <c r="AV55" s="24">
        <f t="shared" si="79"/>
        <v>0.28334781002562315</v>
      </c>
      <c r="AW55" s="24">
        <f t="shared" si="41"/>
        <v>4.0620647191239261</v>
      </c>
      <c r="AX55" s="24">
        <f t="shared" si="93"/>
        <v>9.9132549962836852E-2</v>
      </c>
      <c r="AY55" s="24">
        <f t="shared" si="80"/>
        <v>0.1059100096673713</v>
      </c>
      <c r="AZ55" s="24">
        <f t="shared" si="94"/>
        <v>5.8107036244967054E-2</v>
      </c>
      <c r="BA55" s="24">
        <f t="shared" si="42"/>
        <v>0.1614084340137974</v>
      </c>
      <c r="BB55">
        <f t="shared" si="95"/>
        <v>0.24</v>
      </c>
      <c r="BC55">
        <f t="shared" si="96"/>
        <v>0.43</v>
      </c>
      <c r="BD55">
        <f t="shared" si="43"/>
        <v>0.19</v>
      </c>
      <c r="BE55">
        <f t="shared" si="97"/>
        <v>9.8500426631872709E-2</v>
      </c>
      <c r="BF55">
        <f t="shared" si="98"/>
        <v>-5.7338353948062295</v>
      </c>
      <c r="BG55">
        <f t="shared" si="99"/>
        <v>0.19</v>
      </c>
      <c r="BH55">
        <f t="shared" si="100"/>
        <v>0.36</v>
      </c>
      <c r="BI55">
        <f t="shared" si="101"/>
        <v>0.16999999999999998</v>
      </c>
      <c r="BJ55">
        <f t="shared" si="81"/>
        <v>0.19339356243522243</v>
      </c>
      <c r="BK55">
        <f t="shared" si="82"/>
        <v>0.14882484503946447</v>
      </c>
      <c r="BL55">
        <f t="shared" si="83"/>
        <v>0.31854240565385089</v>
      </c>
      <c r="BM55">
        <f t="shared" si="45"/>
        <v>0.16971756061438642</v>
      </c>
      <c r="BN55">
        <f t="shared" si="84"/>
        <v>6.1880974085044421E-2</v>
      </c>
      <c r="BO55">
        <f t="shared" si="85"/>
        <v>0.25498116666065745</v>
      </c>
      <c r="BP55">
        <f t="shared" si="46"/>
        <v>0.19310019257561303</v>
      </c>
      <c r="BQ55">
        <v>85</v>
      </c>
      <c r="BR55" s="10">
        <v>4</v>
      </c>
      <c r="BS55" s="10">
        <f t="shared" si="47"/>
        <v>122</v>
      </c>
      <c r="BT55" s="10">
        <v>3</v>
      </c>
      <c r="BU55" s="10">
        <f t="shared" si="48"/>
        <v>91</v>
      </c>
      <c r="BV55">
        <f t="shared" si="90"/>
        <v>15.983542460952991</v>
      </c>
      <c r="BW55">
        <f t="shared" si="86"/>
        <v>17.218269050898893</v>
      </c>
      <c r="BX55">
        <f t="shared" si="87"/>
        <v>12.723801056081506</v>
      </c>
      <c r="BY55">
        <f t="shared" si="88"/>
        <v>12.882156830360916</v>
      </c>
      <c r="BZ55">
        <f t="shared" si="89"/>
        <v>11.884869118317891</v>
      </c>
      <c r="CA55" s="83">
        <v>0.10114367405289484</v>
      </c>
      <c r="CB55" s="83">
        <v>9.5806341629730729E-2</v>
      </c>
      <c r="CE55" s="83">
        <v>0.29216262173442559</v>
      </c>
      <c r="CF55" s="83">
        <v>6.8821479628305919</v>
      </c>
      <c r="CG55" s="83">
        <v>8.7664507330378463</v>
      </c>
      <c r="CH55" s="83">
        <v>4.345435216674395</v>
      </c>
      <c r="CI55" s="8">
        <f t="shared" si="50"/>
        <v>-2.5367127461561969</v>
      </c>
      <c r="CJ55" s="8">
        <f t="shared" si="51"/>
        <v>-4.4210155163634512</v>
      </c>
      <c r="CK55" s="8" t="str">
        <f t="shared" si="52"/>
        <v/>
      </c>
      <c r="CL55" s="8">
        <f t="shared" si="53"/>
        <v>0.19635628010469486</v>
      </c>
      <c r="CM55" s="8" t="str">
        <f t="shared" si="54"/>
        <v/>
      </c>
      <c r="CN55" s="8" t="str">
        <f t="shared" si="55"/>
        <v/>
      </c>
      <c r="DE55">
        <v>5</v>
      </c>
      <c r="DF55">
        <v>2</v>
      </c>
      <c r="DG55" s="10">
        <v>0.11018908149749879</v>
      </c>
      <c r="DJ55" s="83">
        <v>0.33850000000000002</v>
      </c>
      <c r="DK55" s="83">
        <v>0.21289584128195338</v>
      </c>
      <c r="DL55" s="83">
        <f t="shared" si="56"/>
        <v>14.895673613733589</v>
      </c>
      <c r="DM55" s="83">
        <f t="shared" si="57"/>
        <v>9.3684696173034165</v>
      </c>
      <c r="DN55" s="83"/>
      <c r="DO55" s="83" t="str">
        <f t="shared" si="58"/>
        <v/>
      </c>
      <c r="DP55" s="83">
        <v>6.9624308333333333</v>
      </c>
      <c r="DQ55" s="83">
        <v>2.1629975836194837</v>
      </c>
      <c r="DR55" s="83"/>
      <c r="DS55" s="8" t="str">
        <f t="shared" si="59"/>
        <v/>
      </c>
      <c r="DT55" s="8" t="str">
        <f t="shared" si="60"/>
        <v/>
      </c>
      <c r="DU55" s="8" t="str">
        <f t="shared" si="61"/>
        <v/>
      </c>
      <c r="DV55" s="8" t="str">
        <f t="shared" si="62"/>
        <v/>
      </c>
      <c r="DW55" s="8" t="str">
        <f t="shared" si="63"/>
        <v/>
      </c>
      <c r="DX55" s="8" t="str">
        <f t="shared" si="64"/>
        <v/>
      </c>
      <c r="EN55" s="50"/>
      <c r="EP55" s="10"/>
      <c r="EQ55" s="10"/>
      <c r="ER55" s="10"/>
      <c r="ES55" s="10"/>
      <c r="ET55" s="10"/>
      <c r="EU55" s="10"/>
      <c r="EV55" s="10"/>
      <c r="EW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</row>
    <row r="56" spans="7:164" x14ac:dyDescent="0.2">
      <c r="G56" t="s">
        <v>5</v>
      </c>
      <c r="H56">
        <v>11</v>
      </c>
      <c r="I56">
        <v>2</v>
      </c>
      <c r="J56" s="8">
        <v>9.5832409287092197</v>
      </c>
      <c r="K56" s="8">
        <v>59.332298401541408</v>
      </c>
      <c r="L56" s="8">
        <v>31.084460669749404</v>
      </c>
      <c r="M56" s="83">
        <v>6.9330000000000003E-2</v>
      </c>
      <c r="N56" s="83">
        <v>0.53976000000000002</v>
      </c>
      <c r="O56" s="8">
        <v>8.3019999999999997E-2</v>
      </c>
      <c r="P56" s="8">
        <v>0.76527000000000001</v>
      </c>
      <c r="Q56">
        <f t="shared" si="68"/>
        <v>-1.3689999999999994E-2</v>
      </c>
      <c r="R56">
        <f t="shared" si="69"/>
        <v>-0.22550999999999999</v>
      </c>
      <c r="S56" s="8">
        <v>1.5837208010263895</v>
      </c>
      <c r="T56" s="8">
        <v>1.5106315277090034</v>
      </c>
      <c r="U56" s="8">
        <v>1.5698953671278597</v>
      </c>
      <c r="V56">
        <f t="shared" si="70"/>
        <v>4.7010329264165769E-2</v>
      </c>
      <c r="W56">
        <f t="shared" si="71"/>
        <v>-3.8117940952032435E-2</v>
      </c>
      <c r="X56">
        <f t="shared" si="72"/>
        <v>8.8923883121333393E-3</v>
      </c>
      <c r="Y56" s="8">
        <f t="shared" ref="Y56:Y64" si="103">AVERAGE(S56:U56)</f>
        <v>1.5547492319544176</v>
      </c>
      <c r="Z56" s="8">
        <v>1.3216491732589477</v>
      </c>
      <c r="AA56" s="83">
        <v>0.11735526401670904</v>
      </c>
      <c r="AB56" s="83">
        <v>0.27425687044307351</v>
      </c>
      <c r="AC56" s="83">
        <f t="shared" si="73"/>
        <v>0.18245800659578629</v>
      </c>
      <c r="AD56" s="83">
        <f t="shared" si="74"/>
        <v>0.42640065867959076</v>
      </c>
      <c r="AE56" s="83">
        <f t="shared" si="32"/>
        <v>0.24394265208380447</v>
      </c>
      <c r="AF56" s="8">
        <v>4.9113469910947227</v>
      </c>
      <c r="AG56" s="8">
        <v>45.77429520778859</v>
      </c>
      <c r="AH56" s="8">
        <f t="shared" si="33"/>
        <v>40.862948216693866</v>
      </c>
      <c r="AI56" s="8">
        <f t="shared" si="34"/>
        <v>0.15690160642636447</v>
      </c>
      <c r="AJ56">
        <f t="shared" si="75"/>
        <v>0.41330217662097446</v>
      </c>
      <c r="AK56">
        <f t="shared" si="35"/>
        <v>0.50126446292115179</v>
      </c>
      <c r="AL56">
        <f t="shared" si="76"/>
        <v>0.34238707057781698</v>
      </c>
      <c r="AM56">
        <f t="shared" si="36"/>
        <v>0.35572565863826394</v>
      </c>
      <c r="AN56">
        <f t="shared" si="77"/>
        <v>0.19605856664355525</v>
      </c>
      <c r="AO56">
        <f t="shared" si="37"/>
        <v>0.19100198118358314</v>
      </c>
      <c r="AP56">
        <f t="shared" si="38"/>
        <v>0.14632850393426172</v>
      </c>
      <c r="AQ56">
        <f t="shared" si="39"/>
        <v>0.16472367745468081</v>
      </c>
      <c r="AR56">
        <f t="shared" si="40"/>
        <v>7.0915106043157483E-2</v>
      </c>
      <c r="AS56">
        <f t="shared" si="91"/>
        <v>110.54561160622319</v>
      </c>
      <c r="AT56">
        <f t="shared" si="78"/>
        <v>61.180179121564194</v>
      </c>
      <c r="AU56" s="24">
        <f t="shared" si="92"/>
        <v>0.22549240789449176</v>
      </c>
      <c r="AV56" s="24">
        <f t="shared" si="79"/>
        <v>0.26443749378407411</v>
      </c>
      <c r="AW56" s="24">
        <f t="shared" si="41"/>
        <v>4.4347391086794437</v>
      </c>
      <c r="AX56" s="24">
        <f t="shared" si="93"/>
        <v>8.883251392424428E-2</v>
      </c>
      <c r="AY56" s="24">
        <f t="shared" si="80"/>
        <v>9.6530305328686727E-2</v>
      </c>
      <c r="AZ56" s="24">
        <f t="shared" si="94"/>
        <v>1.4136499820698617E-2</v>
      </c>
      <c r="BA56" s="24">
        <f t="shared" si="42"/>
        <v>3.9268055057496157E-2</v>
      </c>
      <c r="BB56">
        <f t="shared" si="95"/>
        <v>0.2</v>
      </c>
      <c r="BC56">
        <f t="shared" si="96"/>
        <v>0.38</v>
      </c>
      <c r="BD56">
        <f t="shared" si="43"/>
        <v>0.18</v>
      </c>
      <c r="BE56">
        <f t="shared" si="97"/>
        <v>0.11298366819930941</v>
      </c>
      <c r="BF56">
        <f t="shared" si="98"/>
        <v>-5.3845205088443597</v>
      </c>
      <c r="BG56">
        <f t="shared" si="99"/>
        <v>0.17</v>
      </c>
      <c r="BH56">
        <f t="shared" si="100"/>
        <v>0.35</v>
      </c>
      <c r="BI56">
        <f t="shared" si="101"/>
        <v>0.17999999999999997</v>
      </c>
      <c r="BJ56">
        <f t="shared" si="81"/>
        <v>0.11364779953777704</v>
      </c>
      <c r="BK56">
        <f t="shared" si="82"/>
        <v>0.19740841751236965</v>
      </c>
      <c r="BL56">
        <f t="shared" si="83"/>
        <v>0.35405994159048237</v>
      </c>
      <c r="BM56">
        <f t="shared" si="45"/>
        <v>0.15665152407811272</v>
      </c>
      <c r="BN56">
        <f t="shared" si="84"/>
        <v>0.14202384356632597</v>
      </c>
      <c r="BO56">
        <f t="shared" si="85"/>
        <v>0.31357046139507921</v>
      </c>
      <c r="BP56">
        <f t="shared" si="46"/>
        <v>0.17154661782875325</v>
      </c>
      <c r="BQ56">
        <v>85</v>
      </c>
      <c r="BR56" s="10">
        <v>4</v>
      </c>
      <c r="BS56" s="10">
        <f t="shared" si="47"/>
        <v>122</v>
      </c>
      <c r="BT56" s="10">
        <v>3</v>
      </c>
      <c r="BU56" s="10">
        <f t="shared" si="48"/>
        <v>91</v>
      </c>
      <c r="BV56">
        <f t="shared" si="90"/>
        <v>15.983542460952991</v>
      </c>
      <c r="BW56">
        <f t="shared" si="86"/>
        <v>17.218269050898893</v>
      </c>
      <c r="BX56">
        <f t="shared" si="87"/>
        <v>12.723801056081506</v>
      </c>
      <c r="BY56">
        <f t="shared" si="88"/>
        <v>12.882156830360916</v>
      </c>
      <c r="BZ56">
        <f t="shared" si="89"/>
        <v>11.884869118317891</v>
      </c>
      <c r="CA56" s="83">
        <v>0.11495872760217422</v>
      </c>
      <c r="CB56" s="83">
        <v>9.741274526827573E-2</v>
      </c>
      <c r="CE56" s="83">
        <v>0.26908615334314223</v>
      </c>
      <c r="CF56" s="83">
        <v>4.5062915240587866</v>
      </c>
      <c r="CG56" s="83">
        <v>1.5363778433755861</v>
      </c>
      <c r="CH56" s="83">
        <v>4.4952089123208561</v>
      </c>
      <c r="CI56" s="8">
        <f t="shared" si="50"/>
        <v>-1.108261173793057E-2</v>
      </c>
      <c r="CJ56" s="8">
        <f t="shared" si="51"/>
        <v>2.9588310689452699</v>
      </c>
      <c r="CK56" s="8" t="str">
        <f t="shared" si="52"/>
        <v/>
      </c>
      <c r="CL56" s="8">
        <f t="shared" si="53"/>
        <v>0.1716734080748665</v>
      </c>
      <c r="CM56" s="8" t="str">
        <f t="shared" si="54"/>
        <v/>
      </c>
      <c r="CN56" s="8" t="str">
        <f t="shared" si="55"/>
        <v/>
      </c>
      <c r="DE56">
        <v>5</v>
      </c>
      <c r="DF56">
        <v>3</v>
      </c>
      <c r="DG56" s="10">
        <v>9.76163221934572E-2</v>
      </c>
      <c r="DJ56" s="83">
        <v>0.10114367405289484</v>
      </c>
      <c r="DK56" s="83">
        <v>9.5806341629730729E-2</v>
      </c>
      <c r="DL56" s="83">
        <f t="shared" si="56"/>
        <v>4.6297803944975557</v>
      </c>
      <c r="DM56" s="83">
        <f t="shared" si="57"/>
        <v>4.3854677645375402</v>
      </c>
      <c r="DN56" s="83">
        <v>0.29216262173442559</v>
      </c>
      <c r="DO56" s="83">
        <f t="shared" si="58"/>
        <v>13.373538095953068</v>
      </c>
      <c r="DP56" s="83">
        <v>6.8821479628305919</v>
      </c>
      <c r="DQ56" s="83">
        <v>8.7664507330378463</v>
      </c>
      <c r="DR56" s="83">
        <v>4.345435216674395</v>
      </c>
      <c r="DS56" s="8">
        <f t="shared" si="59"/>
        <v>-2.5367127461561969</v>
      </c>
      <c r="DT56" s="8">
        <f t="shared" si="60"/>
        <v>-4.4210155163634512</v>
      </c>
      <c r="DU56" s="8">
        <f t="shared" si="61"/>
        <v>8.9880703314155284</v>
      </c>
      <c r="DV56" s="8">
        <f t="shared" si="62"/>
        <v>8.743757701455511</v>
      </c>
      <c r="DW56" s="8">
        <f t="shared" si="63"/>
        <v>0.19635628010469486</v>
      </c>
      <c r="DX56" s="8">
        <f t="shared" si="64"/>
        <v>0.19101894768153074</v>
      </c>
      <c r="EN56" s="50"/>
      <c r="EP56" s="10"/>
      <c r="EQ56" s="10"/>
      <c r="ER56" s="10"/>
      <c r="ES56" s="10"/>
      <c r="ET56" s="10"/>
      <c r="EU56" s="10"/>
      <c r="EV56" s="10"/>
      <c r="EW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</row>
    <row r="57" spans="7:164" x14ac:dyDescent="0.2">
      <c r="G57" t="s">
        <v>5</v>
      </c>
      <c r="H57">
        <v>11</v>
      </c>
      <c r="I57">
        <v>3</v>
      </c>
      <c r="J57" s="8">
        <v>6.2786976368137699</v>
      </c>
      <c r="K57" s="8">
        <v>56.022503326652597</v>
      </c>
      <c r="L57" s="8">
        <v>37.6987990365336</v>
      </c>
      <c r="M57" s="83">
        <v>4.1329999999999999E-2</v>
      </c>
      <c r="N57" s="83">
        <v>0.29791000000000001</v>
      </c>
      <c r="O57" s="8">
        <v>6.0510000000000001E-2</v>
      </c>
      <c r="P57" s="8">
        <v>0.43284</v>
      </c>
      <c r="Q57">
        <f t="shared" si="68"/>
        <v>-1.9180000000000003E-2</v>
      </c>
      <c r="R57">
        <f t="shared" si="69"/>
        <v>-0.13492999999999999</v>
      </c>
      <c r="S57" s="8">
        <v>1.5741954180198643</v>
      </c>
      <c r="T57" s="8">
        <v>1.6320096665594068</v>
      </c>
      <c r="U57" s="8">
        <v>1.8852731783788297</v>
      </c>
      <c r="V57">
        <f t="shared" si="70"/>
        <v>-3.4065302189438984E-2</v>
      </c>
      <c r="W57">
        <f t="shared" si="71"/>
        <v>-0.14922788554081687</v>
      </c>
      <c r="X57">
        <f t="shared" si="72"/>
        <v>-0.18329318773025585</v>
      </c>
      <c r="Y57" s="8">
        <f t="shared" si="103"/>
        <v>1.6971594209860337</v>
      </c>
      <c r="Z57" s="8">
        <v>1.4324681706710825</v>
      </c>
      <c r="AA57" s="83">
        <v>0.15423114537191493</v>
      </c>
      <c r="AB57" s="83">
        <v>0.25193798449612398</v>
      </c>
      <c r="AC57" s="83">
        <f t="shared" si="73"/>
        <v>0.26175484137741195</v>
      </c>
      <c r="AD57" s="83">
        <f t="shared" si="74"/>
        <v>0.42757892389183011</v>
      </c>
      <c r="AE57" s="83">
        <f t="shared" si="32"/>
        <v>0.16582408251441816</v>
      </c>
      <c r="AF57" s="8">
        <v>2.1108996248666703</v>
      </c>
      <c r="AG57" s="8">
        <v>30.327220867304877</v>
      </c>
      <c r="AH57" s="8">
        <f t="shared" si="33"/>
        <v>28.216321242438205</v>
      </c>
      <c r="AI57" s="8">
        <f t="shared" si="34"/>
        <v>9.7706839124209049E-2</v>
      </c>
      <c r="AJ57">
        <f t="shared" si="75"/>
        <v>0.3595624826467797</v>
      </c>
      <c r="AK57">
        <f t="shared" si="35"/>
        <v>0.45944597333166703</v>
      </c>
      <c r="AL57">
        <f t="shared" si="76"/>
        <v>0.34278893764605883</v>
      </c>
      <c r="AM57">
        <f t="shared" si="36"/>
        <v>0.37939717476413842</v>
      </c>
      <c r="AN57">
        <f t="shared" si="77"/>
        <v>0.23311846883450421</v>
      </c>
      <c r="AO57">
        <f t="shared" si="37"/>
        <v>0.22651361942869858</v>
      </c>
      <c r="AP57">
        <f t="shared" si="38"/>
        <v>0.10967046881155462</v>
      </c>
      <c r="AQ57">
        <f t="shared" si="39"/>
        <v>0.15288355533543985</v>
      </c>
      <c r="AR57">
        <f t="shared" si="40"/>
        <v>1.6773545000720869E-2</v>
      </c>
      <c r="AS57">
        <f t="shared" si="91"/>
        <v>213.38460336923353</v>
      </c>
      <c r="AT57">
        <f t="shared" si="78"/>
        <v>97.887548593463393</v>
      </c>
      <c r="AU57" s="24">
        <f t="shared" si="92"/>
        <v>0.14299186350656157</v>
      </c>
      <c r="AV57" s="24">
        <f t="shared" si="79"/>
        <v>0.2069165096285733</v>
      </c>
      <c r="AW57" s="24">
        <f t="shared" si="41"/>
        <v>6.9934049076443587</v>
      </c>
      <c r="AX57" s="24">
        <f t="shared" si="93"/>
        <v>8.2040080011733255E-2</v>
      </c>
      <c r="AY57" s="24">
        <f t="shared" si="80"/>
        <v>9.9409942558689179E-2</v>
      </c>
      <c r="AZ57" s="24">
        <f t="shared" si="94"/>
        <v>9.9987440899368635E-4</v>
      </c>
      <c r="BA57" s="24">
        <f t="shared" si="42"/>
        <v>2.7774289138713512E-3</v>
      </c>
      <c r="BB57">
        <f t="shared" si="95"/>
        <v>0.22</v>
      </c>
      <c r="BC57">
        <f t="shared" si="96"/>
        <v>0.4</v>
      </c>
      <c r="BD57">
        <f t="shared" si="43"/>
        <v>0.18000000000000002</v>
      </c>
      <c r="BE57">
        <f t="shared" si="97"/>
        <v>7.659572464806487E-2</v>
      </c>
      <c r="BF57">
        <f t="shared" si="98"/>
        <v>-6.3468407201567976</v>
      </c>
      <c r="BG57">
        <f t="shared" si="99"/>
        <v>0.21</v>
      </c>
      <c r="BH57">
        <f t="shared" si="100"/>
        <v>0.38</v>
      </c>
      <c r="BI57">
        <f t="shared" si="101"/>
        <v>0.17</v>
      </c>
      <c r="BJ57">
        <f t="shared" si="81"/>
        <v>5.8107825815446823E-2</v>
      </c>
      <c r="BK57">
        <f t="shared" si="82"/>
        <v>0.23124507842628161</v>
      </c>
      <c r="BL57">
        <f t="shared" si="83"/>
        <v>0.32956248264677968</v>
      </c>
      <c r="BM57">
        <f t="shared" si="45"/>
        <v>9.8317404220498061E-2</v>
      </c>
      <c r="BN57">
        <f t="shared" si="84"/>
        <v>0.16835443735144923</v>
      </c>
      <c r="BO57">
        <f t="shared" si="85"/>
        <v>0.33281972124556702</v>
      </c>
      <c r="BP57">
        <f t="shared" si="46"/>
        <v>0.1644652838941178</v>
      </c>
      <c r="BQ57">
        <v>85</v>
      </c>
      <c r="BR57" s="10">
        <v>4</v>
      </c>
      <c r="BS57" s="10">
        <f t="shared" si="47"/>
        <v>122</v>
      </c>
      <c r="BT57" s="10">
        <v>3</v>
      </c>
      <c r="BU57" s="10">
        <f t="shared" si="48"/>
        <v>91</v>
      </c>
      <c r="BV57">
        <f t="shared" si="90"/>
        <v>15.983542460952991</v>
      </c>
      <c r="BW57">
        <f t="shared" si="86"/>
        <v>17.218269050898893</v>
      </c>
      <c r="BX57">
        <f t="shared" si="87"/>
        <v>12.723801056081506</v>
      </c>
      <c r="BY57">
        <f t="shared" si="88"/>
        <v>12.882156830360916</v>
      </c>
      <c r="BZ57">
        <f t="shared" si="89"/>
        <v>11.884869118317891</v>
      </c>
      <c r="CA57" s="83">
        <v>0.1456002982848621</v>
      </c>
      <c r="CB57" s="83">
        <v>0.12304542069992551</v>
      </c>
      <c r="CE57" s="83">
        <v>0.25286195286195279</v>
      </c>
      <c r="CF57" s="83">
        <v>2.105040548098434</v>
      </c>
      <c r="CG57" s="83">
        <v>1.5769429448994785</v>
      </c>
      <c r="CH57" s="83">
        <v>4.8449215768799094</v>
      </c>
      <c r="CI57" s="8">
        <f t="shared" si="50"/>
        <v>2.7398810287814754</v>
      </c>
      <c r="CJ57" s="8">
        <f t="shared" si="51"/>
        <v>3.2679786319804309</v>
      </c>
      <c r="CK57" s="8" t="str">
        <f t="shared" si="52"/>
        <v/>
      </c>
      <c r="CL57" s="8">
        <f t="shared" si="53"/>
        <v>0.12981653216202726</v>
      </c>
      <c r="CM57" s="8" t="str">
        <f t="shared" si="54"/>
        <v/>
      </c>
      <c r="CN57" s="8" t="str">
        <f t="shared" si="55"/>
        <v/>
      </c>
      <c r="DE57">
        <v>5</v>
      </c>
      <c r="DF57">
        <v>4</v>
      </c>
      <c r="DG57" s="10">
        <v>0.1289869846711591</v>
      </c>
      <c r="DJ57" s="83">
        <v>0.11495872760217422</v>
      </c>
      <c r="DK57" s="83">
        <v>9.741274526827573E-2</v>
      </c>
      <c r="DL57" s="83">
        <f t="shared" si="56"/>
        <v>3.4863787226154752</v>
      </c>
      <c r="DM57" s="83">
        <f t="shared" si="57"/>
        <v>2.9542578410415063</v>
      </c>
      <c r="DN57" s="83">
        <v>0.26908615334314223</v>
      </c>
      <c r="DO57" s="83">
        <f t="shared" si="58"/>
        <v>8.1606352047709425</v>
      </c>
      <c r="DP57" s="83">
        <v>4.5062915240587866</v>
      </c>
      <c r="DQ57" s="83">
        <v>1.5363778433755861</v>
      </c>
      <c r="DR57" s="83">
        <v>4.4952089123208561</v>
      </c>
      <c r="DS57" s="8">
        <f t="shared" si="59"/>
        <v>-1.108261173793057E-2</v>
      </c>
      <c r="DT57" s="8">
        <f t="shared" si="60"/>
        <v>2.9588310689452699</v>
      </c>
      <c r="DU57" s="8">
        <f t="shared" si="61"/>
        <v>5.2063773637294357</v>
      </c>
      <c r="DV57" s="8">
        <f t="shared" si="62"/>
        <v>4.6742564821554673</v>
      </c>
      <c r="DW57" s="8">
        <f t="shared" si="63"/>
        <v>0.1716734080748665</v>
      </c>
      <c r="DX57" s="8">
        <f t="shared" si="64"/>
        <v>0.15412742574096799</v>
      </c>
      <c r="EN57" s="50"/>
      <c r="EP57" s="10"/>
      <c r="EQ57" s="10"/>
      <c r="ER57" s="10"/>
      <c r="ES57" s="10"/>
      <c r="ET57" s="10"/>
      <c r="EU57" s="10"/>
      <c r="EV57" s="10"/>
      <c r="EW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</row>
    <row r="58" spans="7:164" x14ac:dyDescent="0.2">
      <c r="G58" t="s">
        <v>5</v>
      </c>
      <c r="H58">
        <v>11</v>
      </c>
      <c r="I58">
        <v>4</v>
      </c>
      <c r="J58" s="8">
        <v>6.6191174734853888</v>
      </c>
      <c r="K58" s="8">
        <v>49.842345760197901</v>
      </c>
      <c r="L58" s="8">
        <v>43.538536766316703</v>
      </c>
      <c r="M58" s="83">
        <v>5.2760000000000001E-2</v>
      </c>
      <c r="N58" s="83">
        <v>0.30841000000000002</v>
      </c>
      <c r="O58" s="8">
        <v>5.3240000000000003E-2</v>
      </c>
      <c r="P58" s="8">
        <v>0.42642999999999998</v>
      </c>
      <c r="Q58">
        <f t="shared" si="68"/>
        <v>-4.8000000000000126E-4</v>
      </c>
      <c r="R58">
        <f t="shared" si="69"/>
        <v>-0.11801999999999996</v>
      </c>
      <c r="S58" s="8">
        <v>1.5889600596560938</v>
      </c>
      <c r="T58" s="8">
        <v>1.6724544747401147</v>
      </c>
      <c r="U58" s="8">
        <v>1.6274670378495131</v>
      </c>
      <c r="V58">
        <f t="shared" si="70"/>
        <v>-5.1235285934120613E-2</v>
      </c>
      <c r="W58">
        <f t="shared" si="71"/>
        <v>2.7605968497577953E-2</v>
      </c>
      <c r="X58">
        <f t="shared" si="72"/>
        <v>-2.362931743654266E-2</v>
      </c>
      <c r="Y58" s="8">
        <f t="shared" si="103"/>
        <v>1.6296271907485738</v>
      </c>
      <c r="AA58" s="83">
        <v>0.1674450333210892</v>
      </c>
      <c r="AB58" s="83"/>
      <c r="AC58" s="83">
        <f t="shared" si="73"/>
        <v>0.27287297925584791</v>
      </c>
      <c r="AD58" s="83" t="str">
        <f t="shared" si="74"/>
        <v/>
      </c>
      <c r="AE58" s="83" t="str">
        <f t="shared" si="32"/>
        <v/>
      </c>
      <c r="AF58" s="8">
        <v>1.3207507110939334</v>
      </c>
      <c r="AG58" s="8"/>
      <c r="AH58" s="8" t="str">
        <f t="shared" si="33"/>
        <v/>
      </c>
      <c r="AI58" s="8" t="str">
        <f t="shared" si="34"/>
        <v/>
      </c>
      <c r="AJ58">
        <f t="shared" si="75"/>
        <v>0.38504634311374575</v>
      </c>
      <c r="AK58" t="str">
        <f t="shared" si="35"/>
        <v/>
      </c>
      <c r="AL58">
        <f t="shared" si="76"/>
        <v>0.36747367955759047</v>
      </c>
      <c r="AM58" t="str">
        <f t="shared" si="36"/>
        <v/>
      </c>
      <c r="AN58">
        <f t="shared" si="77"/>
        <v>0.26288907594913646</v>
      </c>
      <c r="AO58" t="str">
        <f t="shared" si="37"/>
        <v/>
      </c>
      <c r="AP58">
        <f t="shared" si="38"/>
        <v>0.10458460360845401</v>
      </c>
      <c r="AQ58" t="str">
        <f t="shared" si="39"/>
        <v/>
      </c>
      <c r="AR58">
        <f t="shared" si="40"/>
        <v>1.7572663556155277E-2</v>
      </c>
      <c r="AS58">
        <f t="shared" si="91"/>
        <v>200.57988739099235</v>
      </c>
      <c r="AT58" t="str">
        <f t="shared" si="78"/>
        <v/>
      </c>
      <c r="AU58" s="24">
        <f t="shared" si="92"/>
        <v>0.12140761709611909</v>
      </c>
      <c r="AV58" s="24" t="str">
        <f t="shared" si="79"/>
        <v/>
      </c>
      <c r="AW58" s="24">
        <f t="shared" si="41"/>
        <v>8.2367154872028685</v>
      </c>
      <c r="AX58" s="24">
        <f t="shared" si="93"/>
        <v>8.5456836231256827E-2</v>
      </c>
      <c r="AY58" s="24" t="str">
        <f t="shared" si="80"/>
        <v/>
      </c>
      <c r="AZ58" s="24">
        <f t="shared" si="94"/>
        <v>8.279830024675571E-4</v>
      </c>
      <c r="BA58" s="24">
        <f t="shared" si="42"/>
        <v>2.2999527846321029E-3</v>
      </c>
      <c r="BB58">
        <f t="shared" si="95"/>
        <v>0.25</v>
      </c>
      <c r="BC58">
        <f t="shared" si="96"/>
        <v>0.42</v>
      </c>
      <c r="BD58">
        <f t="shared" si="43"/>
        <v>0.16999999999999998</v>
      </c>
      <c r="BE58">
        <f t="shared" si="97"/>
        <v>4.9442052398707054E-2</v>
      </c>
      <c r="BF58">
        <f t="shared" si="98"/>
        <v>-7.4147000355996129</v>
      </c>
      <c r="BG58">
        <f t="shared" si="99"/>
        <v>0.25</v>
      </c>
      <c r="BH58">
        <f t="shared" si="100"/>
        <v>0.42</v>
      </c>
      <c r="BI58">
        <f t="shared" si="101"/>
        <v>0.16999999999999998</v>
      </c>
      <c r="BJ58">
        <f t="shared" si="81"/>
        <v>8.4445395608056195E-2</v>
      </c>
      <c r="BK58">
        <f t="shared" si="82"/>
        <v>0.21519942052186114</v>
      </c>
      <c r="BL58">
        <f t="shared" si="83"/>
        <v>0.35504634311374572</v>
      </c>
      <c r="BM58">
        <f t="shared" si="45"/>
        <v>0.13984692259188458</v>
      </c>
      <c r="BN58" t="str">
        <f t="shared" si="84"/>
        <v/>
      </c>
      <c r="BO58" t="str">
        <f t="shared" si="85"/>
        <v/>
      </c>
      <c r="BP58" t="str">
        <f t="shared" si="46"/>
        <v/>
      </c>
      <c r="BQ58">
        <v>85</v>
      </c>
      <c r="BR58" s="10">
        <v>4</v>
      </c>
      <c r="BS58" s="10">
        <f t="shared" si="47"/>
        <v>122</v>
      </c>
      <c r="BT58" s="10">
        <v>3</v>
      </c>
      <c r="BU58" s="10">
        <f t="shared" si="48"/>
        <v>91</v>
      </c>
      <c r="BV58">
        <f t="shared" si="90"/>
        <v>15.983542460952991</v>
      </c>
      <c r="BW58">
        <f t="shared" si="86"/>
        <v>17.218269050898893</v>
      </c>
      <c r="BX58">
        <f t="shared" si="87"/>
        <v>12.723801056081506</v>
      </c>
      <c r="BY58">
        <f t="shared" si="88"/>
        <v>12.882156830360916</v>
      </c>
      <c r="BZ58">
        <f t="shared" si="89"/>
        <v>11.884869118317891</v>
      </c>
      <c r="CA58" s="83">
        <v>0.15528655191980345</v>
      </c>
      <c r="CB58" s="83">
        <v>0.15408052230685526</v>
      </c>
      <c r="CE58" s="83"/>
      <c r="CF58" s="83">
        <v>0.7653773406468698</v>
      </c>
      <c r="CG58" s="83">
        <v>1.0141482589771491</v>
      </c>
      <c r="CH58" s="83"/>
      <c r="CI58" s="8" t="str">
        <f t="shared" si="50"/>
        <v/>
      </c>
      <c r="CJ58" s="8" t="str">
        <f t="shared" si="51"/>
        <v/>
      </c>
      <c r="CK58" s="8" t="str">
        <f t="shared" si="52"/>
        <v/>
      </c>
      <c r="CL58" s="8" t="str">
        <f t="shared" si="53"/>
        <v/>
      </c>
      <c r="CM58" s="8" t="str">
        <f t="shared" si="54"/>
        <v/>
      </c>
      <c r="CN58" s="8" t="str">
        <f t="shared" si="55"/>
        <v/>
      </c>
      <c r="DE58">
        <v>5</v>
      </c>
      <c r="DF58">
        <v>5</v>
      </c>
      <c r="DG58" s="10">
        <v>7.8849117880410213E-2</v>
      </c>
      <c r="DJ58" s="83">
        <v>0.1456002982848621</v>
      </c>
      <c r="DK58" s="83">
        <v>0.12304542069992551</v>
      </c>
      <c r="DL58" s="83" t="str">
        <f t="shared" si="56"/>
        <v/>
      </c>
      <c r="DM58" s="83" t="str">
        <f t="shared" si="57"/>
        <v/>
      </c>
      <c r="DN58" s="83">
        <v>0.25286195286195279</v>
      </c>
      <c r="DO58" s="83" t="str">
        <f t="shared" si="58"/>
        <v/>
      </c>
      <c r="DP58" s="83">
        <v>2.105040548098434</v>
      </c>
      <c r="DQ58" s="83">
        <v>1.5769429448994785</v>
      </c>
      <c r="DR58" s="83">
        <v>4.8449215768799094</v>
      </c>
      <c r="DS58" s="8">
        <f t="shared" si="59"/>
        <v>2.7398810287814754</v>
      </c>
      <c r="DT58" s="8">
        <f t="shared" si="60"/>
        <v>3.2679786319804309</v>
      </c>
      <c r="DU58" s="8" t="str">
        <f t="shared" si="61"/>
        <v/>
      </c>
      <c r="DV58" s="8" t="str">
        <f t="shared" si="62"/>
        <v/>
      </c>
      <c r="DW58" s="8">
        <f t="shared" si="63"/>
        <v>0.12981653216202726</v>
      </c>
      <c r="DX58" s="8">
        <f t="shared" si="64"/>
        <v>0.10726165457709069</v>
      </c>
      <c r="EN58" s="50"/>
      <c r="EP58" s="10"/>
      <c r="EQ58" s="10"/>
      <c r="ER58" s="10"/>
      <c r="ES58" s="10"/>
      <c r="ET58" s="10"/>
      <c r="EU58" s="10"/>
      <c r="EV58" s="10"/>
      <c r="EW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</row>
    <row r="59" spans="7:164" x14ac:dyDescent="0.2">
      <c r="G59" t="s">
        <v>5</v>
      </c>
      <c r="H59">
        <v>11</v>
      </c>
      <c r="I59">
        <v>5</v>
      </c>
      <c r="J59" s="8">
        <v>8.2347269553652893</v>
      </c>
      <c r="K59" s="8">
        <v>52.331477017703897</v>
      </c>
      <c r="L59" s="8">
        <v>39.4337960269308</v>
      </c>
      <c r="M59" s="83">
        <v>5.1200000000000002E-2</v>
      </c>
      <c r="N59" s="83">
        <v>0.2863</v>
      </c>
      <c r="O59" s="8">
        <v>4.4400000000000002E-2</v>
      </c>
      <c r="P59" s="8">
        <v>0.33912999999999999</v>
      </c>
      <c r="Q59">
        <f t="shared" si="68"/>
        <v>6.8000000000000005E-3</v>
      </c>
      <c r="R59">
        <f t="shared" si="69"/>
        <v>-5.2829999999999988E-2</v>
      </c>
      <c r="S59" s="8">
        <v>1.6746526212352282</v>
      </c>
      <c r="T59" s="8">
        <v>1.6625873927857762</v>
      </c>
      <c r="U59" s="8">
        <v>1.7440612223591587</v>
      </c>
      <c r="V59">
        <f t="shared" si="70"/>
        <v>7.123310283044991E-3</v>
      </c>
      <c r="W59">
        <f t="shared" si="71"/>
        <v>-4.810214497227281E-2</v>
      </c>
      <c r="X59">
        <f t="shared" si="72"/>
        <v>-4.0978834689227819E-2</v>
      </c>
      <c r="Y59" s="8">
        <f t="shared" si="103"/>
        <v>1.6937670787933878</v>
      </c>
      <c r="AA59" s="83">
        <v>0.16901993355481729</v>
      </c>
      <c r="AB59" s="83"/>
      <c r="AC59" s="83">
        <f t="shared" si="73"/>
        <v>0.28628039911499537</v>
      </c>
      <c r="AD59" s="83" t="str">
        <f t="shared" si="74"/>
        <v/>
      </c>
      <c r="AE59" s="83" t="str">
        <f t="shared" si="32"/>
        <v/>
      </c>
      <c r="AF59" s="8">
        <v>2.8148871476379509</v>
      </c>
      <c r="AG59" s="8"/>
      <c r="AH59" s="8" t="str">
        <f t="shared" si="33"/>
        <v/>
      </c>
      <c r="AI59" s="8" t="str">
        <f t="shared" si="34"/>
        <v/>
      </c>
      <c r="AJ59">
        <f t="shared" si="75"/>
        <v>0.36084261177608001</v>
      </c>
      <c r="AK59" t="str">
        <f t="shared" si="35"/>
        <v/>
      </c>
      <c r="AL59">
        <f t="shared" si="76"/>
        <v>0.34537736290091431</v>
      </c>
      <c r="AM59" t="str">
        <f t="shared" si="36"/>
        <v/>
      </c>
      <c r="AN59">
        <f t="shared" si="77"/>
        <v>0.24083485411177472</v>
      </c>
      <c r="AO59" t="str">
        <f t="shared" si="37"/>
        <v/>
      </c>
      <c r="AP59">
        <f t="shared" si="38"/>
        <v>0.10454250878913959</v>
      </c>
      <c r="AQ59" t="str">
        <f t="shared" si="39"/>
        <v/>
      </c>
      <c r="AR59">
        <f t="shared" si="40"/>
        <v>1.5465248875165705E-2</v>
      </c>
      <c r="AS59">
        <f t="shared" si="91"/>
        <v>214.61037191086075</v>
      </c>
      <c r="AT59" t="str">
        <f t="shared" si="78"/>
        <v/>
      </c>
      <c r="AU59" s="24">
        <f t="shared" si="92"/>
        <v>0.13294409792074932</v>
      </c>
      <c r="AV59" s="24" t="str">
        <f t="shared" si="79"/>
        <v/>
      </c>
      <c r="AW59" s="24">
        <f t="shared" si="41"/>
        <v>7.5219585949285266</v>
      </c>
      <c r="AX59" s="24">
        <f t="shared" si="93"/>
        <v>8.2672618833293909E-2</v>
      </c>
      <c r="AY59" s="24" t="str">
        <f t="shared" si="80"/>
        <v/>
      </c>
      <c r="AZ59" s="24">
        <f t="shared" si="94"/>
        <v>8.0578137835783951E-4</v>
      </c>
      <c r="BA59" s="24">
        <f t="shared" si="42"/>
        <v>2.238281606549554E-3</v>
      </c>
      <c r="BB59">
        <f t="shared" si="95"/>
        <v>0.23</v>
      </c>
      <c r="BC59">
        <f t="shared" si="96"/>
        <v>0.4</v>
      </c>
      <c r="BD59">
        <f t="shared" si="43"/>
        <v>0.17</v>
      </c>
      <c r="BE59">
        <f t="shared" si="97"/>
        <v>6.341719498681532E-2</v>
      </c>
      <c r="BF59">
        <f t="shared" si="98"/>
        <v>-6.6853172364951909</v>
      </c>
      <c r="BG59">
        <f t="shared" si="99"/>
        <v>0.22</v>
      </c>
      <c r="BH59">
        <f t="shared" si="100"/>
        <v>0.39</v>
      </c>
      <c r="BI59">
        <f t="shared" si="101"/>
        <v>0.17</v>
      </c>
      <c r="BJ59">
        <f t="shared" si="81"/>
        <v>5.9430839270578684E-2</v>
      </c>
      <c r="BK59">
        <f t="shared" si="82"/>
        <v>0.23043905792130898</v>
      </c>
      <c r="BL59">
        <f t="shared" si="83"/>
        <v>0.33084261177607999</v>
      </c>
      <c r="BM59">
        <f t="shared" si="45"/>
        <v>0.10040355385477101</v>
      </c>
      <c r="BN59" t="str">
        <f t="shared" si="84"/>
        <v/>
      </c>
      <c r="BO59" t="str">
        <f t="shared" si="85"/>
        <v/>
      </c>
      <c r="BP59" t="str">
        <f t="shared" si="46"/>
        <v/>
      </c>
      <c r="BQ59">
        <v>85</v>
      </c>
      <c r="BR59" s="10">
        <v>4</v>
      </c>
      <c r="BS59" s="10">
        <f t="shared" si="47"/>
        <v>122</v>
      </c>
      <c r="BT59" s="10">
        <v>3</v>
      </c>
      <c r="BU59" s="10">
        <f t="shared" si="48"/>
        <v>91</v>
      </c>
      <c r="BV59">
        <f t="shared" si="90"/>
        <v>15.983542460952991</v>
      </c>
      <c r="BW59">
        <f t="shared" si="86"/>
        <v>17.218269050898893</v>
      </c>
      <c r="BX59">
        <f t="shared" si="87"/>
        <v>12.723801056081506</v>
      </c>
      <c r="BY59">
        <f t="shared" si="88"/>
        <v>12.882156830360916</v>
      </c>
      <c r="BZ59">
        <f t="shared" si="89"/>
        <v>11.884869118317891</v>
      </c>
      <c r="CA59" s="83">
        <v>0.15652010522360013</v>
      </c>
      <c r="CB59" s="83">
        <v>0.17626217891939788</v>
      </c>
      <c r="CE59" s="83"/>
      <c r="CF59" s="83">
        <v>1.0027993079042967</v>
      </c>
      <c r="CG59" s="83">
        <v>1.4144552701505761</v>
      </c>
      <c r="CH59" s="83"/>
      <c r="CI59" s="8" t="str">
        <f t="shared" si="50"/>
        <v/>
      </c>
      <c r="CJ59" s="8" t="str">
        <f t="shared" si="51"/>
        <v/>
      </c>
      <c r="CK59" s="8" t="str">
        <f t="shared" si="52"/>
        <v/>
      </c>
      <c r="CL59" s="8" t="str">
        <f t="shared" si="53"/>
        <v/>
      </c>
      <c r="CM59" s="8" t="str">
        <f t="shared" si="54"/>
        <v/>
      </c>
      <c r="CN59" s="8" t="str">
        <f t="shared" si="55"/>
        <v/>
      </c>
      <c r="DE59">
        <v>5</v>
      </c>
      <c r="DF59">
        <v>6</v>
      </c>
      <c r="DG59" s="10">
        <v>7.6886401791187525E-2</v>
      </c>
      <c r="DJ59" s="83">
        <v>0.15528655191980345</v>
      </c>
      <c r="DK59" s="83">
        <v>0.15408052230685526</v>
      </c>
      <c r="DL59" s="83" t="str">
        <f t="shared" si="56"/>
        <v/>
      </c>
      <c r="DM59" s="83" t="str">
        <f t="shared" si="57"/>
        <v/>
      </c>
      <c r="DN59" s="83"/>
      <c r="DO59" s="83" t="str">
        <f t="shared" si="58"/>
        <v/>
      </c>
      <c r="DP59" s="83">
        <v>0.7653773406468698</v>
      </c>
      <c r="DQ59" s="83">
        <v>1.0141482589771491</v>
      </c>
      <c r="DR59" s="83"/>
      <c r="DS59" s="8" t="str">
        <f t="shared" si="59"/>
        <v/>
      </c>
      <c r="DT59" s="8" t="str">
        <f t="shared" si="60"/>
        <v/>
      </c>
      <c r="DU59" s="8" t="str">
        <f t="shared" si="61"/>
        <v/>
      </c>
      <c r="DV59" s="8" t="str">
        <f t="shared" si="62"/>
        <v/>
      </c>
      <c r="DW59" s="8" t="str">
        <f t="shared" si="63"/>
        <v/>
      </c>
      <c r="DX59" s="8" t="str">
        <f t="shared" si="64"/>
        <v/>
      </c>
      <c r="EN59" s="50"/>
      <c r="EP59" s="10"/>
      <c r="EQ59" s="10"/>
      <c r="ER59" s="10"/>
      <c r="ES59" s="10"/>
      <c r="ET59" s="10"/>
      <c r="EU59" s="10"/>
      <c r="EV59" s="10"/>
      <c r="EW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</row>
    <row r="60" spans="7:164" x14ac:dyDescent="0.2">
      <c r="G60" t="s">
        <v>5</v>
      </c>
      <c r="H60">
        <v>12</v>
      </c>
      <c r="I60">
        <v>1</v>
      </c>
      <c r="J60" s="8">
        <v>9.055450367661626</v>
      </c>
      <c r="K60" s="8">
        <v>57.678511464599239</v>
      </c>
      <c r="L60" s="8">
        <v>33.266038167739133</v>
      </c>
      <c r="M60" s="83">
        <v>0.13633999999999999</v>
      </c>
      <c r="N60" s="83">
        <v>1.8011999999999999</v>
      </c>
      <c r="O60" s="8">
        <v>0.13940333333333332</v>
      </c>
      <c r="P60" s="8">
        <v>1.6613</v>
      </c>
      <c r="Q60">
        <f t="shared" si="68"/>
        <v>-3.0633333333333346E-3</v>
      </c>
      <c r="R60">
        <f t="shared" si="69"/>
        <v>0.13989999999999991</v>
      </c>
      <c r="S60" s="8">
        <v>1.3437287657760386</v>
      </c>
      <c r="T60" s="8">
        <v>1.4439415287610997</v>
      </c>
      <c r="U60" s="8">
        <v>1.475403436783304</v>
      </c>
      <c r="V60">
        <f t="shared" si="70"/>
        <v>-7.0521484708654991E-2</v>
      </c>
      <c r="W60">
        <f t="shared" si="71"/>
        <v>-2.2140298295375213E-2</v>
      </c>
      <c r="X60">
        <f t="shared" si="72"/>
        <v>-9.2661783004030204E-2</v>
      </c>
      <c r="Y60" s="8">
        <f t="shared" si="103"/>
        <v>1.421024577106814</v>
      </c>
      <c r="Z60" s="8">
        <v>1.0328124246847674</v>
      </c>
      <c r="AA60" s="83">
        <v>9.1237113402062017E-2</v>
      </c>
      <c r="AB60" s="83">
        <v>0.26253891387063288</v>
      </c>
      <c r="AC60" s="83">
        <f t="shared" si="73"/>
        <v>0.1296501804886116</v>
      </c>
      <c r="AD60" s="83">
        <f t="shared" si="74"/>
        <v>0.37307424905709835</v>
      </c>
      <c r="AE60" s="83">
        <f t="shared" si="32"/>
        <v>0.24342406856848675</v>
      </c>
      <c r="AF60" s="8">
        <v>6.8754009408259238</v>
      </c>
      <c r="AG60" s="8">
        <v>74.029708370081607</v>
      </c>
      <c r="AH60" s="8">
        <f t="shared" si="33"/>
        <v>67.154307429255681</v>
      </c>
      <c r="AI60" s="8">
        <f t="shared" si="34"/>
        <v>0.17130180046857085</v>
      </c>
      <c r="AJ60">
        <f t="shared" si="75"/>
        <v>0.46376431052573053</v>
      </c>
      <c r="AK60">
        <f t="shared" si="35"/>
        <v>0.61025946238310658</v>
      </c>
      <c r="AL60">
        <f t="shared" si="76"/>
        <v>0.36063731465664828</v>
      </c>
      <c r="AM60">
        <f t="shared" si="36"/>
        <v>0.37373129400633487</v>
      </c>
      <c r="AN60">
        <f t="shared" si="77"/>
        <v>0.20358448075163352</v>
      </c>
      <c r="AO60">
        <f t="shared" si="37"/>
        <v>0.19638515960364367</v>
      </c>
      <c r="AP60">
        <f t="shared" si="38"/>
        <v>0.15705283390501476</v>
      </c>
      <c r="AQ60">
        <f t="shared" si="39"/>
        <v>0.1773461344026912</v>
      </c>
      <c r="AR60">
        <f t="shared" si="40"/>
        <v>0.10312699586908225</v>
      </c>
      <c r="AS60">
        <f t="shared" si="91"/>
        <v>81.912971424759903</v>
      </c>
      <c r="AT60">
        <f t="shared" si="78"/>
        <v>35.354937068458419</v>
      </c>
      <c r="AU60" s="24">
        <f t="shared" si="92"/>
        <v>0.23654110320043098</v>
      </c>
      <c r="AV60" s="24">
        <f t="shared" si="79"/>
        <v>0.28269373472684761</v>
      </c>
      <c r="AW60" s="24">
        <f t="shared" si="41"/>
        <v>4.2275950626334016</v>
      </c>
      <c r="AX60" s="24">
        <f t="shared" si="93"/>
        <v>9.6492512182153323E-2</v>
      </c>
      <c r="AY60" s="24">
        <f t="shared" si="80"/>
        <v>0.10504594825300864</v>
      </c>
      <c r="AZ60" s="24">
        <f t="shared" si="94"/>
        <v>3.5712404678553744E-2</v>
      </c>
      <c r="BA60" s="24">
        <f t="shared" si="42"/>
        <v>9.9201124107093724E-2</v>
      </c>
      <c r="BB60">
        <f t="shared" si="95"/>
        <v>0.24</v>
      </c>
      <c r="BC60">
        <f t="shared" si="96"/>
        <v>0.43</v>
      </c>
      <c r="BD60">
        <f t="shared" si="43"/>
        <v>0.19</v>
      </c>
      <c r="BE60">
        <f t="shared" si="97"/>
        <v>9.7660638557675469E-2</v>
      </c>
      <c r="BF60">
        <f t="shared" si="98"/>
        <v>-5.6917554840429938</v>
      </c>
      <c r="BG60">
        <f t="shared" si="99"/>
        <v>0.18</v>
      </c>
      <c r="BH60">
        <f t="shared" si="100"/>
        <v>0.36</v>
      </c>
      <c r="BI60">
        <f t="shared" si="101"/>
        <v>0.18</v>
      </c>
      <c r="BJ60">
        <f t="shared" si="81"/>
        <v>0.16580041492834252</v>
      </c>
      <c r="BK60">
        <f t="shared" si="82"/>
        <v>0.16563543952057902</v>
      </c>
      <c r="BL60">
        <f t="shared" si="83"/>
        <v>0.33083196904345358</v>
      </c>
      <c r="BM60">
        <f t="shared" si="45"/>
        <v>0.16519652952287456</v>
      </c>
      <c r="BN60">
        <f t="shared" si="84"/>
        <v>7.3396232105100767E-2</v>
      </c>
      <c r="BO60">
        <f t="shared" si="85"/>
        <v>0.2633995181677441</v>
      </c>
      <c r="BP60">
        <f t="shared" si="46"/>
        <v>0.19000328606264333</v>
      </c>
      <c r="BQ60">
        <v>43</v>
      </c>
      <c r="BR60" s="10">
        <v>4</v>
      </c>
      <c r="BS60" s="10">
        <f t="shared" si="47"/>
        <v>122</v>
      </c>
      <c r="BT60" s="10">
        <v>4</v>
      </c>
      <c r="BU60" s="10">
        <f t="shared" si="48"/>
        <v>122</v>
      </c>
      <c r="BV60">
        <f t="shared" si="90"/>
        <v>15.756936042209677</v>
      </c>
      <c r="BW60">
        <f t="shared" si="86"/>
        <v>18.908470498405549</v>
      </c>
      <c r="BX60">
        <f t="shared" si="87"/>
        <v>15.756936042209677</v>
      </c>
      <c r="BY60">
        <f t="shared" si="88"/>
        <v>18.908470498405549</v>
      </c>
      <c r="BZ60">
        <f t="shared" si="89"/>
        <v>6.5371488170773731</v>
      </c>
      <c r="CA60" s="83">
        <v>0.10348487528745787</v>
      </c>
      <c r="CB60" s="83">
        <v>0.10857550365484049</v>
      </c>
      <c r="CE60" s="83">
        <v>0.25019669551534224</v>
      </c>
      <c r="CF60" s="83">
        <v>3.9449584291526625</v>
      </c>
      <c r="CG60" s="83">
        <v>4.9978278956439066</v>
      </c>
      <c r="CH60" s="83">
        <v>5.3044803960136377</v>
      </c>
      <c r="CI60" s="8">
        <f t="shared" si="50"/>
        <v>1.3595219668609753</v>
      </c>
      <c r="CJ60" s="8">
        <f t="shared" si="51"/>
        <v>0.30665250036973113</v>
      </c>
      <c r="CK60" s="8" t="str">
        <f t="shared" si="52"/>
        <v/>
      </c>
      <c r="CL60" s="8">
        <f t="shared" si="53"/>
        <v>0.14162119186050176</v>
      </c>
      <c r="CM60" s="8" t="str">
        <f t="shared" si="54"/>
        <v/>
      </c>
      <c r="CN60" s="8" t="str">
        <f t="shared" si="55"/>
        <v/>
      </c>
      <c r="DE60">
        <v>5</v>
      </c>
      <c r="DF60">
        <v>7</v>
      </c>
      <c r="DG60" s="10"/>
      <c r="DJ60" s="83">
        <v>0.15652010522360013</v>
      </c>
      <c r="DK60" s="83">
        <v>0.17626217891939788</v>
      </c>
      <c r="DL60" s="83">
        <f t="shared" si="56"/>
        <v>11.587137743757605</v>
      </c>
      <c r="DM60" s="83">
        <f t="shared" si="57"/>
        <v>13.048637702078171</v>
      </c>
      <c r="DN60" s="83"/>
      <c r="DO60" s="83" t="str">
        <f t="shared" si="58"/>
        <v/>
      </c>
      <c r="DP60" s="83">
        <v>1.0027993079042967</v>
      </c>
      <c r="DQ60" s="83">
        <v>1.4144552701505761</v>
      </c>
      <c r="DR60" s="83"/>
      <c r="DS60" s="8" t="str">
        <f t="shared" si="59"/>
        <v/>
      </c>
      <c r="DT60" s="8" t="str">
        <f t="shared" si="60"/>
        <v/>
      </c>
      <c r="DU60" s="8" t="str">
        <f t="shared" si="61"/>
        <v/>
      </c>
      <c r="DV60" s="8" t="str">
        <f t="shared" si="62"/>
        <v/>
      </c>
      <c r="DW60" s="8" t="str">
        <f t="shared" si="63"/>
        <v/>
      </c>
      <c r="DX60" s="8" t="str">
        <f t="shared" si="64"/>
        <v/>
      </c>
      <c r="EN60" s="50"/>
      <c r="EP60" s="10"/>
      <c r="EQ60" s="10"/>
      <c r="ER60" s="10"/>
      <c r="ES60" s="10"/>
      <c r="ET60" s="10"/>
      <c r="EU60" s="10"/>
      <c r="EV60" s="10"/>
      <c r="EW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</row>
    <row r="61" spans="7:164" x14ac:dyDescent="0.2">
      <c r="G61" t="s">
        <v>5</v>
      </c>
      <c r="H61">
        <v>12</v>
      </c>
      <c r="I61">
        <v>2</v>
      </c>
      <c r="J61" s="8">
        <v>8.4596730401464093</v>
      </c>
      <c r="K61" s="8">
        <v>59.496305090577508</v>
      </c>
      <c r="L61" s="8">
        <v>32.044021869276101</v>
      </c>
      <c r="M61" s="83">
        <v>9.1579999999999995E-2</v>
      </c>
      <c r="N61" s="83">
        <v>0.75255000000000005</v>
      </c>
      <c r="O61" s="8">
        <v>6.2780000000000002E-2</v>
      </c>
      <c r="P61" s="8">
        <v>0.47765000000000002</v>
      </c>
      <c r="Q61">
        <f t="shared" si="68"/>
        <v>2.8799999999999992E-2</v>
      </c>
      <c r="R61">
        <f t="shared" si="69"/>
        <v>0.27490000000000003</v>
      </c>
      <c r="S61" s="8">
        <v>1.3527249796131937</v>
      </c>
      <c r="T61" s="8">
        <v>1.6410097661108711</v>
      </c>
      <c r="U61" s="8">
        <v>1.6333535794626257</v>
      </c>
      <c r="V61">
        <f t="shared" si="70"/>
        <v>-0.18691114124304894</v>
      </c>
      <c r="W61">
        <f t="shared" si="71"/>
        <v>4.9639337593170999E-3</v>
      </c>
      <c r="X61">
        <f t="shared" si="72"/>
        <v>-0.18194720748373183</v>
      </c>
      <c r="Y61" s="8">
        <f t="shared" si="103"/>
        <v>1.5423627750622302</v>
      </c>
      <c r="Z61" s="8">
        <v>1.4141027217980939</v>
      </c>
      <c r="AA61" s="83">
        <v>0.1896551724137932</v>
      </c>
      <c r="AB61" s="83">
        <v>0.27841409691629954</v>
      </c>
      <c r="AC61" s="83">
        <f t="shared" si="73"/>
        <v>0.29251707802904381</v>
      </c>
      <c r="AD61" s="83">
        <f t="shared" si="74"/>
        <v>0.42941553913626845</v>
      </c>
      <c r="AE61" s="83">
        <f t="shared" si="32"/>
        <v>0.13689846110722464</v>
      </c>
      <c r="AF61" s="8">
        <v>5.7733587581720522</v>
      </c>
      <c r="AG61" s="8">
        <v>42.490261275301556</v>
      </c>
      <c r="AH61" s="8">
        <f t="shared" si="33"/>
        <v>36.716902517129505</v>
      </c>
      <c r="AI61" s="8">
        <f t="shared" si="34"/>
        <v>8.8758924502506331E-2</v>
      </c>
      <c r="AJ61">
        <f t="shared" si="75"/>
        <v>0.41797631129727164</v>
      </c>
      <c r="AK61">
        <f t="shared" si="35"/>
        <v>0.46637633139694568</v>
      </c>
      <c r="AL61">
        <f t="shared" si="76"/>
        <v>0.34834024100207323</v>
      </c>
      <c r="AM61">
        <f t="shared" si="36"/>
        <v>0.35734505770689051</v>
      </c>
      <c r="AN61">
        <f t="shared" si="77"/>
        <v>0.201339641554652</v>
      </c>
      <c r="AO61">
        <f t="shared" si="37"/>
        <v>0.19812334490961953</v>
      </c>
      <c r="AP61">
        <f t="shared" si="38"/>
        <v>0.14700059944742122</v>
      </c>
      <c r="AQ61">
        <f t="shared" si="39"/>
        <v>0.15922171279727099</v>
      </c>
      <c r="AR61">
        <f t="shared" si="40"/>
        <v>6.9636070295198416E-2</v>
      </c>
      <c r="AS61">
        <f t="shared" si="91"/>
        <v>111.78957794619072</v>
      </c>
      <c r="AT61">
        <f t="shared" si="78"/>
        <v>79.680616635106063</v>
      </c>
      <c r="AU61" s="24">
        <f t="shared" si="92"/>
        <v>0.22041701071479916</v>
      </c>
      <c r="AV61" s="24">
        <f t="shared" si="79"/>
        <v>0.24450030643536663</v>
      </c>
      <c r="AW61" s="24">
        <f t="shared" si="41"/>
        <v>4.5368549222088621</v>
      </c>
      <c r="AX61" s="24">
        <f t="shared" si="93"/>
        <v>8.9917053739821964E-2</v>
      </c>
      <c r="AY61" s="24">
        <f t="shared" si="80"/>
        <v>9.4906930810836815E-2</v>
      </c>
      <c r="AZ61" s="24">
        <f t="shared" si="94"/>
        <v>1.3459185621500169E-2</v>
      </c>
      <c r="BA61" s="24">
        <f t="shared" si="42"/>
        <v>3.7386626726389358E-2</v>
      </c>
      <c r="BB61">
        <f t="shared" si="95"/>
        <v>0.2</v>
      </c>
      <c r="BC61">
        <f t="shared" si="96"/>
        <v>0.38</v>
      </c>
      <c r="BD61">
        <f t="shared" si="43"/>
        <v>0.18</v>
      </c>
      <c r="BE61">
        <f t="shared" si="97"/>
        <v>0.10913517702491127</v>
      </c>
      <c r="BF61">
        <f t="shared" si="98"/>
        <v>-5.4994362696595651</v>
      </c>
      <c r="BG61">
        <f t="shared" si="99"/>
        <v>0.18</v>
      </c>
      <c r="BH61">
        <f t="shared" si="100"/>
        <v>0.35</v>
      </c>
      <c r="BI61">
        <f t="shared" si="101"/>
        <v>0.16999999999999998</v>
      </c>
      <c r="BJ61">
        <f t="shared" si="81"/>
        <v>0.11847851772573015</v>
      </c>
      <c r="BK61">
        <f t="shared" si="82"/>
        <v>0.19446539535478591</v>
      </c>
      <c r="BL61">
        <f t="shared" si="83"/>
        <v>0.35190841402830941</v>
      </c>
      <c r="BM61">
        <f t="shared" si="45"/>
        <v>0.1574430186735235</v>
      </c>
      <c r="BN61">
        <f t="shared" si="84"/>
        <v>0.16399080669922717</v>
      </c>
      <c r="BO61">
        <f t="shared" si="85"/>
        <v>0.32962964277632889</v>
      </c>
      <c r="BP61">
        <f t="shared" si="46"/>
        <v>0.16563883607710173</v>
      </c>
      <c r="BQ61">
        <v>43</v>
      </c>
      <c r="BR61" s="10">
        <v>4</v>
      </c>
      <c r="BS61" s="10">
        <f t="shared" si="47"/>
        <v>122</v>
      </c>
      <c r="BT61" s="10">
        <v>4</v>
      </c>
      <c r="BU61" s="10">
        <f t="shared" si="48"/>
        <v>122</v>
      </c>
      <c r="BV61">
        <f t="shared" si="90"/>
        <v>15.756936042209677</v>
      </c>
      <c r="BW61">
        <f t="shared" si="86"/>
        <v>18.908470498405549</v>
      </c>
      <c r="BX61">
        <f t="shared" si="87"/>
        <v>15.756936042209677</v>
      </c>
      <c r="BY61">
        <f t="shared" si="88"/>
        <v>18.908470498405549</v>
      </c>
      <c r="BZ61">
        <f t="shared" si="89"/>
        <v>6.5371488170773731</v>
      </c>
      <c r="CA61" s="83">
        <v>0.12682191321829464</v>
      </c>
      <c r="CB61" s="83">
        <v>0.11720698254364087</v>
      </c>
      <c r="CE61" s="83">
        <v>0.22908962845571415</v>
      </c>
      <c r="CF61" s="83">
        <v>1.2629795610655052</v>
      </c>
      <c r="CG61" s="83">
        <v>0.9584704904405652</v>
      </c>
      <c r="CH61" s="83">
        <v>1.9906130774197339</v>
      </c>
      <c r="CI61" s="8">
        <f t="shared" si="50"/>
        <v>0.72763351635422868</v>
      </c>
      <c r="CJ61" s="8">
        <f t="shared" si="51"/>
        <v>1.0321425869791687</v>
      </c>
      <c r="CK61" s="8" t="str">
        <f t="shared" si="52"/>
        <v/>
      </c>
      <c r="CL61" s="8">
        <f t="shared" si="53"/>
        <v>0.11188264591207328</v>
      </c>
      <c r="CM61" s="8" t="str">
        <f t="shared" si="54"/>
        <v/>
      </c>
      <c r="CN61" s="8" t="str">
        <f t="shared" si="55"/>
        <v/>
      </c>
      <c r="DE61">
        <v>5</v>
      </c>
      <c r="DF61">
        <v>8</v>
      </c>
      <c r="DG61" s="10">
        <v>8.9438256596714116E-2</v>
      </c>
      <c r="DJ61" s="83">
        <v>0.10348487528745787</v>
      </c>
      <c r="DK61" s="83">
        <v>0.10857550365484049</v>
      </c>
      <c r="DL61" s="83">
        <f t="shared" si="56"/>
        <v>4.3970993890060823</v>
      </c>
      <c r="DM61" s="83">
        <f t="shared" si="57"/>
        <v>4.6134015183916315</v>
      </c>
      <c r="DN61" s="83">
        <v>0.25019669551534224</v>
      </c>
      <c r="DO61" s="83">
        <f t="shared" si="58"/>
        <v>10.630922962663961</v>
      </c>
      <c r="DP61" s="83">
        <v>3.9449584291526625</v>
      </c>
      <c r="DQ61" s="83">
        <v>4.9978278956439066</v>
      </c>
      <c r="DR61" s="83">
        <v>5.3044803960136377</v>
      </c>
      <c r="DS61" s="8">
        <f t="shared" si="59"/>
        <v>1.3595219668609753</v>
      </c>
      <c r="DT61" s="8">
        <f t="shared" si="60"/>
        <v>0.30665250036973113</v>
      </c>
      <c r="DU61" s="8">
        <f t="shared" si="61"/>
        <v>6.0175214442723295</v>
      </c>
      <c r="DV61" s="8">
        <f t="shared" si="62"/>
        <v>6.2338235736578786</v>
      </c>
      <c r="DW61" s="8">
        <f t="shared" si="63"/>
        <v>0.14162119186050176</v>
      </c>
      <c r="DX61" s="8">
        <f t="shared" si="64"/>
        <v>0.14671182022788437</v>
      </c>
      <c r="EN61" s="50"/>
      <c r="EP61" s="10"/>
      <c r="EQ61" s="10"/>
      <c r="ER61" s="10"/>
      <c r="ES61" s="10"/>
      <c r="ET61" s="10"/>
      <c r="EU61" s="10"/>
      <c r="EV61" s="10"/>
      <c r="EW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</row>
    <row r="62" spans="7:164" x14ac:dyDescent="0.2">
      <c r="G62" t="s">
        <v>5</v>
      </c>
      <c r="H62">
        <v>12</v>
      </c>
      <c r="I62">
        <v>3</v>
      </c>
      <c r="J62" s="8">
        <v>9.6648491199403992</v>
      </c>
      <c r="K62" s="8">
        <v>45.681402411949598</v>
      </c>
      <c r="L62" s="8">
        <v>44.653748468110003</v>
      </c>
      <c r="M62" s="83">
        <v>6.5369999999999998E-2</v>
      </c>
      <c r="N62" s="83">
        <v>0.46438000000000001</v>
      </c>
      <c r="O62" s="8">
        <v>4.0379999999999999E-2</v>
      </c>
      <c r="P62" s="8">
        <v>0.35624</v>
      </c>
      <c r="Q62">
        <f t="shared" si="68"/>
        <v>2.4989999999999998E-2</v>
      </c>
      <c r="R62">
        <f t="shared" si="69"/>
        <v>0.10814000000000001</v>
      </c>
      <c r="S62" s="8">
        <v>1.5558905730702894</v>
      </c>
      <c r="T62" s="8">
        <v>1.5984935691877029</v>
      </c>
      <c r="U62" s="8">
        <v>1.6254035139213994</v>
      </c>
      <c r="V62">
        <f t="shared" si="70"/>
        <v>-2.6739469940051993E-2</v>
      </c>
      <c r="W62">
        <f t="shared" si="71"/>
        <v>-1.6889836956819716E-2</v>
      </c>
      <c r="X62">
        <f t="shared" si="72"/>
        <v>-4.3629306896871708E-2</v>
      </c>
      <c r="Y62" s="8">
        <f t="shared" si="103"/>
        <v>1.5932625520597972</v>
      </c>
      <c r="Z62" s="8">
        <v>1.4792567766263385</v>
      </c>
      <c r="AA62" s="83">
        <v>0.18017823386443432</v>
      </c>
      <c r="AB62" s="83">
        <v>0.25270914607715678</v>
      </c>
      <c r="AC62" s="83">
        <f t="shared" si="73"/>
        <v>0.28707123271247559</v>
      </c>
      <c r="AD62" s="83">
        <f t="shared" si="74"/>
        <v>0.40263201900774287</v>
      </c>
      <c r="AE62" s="83">
        <f t="shared" si="32"/>
        <v>0.11556078629526728</v>
      </c>
      <c r="AF62" s="8">
        <v>10.559448060391793</v>
      </c>
      <c r="AG62" s="8">
        <v>43.106986128374757</v>
      </c>
      <c r="AH62" s="8">
        <f t="shared" si="33"/>
        <v>32.547538067982963</v>
      </c>
      <c r="AI62" s="8">
        <f t="shared" si="34"/>
        <v>7.2530912212722454E-2</v>
      </c>
      <c r="AJ62">
        <f t="shared" si="75"/>
        <v>0.3987688482793218</v>
      </c>
      <c r="AK62">
        <f t="shared" si="35"/>
        <v>0.44178989561270243</v>
      </c>
      <c r="AL62">
        <f t="shared" si="76"/>
        <v>0.3751431500779398</v>
      </c>
      <c r="AM62">
        <f t="shared" si="36"/>
        <v>0.39319030756162388</v>
      </c>
      <c r="AN62">
        <f t="shared" si="77"/>
        <v>0.26647743140772268</v>
      </c>
      <c r="AO62">
        <f t="shared" si="37"/>
        <v>0.26165918945612204</v>
      </c>
      <c r="AP62">
        <f t="shared" si="38"/>
        <v>0.10866571867021713</v>
      </c>
      <c r="AQ62">
        <f t="shared" si="39"/>
        <v>0.13153111810550183</v>
      </c>
      <c r="AR62">
        <f t="shared" si="40"/>
        <v>2.3625698201381995E-2</v>
      </c>
      <c r="AS62">
        <f t="shared" si="91"/>
        <v>175.14406292746952</v>
      </c>
      <c r="AT62">
        <f t="shared" si="78"/>
        <v>123.41329748814478</v>
      </c>
      <c r="AU62" s="24">
        <f t="shared" si="92"/>
        <v>0.12549883800664288</v>
      </c>
      <c r="AV62" s="24">
        <f t="shared" si="79"/>
        <v>0.15585183209820949</v>
      </c>
      <c r="AW62" s="24">
        <f t="shared" si="41"/>
        <v>7.968201266907891</v>
      </c>
      <c r="AX62" s="24">
        <f t="shared" si="93"/>
        <v>8.9626435180425956E-2</v>
      </c>
      <c r="AY62" s="24">
        <f t="shared" si="80"/>
        <v>9.9823325075592578E-2</v>
      </c>
      <c r="AZ62" s="24">
        <f t="shared" si="94"/>
        <v>1.2744914777599056E-3</v>
      </c>
      <c r="BA62" s="24">
        <f t="shared" si="42"/>
        <v>3.5402541048886269E-3</v>
      </c>
      <c r="BB62">
        <f t="shared" si="95"/>
        <v>0.26</v>
      </c>
      <c r="BC62">
        <f t="shared" si="96"/>
        <v>0.42</v>
      </c>
      <c r="BD62">
        <f t="shared" si="43"/>
        <v>0.15999999999999998</v>
      </c>
      <c r="BE62">
        <f t="shared" si="97"/>
        <v>4.0441970130531343E-2</v>
      </c>
      <c r="BF62">
        <f t="shared" si="98"/>
        <v>-7.7119053797188837</v>
      </c>
      <c r="BG62">
        <f t="shared" si="99"/>
        <v>0.26</v>
      </c>
      <c r="BH62">
        <f t="shared" si="100"/>
        <v>0.42</v>
      </c>
      <c r="BI62">
        <f t="shared" si="101"/>
        <v>0.15999999999999998</v>
      </c>
      <c r="BJ62">
        <f t="shared" si="81"/>
        <v>9.8627604696679083E-2</v>
      </c>
      <c r="BK62">
        <f t="shared" si="82"/>
        <v>0.20655918236940785</v>
      </c>
      <c r="BL62">
        <f t="shared" si="83"/>
        <v>0.36074970529278677</v>
      </c>
      <c r="BM62">
        <f t="shared" si="45"/>
        <v>0.15419052292337893</v>
      </c>
      <c r="BN62">
        <f t="shared" si="84"/>
        <v>0.17947141012641804</v>
      </c>
      <c r="BO62">
        <f t="shared" si="85"/>
        <v>0.34094690209999501</v>
      </c>
      <c r="BP62">
        <f t="shared" si="46"/>
        <v>0.16147549197357697</v>
      </c>
      <c r="BQ62">
        <v>43</v>
      </c>
      <c r="BR62" s="10">
        <v>4</v>
      </c>
      <c r="BS62" s="10">
        <f t="shared" si="47"/>
        <v>122</v>
      </c>
      <c r="BT62" s="10">
        <v>4</v>
      </c>
      <c r="BU62" s="10">
        <f t="shared" si="48"/>
        <v>122</v>
      </c>
      <c r="BV62">
        <f t="shared" si="90"/>
        <v>15.756936042209677</v>
      </c>
      <c r="BW62">
        <f t="shared" si="86"/>
        <v>18.908470498405549</v>
      </c>
      <c r="BX62">
        <f t="shared" si="87"/>
        <v>15.756936042209677</v>
      </c>
      <c r="BY62">
        <f t="shared" si="88"/>
        <v>18.908470498405549</v>
      </c>
      <c r="BZ62">
        <f t="shared" si="89"/>
        <v>6.5371488170773731</v>
      </c>
      <c r="CA62" s="83">
        <v>0.17725897103328983</v>
      </c>
      <c r="CB62" s="83">
        <v>0.16799437675726342</v>
      </c>
      <c r="CE62" s="83">
        <v>0.23663139834143548</v>
      </c>
      <c r="CF62" s="83">
        <v>2.0749189364461733</v>
      </c>
      <c r="CG62" s="83">
        <v>1.1105679865666978</v>
      </c>
      <c r="CH62" s="83">
        <v>2.3289891335430366</v>
      </c>
      <c r="CI62" s="8">
        <f t="shared" si="50"/>
        <v>0.25407019709686329</v>
      </c>
      <c r="CJ62" s="8">
        <f t="shared" si="51"/>
        <v>1.2184211469763389</v>
      </c>
      <c r="CK62" s="8" t="str">
        <f t="shared" si="52"/>
        <v/>
      </c>
      <c r="CL62" s="8">
        <f t="shared" si="53"/>
        <v>6.8637021584172064E-2</v>
      </c>
      <c r="CM62" s="8" t="str">
        <f t="shared" si="54"/>
        <v/>
      </c>
      <c r="CN62" s="8" t="str">
        <f t="shared" si="55"/>
        <v/>
      </c>
      <c r="DE62">
        <v>5</v>
      </c>
      <c r="DF62">
        <v>9</v>
      </c>
      <c r="DG62" s="10">
        <v>0.11288127693334254</v>
      </c>
      <c r="DJ62" s="83">
        <v>0.12682191321829464</v>
      </c>
      <c r="DK62" s="83">
        <v>0.11720698254364087</v>
      </c>
      <c r="DL62" s="83">
        <f t="shared" si="56"/>
        <v>5.4669104538749744</v>
      </c>
      <c r="DM62" s="83">
        <f t="shared" si="57"/>
        <v>5.0524397706573891</v>
      </c>
      <c r="DN62" s="83">
        <v>0.22908962845571415</v>
      </c>
      <c r="DO62" s="83">
        <f t="shared" si="58"/>
        <v>9.8753634359949967</v>
      </c>
      <c r="DP62" s="83">
        <v>1.2629795610655052</v>
      </c>
      <c r="DQ62" s="83">
        <v>0.9584704904405652</v>
      </c>
      <c r="DR62" s="83">
        <v>1.9906130774197339</v>
      </c>
      <c r="DS62" s="8">
        <f t="shared" si="59"/>
        <v>0.72763351635422868</v>
      </c>
      <c r="DT62" s="8">
        <f t="shared" si="60"/>
        <v>1.0321425869791687</v>
      </c>
      <c r="DU62" s="8">
        <f t="shared" si="61"/>
        <v>4.8229236653376075</v>
      </c>
      <c r="DV62" s="8">
        <f t="shared" si="62"/>
        <v>4.4084529821200222</v>
      </c>
      <c r="DW62" s="8">
        <f t="shared" si="63"/>
        <v>0.11188264591207328</v>
      </c>
      <c r="DX62" s="8">
        <f t="shared" si="64"/>
        <v>0.10226771523741951</v>
      </c>
      <c r="EN62" s="50"/>
      <c r="EP62" s="10"/>
      <c r="EQ62" s="10"/>
      <c r="ER62" s="10"/>
      <c r="ES62" s="10"/>
      <c r="ET62" s="10"/>
      <c r="EU62" s="10"/>
      <c r="EV62" s="10"/>
      <c r="EW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</row>
    <row r="63" spans="7:164" x14ac:dyDescent="0.2">
      <c r="G63" t="s">
        <v>5</v>
      </c>
      <c r="H63">
        <v>12</v>
      </c>
      <c r="I63">
        <v>4</v>
      </c>
      <c r="J63" s="8">
        <v>6.6669602658654288</v>
      </c>
      <c r="K63" s="8">
        <v>49.223034889747801</v>
      </c>
      <c r="L63" s="8">
        <v>44.1100048443868</v>
      </c>
      <c r="M63" s="83">
        <v>5.9180000000000003E-2</v>
      </c>
      <c r="N63" s="83">
        <v>0.41302</v>
      </c>
      <c r="O63" s="8">
        <v>4.1820000000000003E-2</v>
      </c>
      <c r="P63" s="8">
        <v>0.34137000000000001</v>
      </c>
      <c r="Q63">
        <f t="shared" si="68"/>
        <v>1.736E-2</v>
      </c>
      <c r="R63">
        <f t="shared" si="69"/>
        <v>7.1649999999999991E-2</v>
      </c>
      <c r="S63" s="8">
        <v>1.567616666486831</v>
      </c>
      <c r="T63" s="8">
        <v>1.6442589325255219</v>
      </c>
      <c r="U63" s="8">
        <v>1.6610397312253982</v>
      </c>
      <c r="V63">
        <f t="shared" si="70"/>
        <v>-4.718464872338643E-2</v>
      </c>
      <c r="W63">
        <f t="shared" si="71"/>
        <v>-1.0331063170180826E-2</v>
      </c>
      <c r="X63">
        <f t="shared" si="72"/>
        <v>-5.7515711893567259E-2</v>
      </c>
      <c r="Y63" s="8">
        <f t="shared" si="103"/>
        <v>1.6243051100792503</v>
      </c>
      <c r="AA63" s="83">
        <v>0.21132457027300305</v>
      </c>
      <c r="AB63" s="83"/>
      <c r="AC63" s="83">
        <f t="shared" si="73"/>
        <v>0.34325557937974049</v>
      </c>
      <c r="AD63" s="83" t="str">
        <f t="shared" si="74"/>
        <v/>
      </c>
      <c r="AE63" s="83" t="str">
        <f t="shared" si="32"/>
        <v/>
      </c>
      <c r="AF63" s="8">
        <v>14.872087305149986</v>
      </c>
      <c r="AG63" s="8"/>
      <c r="AH63" s="8" t="str">
        <f t="shared" si="33"/>
        <v/>
      </c>
      <c r="AI63" s="8" t="str">
        <f t="shared" si="34"/>
        <v/>
      </c>
      <c r="AJ63">
        <f t="shared" si="75"/>
        <v>0.38705467544179228</v>
      </c>
      <c r="AK63" t="str">
        <f t="shared" si="35"/>
        <v/>
      </c>
      <c r="AL63">
        <f t="shared" si="76"/>
        <v>0.36959504418334005</v>
      </c>
      <c r="AM63" t="str">
        <f t="shared" si="36"/>
        <v/>
      </c>
      <c r="AN63">
        <f t="shared" si="77"/>
        <v>0.26569334236305292</v>
      </c>
      <c r="AO63" t="str">
        <f t="shared" si="37"/>
        <v/>
      </c>
      <c r="AP63">
        <f t="shared" si="38"/>
        <v>0.10390170182028713</v>
      </c>
      <c r="AQ63" t="str">
        <f t="shared" si="39"/>
        <v/>
      </c>
      <c r="AR63">
        <f t="shared" si="40"/>
        <v>1.7459631258452235E-2</v>
      </c>
      <c r="AS63">
        <f t="shared" si="91"/>
        <v>200.16620840939666</v>
      </c>
      <c r="AT63" t="str">
        <f t="shared" si="78"/>
        <v/>
      </c>
      <c r="AU63" s="24">
        <f t="shared" si="92"/>
        <v>0.11934001496960889</v>
      </c>
      <c r="AV63" s="24" t="str">
        <f t="shared" si="79"/>
        <v/>
      </c>
      <c r="AW63" s="24">
        <f t="shared" si="41"/>
        <v>8.3794190930398322</v>
      </c>
      <c r="AX63" s="24">
        <f t="shared" si="93"/>
        <v>8.5602492213050316E-2</v>
      </c>
      <c r="AY63" s="24" t="str">
        <f t="shared" si="80"/>
        <v/>
      </c>
      <c r="AZ63" s="24">
        <f t="shared" si="94"/>
        <v>8.0428134927419041E-4</v>
      </c>
      <c r="BA63" s="24">
        <f t="shared" si="42"/>
        <v>2.2341148590949737E-3</v>
      </c>
      <c r="BB63">
        <f t="shared" si="95"/>
        <v>0.26</v>
      </c>
      <c r="BC63">
        <f t="shared" si="96"/>
        <v>0.42</v>
      </c>
      <c r="BD63">
        <f t="shared" si="43"/>
        <v>0.15999999999999998</v>
      </c>
      <c r="BE63">
        <f t="shared" si="97"/>
        <v>4.7340059754928401E-2</v>
      </c>
      <c r="BF63">
        <f t="shared" si="98"/>
        <v>-7.5277453188578622</v>
      </c>
      <c r="BG63">
        <f t="shared" si="99"/>
        <v>0.25</v>
      </c>
      <c r="BH63">
        <f t="shared" si="100"/>
        <v>0.42</v>
      </c>
      <c r="BI63">
        <f t="shared" si="101"/>
        <v>0.16999999999999998</v>
      </c>
      <c r="BJ63">
        <f t="shared" si="81"/>
        <v>8.6521007069092382E-2</v>
      </c>
      <c r="BK63">
        <f t="shared" si="82"/>
        <v>0.21393489415482991</v>
      </c>
      <c r="BL63">
        <f t="shared" si="83"/>
        <v>0.35705467544179226</v>
      </c>
      <c r="BM63">
        <f t="shared" si="45"/>
        <v>0.14311978128696234</v>
      </c>
      <c r="BN63" t="str">
        <f t="shared" si="84"/>
        <v/>
      </c>
      <c r="BO63" t="str">
        <f t="shared" si="85"/>
        <v/>
      </c>
      <c r="BP63" t="str">
        <f t="shared" si="46"/>
        <v/>
      </c>
      <c r="BQ63">
        <v>43</v>
      </c>
      <c r="BR63" s="10">
        <v>4</v>
      </c>
      <c r="BS63" s="10">
        <f t="shared" si="47"/>
        <v>122</v>
      </c>
      <c r="BT63" s="10">
        <v>4</v>
      </c>
      <c r="BU63" s="10">
        <f t="shared" si="48"/>
        <v>122</v>
      </c>
      <c r="BV63">
        <f t="shared" si="90"/>
        <v>15.756936042209677</v>
      </c>
      <c r="BW63">
        <f t="shared" si="86"/>
        <v>18.908470498405549</v>
      </c>
      <c r="BX63">
        <f t="shared" si="87"/>
        <v>15.756936042209677</v>
      </c>
      <c r="BY63">
        <f t="shared" si="88"/>
        <v>18.908470498405549</v>
      </c>
      <c r="BZ63">
        <f t="shared" si="89"/>
        <v>6.5371488170773731</v>
      </c>
      <c r="CA63" s="83">
        <v>0.21825576140985117</v>
      </c>
      <c r="CB63" s="83">
        <v>0.2010060362173037</v>
      </c>
      <c r="CE63" s="83">
        <v>0.25434988927554569</v>
      </c>
      <c r="CF63" s="83">
        <v>4.6649043530652223</v>
      </c>
      <c r="CG63" s="83">
        <v>3.8757465627095908</v>
      </c>
      <c r="CH63" s="83">
        <v>2.8008587735948534</v>
      </c>
      <c r="CI63" s="8">
        <f t="shared" si="50"/>
        <v>-1.864045579470369</v>
      </c>
      <c r="CJ63" s="8">
        <f t="shared" si="51"/>
        <v>-1.0748877891147375</v>
      </c>
      <c r="CK63" s="8" t="str">
        <f t="shared" si="52"/>
        <v/>
      </c>
      <c r="CL63" s="8">
        <f t="shared" si="53"/>
        <v>5.3343853058241991E-2</v>
      </c>
      <c r="CM63" s="8" t="str">
        <f t="shared" si="54"/>
        <v/>
      </c>
      <c r="CN63" s="8" t="str">
        <f t="shared" si="55"/>
        <v/>
      </c>
      <c r="DE63">
        <v>5</v>
      </c>
      <c r="DF63">
        <v>10</v>
      </c>
      <c r="DG63" s="10">
        <v>0.1138931559166394</v>
      </c>
      <c r="DJ63" s="83">
        <v>0.17725897103328983</v>
      </c>
      <c r="DK63" s="83">
        <v>0.16799437675726342</v>
      </c>
      <c r="DL63" s="83" t="str">
        <f t="shared" si="56"/>
        <v/>
      </c>
      <c r="DM63" s="83" t="str">
        <f t="shared" si="57"/>
        <v/>
      </c>
      <c r="DN63" s="83">
        <v>0.23663139834143548</v>
      </c>
      <c r="DO63" s="83" t="str">
        <f t="shared" si="58"/>
        <v/>
      </c>
      <c r="DP63" s="83">
        <v>2.0749189364461733</v>
      </c>
      <c r="DQ63" s="83">
        <v>1.1105679865666978</v>
      </c>
      <c r="DR63" s="83">
        <v>2.3289891335430366</v>
      </c>
      <c r="DS63" s="8">
        <f t="shared" si="59"/>
        <v>0.25407019709686329</v>
      </c>
      <c r="DT63" s="8">
        <f t="shared" si="60"/>
        <v>1.2184211469763389</v>
      </c>
      <c r="DU63" s="8" t="str">
        <f t="shared" si="61"/>
        <v/>
      </c>
      <c r="DV63" s="8" t="str">
        <f t="shared" si="62"/>
        <v/>
      </c>
      <c r="DW63" s="8">
        <f t="shared" si="63"/>
        <v>6.8637021584172064E-2</v>
      </c>
      <c r="DX63" s="8">
        <f t="shared" si="64"/>
        <v>5.9372427308145653E-2</v>
      </c>
      <c r="EN63" s="50"/>
      <c r="EP63" s="10"/>
      <c r="EQ63" s="10"/>
      <c r="ER63" s="10"/>
      <c r="ES63" s="10"/>
      <c r="ET63" s="10"/>
      <c r="EU63" s="10"/>
      <c r="EV63" s="10"/>
      <c r="EW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</row>
    <row r="64" spans="7:164" x14ac:dyDescent="0.2">
      <c r="G64" t="s">
        <v>5</v>
      </c>
      <c r="H64">
        <v>12</v>
      </c>
      <c r="I64">
        <v>5</v>
      </c>
      <c r="J64" s="8">
        <v>6.6880989053019491</v>
      </c>
      <c r="K64" s="8">
        <v>48.618792145187498</v>
      </c>
      <c r="L64" s="8">
        <v>44.693108949510503</v>
      </c>
      <c r="M64" s="83">
        <v>5.5930000000000001E-2</v>
      </c>
      <c r="N64" s="83">
        <v>0.33795999999999998</v>
      </c>
      <c r="O64" s="8">
        <v>4.6300000000000001E-2</v>
      </c>
      <c r="P64" s="8">
        <v>0.39301999999999998</v>
      </c>
      <c r="Q64">
        <f t="shared" si="68"/>
        <v>9.6299999999999997E-3</v>
      </c>
      <c r="R64">
        <f t="shared" si="69"/>
        <v>-5.5059999999999998E-2</v>
      </c>
      <c r="S64" s="8">
        <v>1.5512688378245973</v>
      </c>
      <c r="T64" s="8">
        <v>1.6285340808811364</v>
      </c>
      <c r="U64" s="8">
        <v>1.631894881513442</v>
      </c>
      <c r="V64">
        <f t="shared" si="70"/>
        <v>-4.8173376382668637E-2</v>
      </c>
      <c r="W64">
        <f t="shared" si="71"/>
        <v>-2.09539383301618E-3</v>
      </c>
      <c r="X64">
        <f t="shared" si="72"/>
        <v>-5.0268770215684822E-2</v>
      </c>
      <c r="Y64" s="8">
        <f t="shared" si="103"/>
        <v>1.6038992667397254</v>
      </c>
      <c r="AA64" s="83">
        <v>0.22811703290032773</v>
      </c>
      <c r="AB64" s="83"/>
      <c r="AC64" s="83">
        <f t="shared" si="73"/>
        <v>0.36587674179967744</v>
      </c>
      <c r="AD64" s="83" t="str">
        <f t="shared" si="74"/>
        <v/>
      </c>
      <c r="AE64" s="83" t="str">
        <f t="shared" si="32"/>
        <v/>
      </c>
      <c r="AF64" s="8">
        <v>15.358736868612926</v>
      </c>
      <c r="AG64" s="8"/>
      <c r="AH64" s="8" t="str">
        <f t="shared" si="33"/>
        <v/>
      </c>
      <c r="AI64" s="8" t="str">
        <f t="shared" si="34"/>
        <v/>
      </c>
      <c r="AJ64">
        <f t="shared" si="75"/>
        <v>0.3947549936831225</v>
      </c>
      <c r="AK64" t="str">
        <f t="shared" si="35"/>
        <v/>
      </c>
      <c r="AL64">
        <f t="shared" si="76"/>
        <v>0.37497515730229586</v>
      </c>
      <c r="AM64" t="str">
        <f t="shared" si="36"/>
        <v/>
      </c>
      <c r="AN64">
        <f t="shared" si="77"/>
        <v>0.26843651392805373</v>
      </c>
      <c r="AO64" t="str">
        <f t="shared" si="37"/>
        <v/>
      </c>
      <c r="AP64">
        <f t="shared" si="38"/>
        <v>0.10653864337424213</v>
      </c>
      <c r="AQ64" t="str">
        <f t="shared" si="39"/>
        <v/>
      </c>
      <c r="AR64">
        <f t="shared" si="40"/>
        <v>1.9779836380826643E-2</v>
      </c>
      <c r="AS64">
        <f t="shared" si="91"/>
        <v>190.64159717532189</v>
      </c>
      <c r="AT64" t="str">
        <f t="shared" si="78"/>
        <v/>
      </c>
      <c r="AU64" s="24">
        <f t="shared" si="92"/>
        <v>0.12116322101157641</v>
      </c>
      <c r="AV64" s="24" t="str">
        <f t="shared" si="79"/>
        <v/>
      </c>
      <c r="AW64" s="24">
        <f t="shared" si="41"/>
        <v>8.2533296131542766</v>
      </c>
      <c r="AX64" s="24">
        <f t="shared" si="93"/>
        <v>8.7233593935951634E-2</v>
      </c>
      <c r="AY64" s="24" t="str">
        <f t="shared" si="80"/>
        <v/>
      </c>
      <c r="AZ64" s="24">
        <f t="shared" si="94"/>
        <v>9.6501549356437454E-4</v>
      </c>
      <c r="BA64" s="24">
        <f t="shared" si="42"/>
        <v>2.6805985932343741E-3</v>
      </c>
      <c r="BB64">
        <f t="shared" si="95"/>
        <v>0.26</v>
      </c>
      <c r="BC64">
        <f t="shared" si="96"/>
        <v>0.42</v>
      </c>
      <c r="BD64">
        <f t="shared" si="43"/>
        <v>0.15999999999999998</v>
      </c>
      <c r="BE64">
        <f t="shared" si="97"/>
        <v>4.5325778021314461E-2</v>
      </c>
      <c r="BF64">
        <f t="shared" si="98"/>
        <v>-7.6440427280251813</v>
      </c>
      <c r="BG64">
        <f t="shared" si="99"/>
        <v>0.26</v>
      </c>
      <c r="BH64">
        <f t="shared" si="100"/>
        <v>0.42</v>
      </c>
      <c r="BI64">
        <f t="shared" si="101"/>
        <v>0.15999999999999998</v>
      </c>
      <c r="BJ64">
        <f t="shared" si="81"/>
        <v>9.447928597150701E-2</v>
      </c>
      <c r="BK64">
        <f t="shared" si="82"/>
        <v>0.20908646577735879</v>
      </c>
      <c r="BL64">
        <f t="shared" si="83"/>
        <v>0.3625973026326903</v>
      </c>
      <c r="BM64">
        <f t="shared" si="45"/>
        <v>0.15351083685533151</v>
      </c>
      <c r="BN64" t="str">
        <f t="shared" si="84"/>
        <v/>
      </c>
      <c r="BO64" t="str">
        <f t="shared" si="85"/>
        <v/>
      </c>
      <c r="BP64" t="str">
        <f t="shared" si="46"/>
        <v/>
      </c>
      <c r="BQ64">
        <v>43</v>
      </c>
      <c r="BR64" s="10">
        <v>4</v>
      </c>
      <c r="BS64" s="10">
        <f t="shared" si="47"/>
        <v>122</v>
      </c>
      <c r="BT64" s="10">
        <v>4</v>
      </c>
      <c r="BU64" s="10">
        <f t="shared" si="48"/>
        <v>122</v>
      </c>
      <c r="BV64">
        <f t="shared" si="90"/>
        <v>15.756936042209677</v>
      </c>
      <c r="BW64">
        <f t="shared" si="86"/>
        <v>18.908470498405549</v>
      </c>
      <c r="BX64">
        <f t="shared" si="87"/>
        <v>15.756936042209677</v>
      </c>
      <c r="BY64">
        <f t="shared" si="88"/>
        <v>18.908470498405549</v>
      </c>
      <c r="BZ64">
        <f t="shared" si="89"/>
        <v>6.5371488170773731</v>
      </c>
      <c r="CA64" s="83">
        <v>0.21828973400747434</v>
      </c>
      <c r="CB64" s="83">
        <v>0.21728820866566068</v>
      </c>
      <c r="CE64" s="8"/>
      <c r="CF64" s="83">
        <v>3.8629936982487001</v>
      </c>
      <c r="CG64" s="83">
        <v>3.211612057196235</v>
      </c>
      <c r="CH64" s="8"/>
      <c r="CI64" s="8" t="str">
        <f t="shared" si="50"/>
        <v/>
      </c>
      <c r="CJ64" s="8" t="str">
        <f t="shared" si="51"/>
        <v/>
      </c>
      <c r="CK64" s="8" t="str">
        <f t="shared" si="52"/>
        <v/>
      </c>
      <c r="CL64" s="8" t="str">
        <f t="shared" si="53"/>
        <v/>
      </c>
      <c r="CM64" s="8" t="str">
        <f t="shared" si="54"/>
        <v/>
      </c>
      <c r="CN64" s="8" t="str">
        <f t="shared" si="55"/>
        <v/>
      </c>
      <c r="DE64">
        <v>5</v>
      </c>
      <c r="DF64">
        <v>11</v>
      </c>
      <c r="DG64" s="10">
        <v>0.10454250878913959</v>
      </c>
      <c r="DJ64" s="83">
        <v>0.21825576140985117</v>
      </c>
      <c r="DK64" s="83">
        <v>0.2010060362173037</v>
      </c>
      <c r="DL64" s="83" t="str">
        <f t="shared" si="56"/>
        <v/>
      </c>
      <c r="DM64" s="83" t="str">
        <f t="shared" si="57"/>
        <v/>
      </c>
      <c r="DN64" s="83">
        <v>0.25434988927554569</v>
      </c>
      <c r="DO64" s="83" t="str">
        <f t="shared" si="58"/>
        <v/>
      </c>
      <c r="DP64" s="83">
        <v>4.6649043530652223</v>
      </c>
      <c r="DQ64" s="83">
        <v>3.8757465627095908</v>
      </c>
      <c r="DR64" s="83">
        <v>2.8008587735948534</v>
      </c>
      <c r="DS64" s="8">
        <f t="shared" si="59"/>
        <v>-1.864045579470369</v>
      </c>
      <c r="DT64" s="8">
        <f t="shared" si="60"/>
        <v>-1.0748877891147375</v>
      </c>
      <c r="DU64" s="8" t="str">
        <f t="shared" si="61"/>
        <v/>
      </c>
      <c r="DV64" s="8" t="str">
        <f t="shared" si="62"/>
        <v/>
      </c>
      <c r="DW64" s="8">
        <f t="shared" si="63"/>
        <v>5.3343853058241991E-2</v>
      </c>
      <c r="DX64" s="8">
        <f t="shared" si="64"/>
        <v>3.609412786569452E-2</v>
      </c>
      <c r="EN64" s="51"/>
      <c r="EP64" s="10"/>
      <c r="EQ64" s="10"/>
      <c r="ER64" s="10"/>
      <c r="ES64" s="10"/>
      <c r="ET64" s="10"/>
      <c r="EU64" s="10"/>
      <c r="EV64" s="10"/>
      <c r="EW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</row>
    <row r="65" spans="15:164" x14ac:dyDescent="0.2">
      <c r="DE65">
        <v>5</v>
      </c>
      <c r="DF65">
        <v>12</v>
      </c>
      <c r="DG65" s="10">
        <v>0.10653864337424213</v>
      </c>
      <c r="DJ65" s="83">
        <v>0.21828973400747434</v>
      </c>
      <c r="DK65" s="83">
        <v>0.21728820866566068</v>
      </c>
      <c r="DL65" s="83" t="str">
        <f t="shared" si="56"/>
        <v/>
      </c>
      <c r="DM65" s="83" t="str">
        <f t="shared" si="57"/>
        <v/>
      </c>
      <c r="DN65" s="8"/>
      <c r="DO65" s="83" t="str">
        <f t="shared" si="58"/>
        <v/>
      </c>
      <c r="DP65" s="83">
        <v>3.8629936982487001</v>
      </c>
      <c r="DQ65" s="83">
        <v>3.211612057196235</v>
      </c>
      <c r="DR65" s="8"/>
      <c r="DS65" s="8" t="str">
        <f t="shared" si="59"/>
        <v/>
      </c>
      <c r="DT65" s="8" t="str">
        <f t="shared" si="60"/>
        <v/>
      </c>
      <c r="DU65" s="8" t="str">
        <f t="shared" si="61"/>
        <v/>
      </c>
      <c r="DV65" s="8" t="str">
        <f t="shared" si="62"/>
        <v/>
      </c>
      <c r="DW65" s="8" t="str">
        <f t="shared" si="63"/>
        <v/>
      </c>
      <c r="DX65" s="8" t="str">
        <f t="shared" si="64"/>
        <v/>
      </c>
      <c r="ER65" s="10"/>
      <c r="ES65" s="51"/>
      <c r="ET65" s="10"/>
      <c r="EU65" s="57"/>
      <c r="EV65" s="57"/>
      <c r="EW65" s="57"/>
      <c r="EY65" s="10"/>
      <c r="EZ65" s="10"/>
      <c r="FA65" s="10"/>
      <c r="FB65" s="10"/>
      <c r="FC65" s="10"/>
      <c r="FD65" s="10"/>
      <c r="FE65" s="10"/>
      <c r="FF65" s="10"/>
      <c r="FG65" s="10"/>
      <c r="FH65" s="10"/>
    </row>
    <row r="66" spans="15:164" x14ac:dyDescent="0.2">
      <c r="U66" s="8" t="s">
        <v>12</v>
      </c>
      <c r="V66">
        <f>AVERAGE(V5:V64)</f>
        <v>-9.156381245537755E-3</v>
      </c>
      <c r="W66">
        <f>AVERAGE(W5:W64)</f>
        <v>-3.9592357260801889E-2</v>
      </c>
      <c r="X66">
        <f>AVERAGE(X5:X64)</f>
        <v>-4.8748738506339637E-2</v>
      </c>
      <c r="AA66" s="8"/>
      <c r="AB66" s="8"/>
      <c r="AC66" s="8"/>
      <c r="AD66" s="8"/>
      <c r="AE66" s="8"/>
      <c r="AF66" s="8"/>
      <c r="AG66" s="8"/>
      <c r="AH66" s="8"/>
      <c r="AI66" s="8"/>
      <c r="AJ66">
        <f>AVERAGE(porosity)</f>
        <v>0.4110342127921004</v>
      </c>
      <c r="AL66">
        <f>AVERAGE(AL5:AL64)</f>
        <v>0.35359466019759578</v>
      </c>
      <c r="AN66">
        <f>AVERAGE(AN5:AN64)</f>
        <v>0.22612649588659536</v>
      </c>
      <c r="AP66">
        <f>AVERAGE(AP5:AP64)</f>
        <v>0.1274681643110003</v>
      </c>
      <c r="AR66">
        <f>AVERAGE(AR5:AR64)</f>
        <v>5.7439552594504839E-2</v>
      </c>
      <c r="BG66">
        <f t="shared" ref="BG66" si="104">AVERAGE(BG5:BG64)</f>
        <v>0.20879310344827584</v>
      </c>
      <c r="BH66">
        <f>AVERAGE(BH5:BH64)</f>
        <v>0.38017241379310351</v>
      </c>
    </row>
    <row r="67" spans="15:164" x14ac:dyDescent="0.2">
      <c r="U67" s="8" t="s">
        <v>13</v>
      </c>
      <c r="V67">
        <f>_xlfn.STDEV.S(V5:V64)</f>
        <v>9.0278783156293549E-2</v>
      </c>
      <c r="W67">
        <f>_xlfn.STDEV.S(W5:W64)</f>
        <v>6.3539671247968513E-2</v>
      </c>
      <c r="X67">
        <f>_xlfn.STDEV.S(X5:X64)</f>
        <v>8.8716928104255077E-2</v>
      </c>
      <c r="AA67" s="83"/>
      <c r="AB67" s="8"/>
      <c r="AC67" s="8"/>
      <c r="AD67" s="8"/>
      <c r="AE67" s="8"/>
      <c r="AF67" s="8"/>
      <c r="AG67" s="8"/>
      <c r="AH67" s="8"/>
      <c r="AI67" s="8"/>
    </row>
    <row r="68" spans="15:164" x14ac:dyDescent="0.2">
      <c r="U68" s="8" t="s">
        <v>14</v>
      </c>
      <c r="V68">
        <f>V66+2*V67</f>
        <v>0.17140118506704935</v>
      </c>
      <c r="W68">
        <f>W66+2*W67</f>
        <v>8.7486985235135137E-2</v>
      </c>
      <c r="X68">
        <f>X66+2*X67</f>
        <v>0.1286851177021705</v>
      </c>
      <c r="AA68" s="8"/>
      <c r="AB68" s="8"/>
      <c r="AC68" s="8"/>
      <c r="AD68" s="8"/>
      <c r="AE68" s="8"/>
      <c r="AF68" s="8"/>
      <c r="AG68" s="8"/>
      <c r="AH68" s="8"/>
      <c r="AI68" s="8"/>
      <c r="DH68">
        <v>1.3962562491546295</v>
      </c>
      <c r="DI68">
        <v>31.788295260876097</v>
      </c>
    </row>
    <row r="69" spans="15:164" x14ac:dyDescent="0.2">
      <c r="U69" s="8" t="s">
        <v>15</v>
      </c>
      <c r="V69">
        <f>V66-2*V67</f>
        <v>-0.18971394755812485</v>
      </c>
      <c r="W69">
        <f>W66-2*W67</f>
        <v>-0.1666716997567389</v>
      </c>
      <c r="X69">
        <f>X66-2*X67</f>
        <v>-0.22618259471484981</v>
      </c>
      <c r="AA69" s="8"/>
      <c r="AB69" s="8"/>
      <c r="AC69" s="8"/>
      <c r="AD69" s="8"/>
      <c r="AE69" s="8"/>
      <c r="AF69" s="8"/>
      <c r="AG69" s="8"/>
      <c r="AH69" s="8"/>
      <c r="AI69" s="8"/>
      <c r="DH69">
        <v>1.5175583946040812</v>
      </c>
      <c r="DI69">
        <v>30.814754038342301</v>
      </c>
    </row>
    <row r="70" spans="15:164" x14ac:dyDescent="0.2">
      <c r="AA70" s="8"/>
      <c r="AB70" s="8"/>
      <c r="AC70" s="8"/>
      <c r="AD70" s="8"/>
      <c r="AE70" s="8"/>
      <c r="AF70" s="8"/>
      <c r="AG70" s="8"/>
      <c r="AH70" s="8"/>
      <c r="AI70" s="8"/>
      <c r="DH70">
        <v>1.5849106786647507</v>
      </c>
      <c r="DI70">
        <v>40.605079638398401</v>
      </c>
    </row>
    <row r="71" spans="15:164" x14ac:dyDescent="0.2">
      <c r="O71" s="10"/>
      <c r="P71" s="10"/>
      <c r="AA71" s="88"/>
      <c r="AB71" s="83"/>
      <c r="AC71" s="88"/>
      <c r="AD71" s="83"/>
      <c r="AE71" s="88"/>
      <c r="AF71" s="13"/>
      <c r="AG71" s="8"/>
      <c r="AH71" s="13"/>
      <c r="AI71" s="13"/>
      <c r="DH71">
        <v>1.6611161015691513</v>
      </c>
      <c r="DI71">
        <v>41.713717384464097</v>
      </c>
    </row>
    <row r="72" spans="15:164" x14ac:dyDescent="0.2">
      <c r="O72" s="10"/>
      <c r="P72" s="10"/>
      <c r="AA72" s="88"/>
      <c r="AB72" s="83"/>
      <c r="AC72" s="88"/>
      <c r="AD72" s="83"/>
      <c r="AE72" s="88"/>
      <c r="AF72" s="13"/>
      <c r="AG72" s="8"/>
      <c r="AH72" s="13"/>
      <c r="AI72" s="13"/>
      <c r="DH72">
        <v>1.6674709646091144</v>
      </c>
      <c r="DI72">
        <v>39.265577108825603</v>
      </c>
    </row>
    <row r="73" spans="15:164" x14ac:dyDescent="0.2">
      <c r="O73" s="10"/>
      <c r="P73" s="10"/>
      <c r="AA73" s="88"/>
      <c r="AB73" s="83"/>
      <c r="AC73" s="88"/>
      <c r="AD73" s="83"/>
      <c r="AE73" s="88"/>
      <c r="AF73" s="13"/>
      <c r="AG73" s="8"/>
      <c r="AH73" s="13"/>
      <c r="AI73" s="13"/>
      <c r="DH73">
        <v>1.2685383634082836</v>
      </c>
      <c r="DI73">
        <v>31.768207814765002</v>
      </c>
    </row>
    <row r="74" spans="15:164" x14ac:dyDescent="0.2">
      <c r="O74" s="10"/>
      <c r="P74" s="10"/>
      <c r="AA74" s="88"/>
      <c r="AB74" s="83"/>
      <c r="AC74" s="88"/>
      <c r="AD74" s="83"/>
      <c r="AE74" s="88"/>
      <c r="AF74" s="13"/>
      <c r="AG74" s="8"/>
      <c r="AH74" s="13"/>
      <c r="AI74" s="13"/>
      <c r="DH74">
        <v>1.456387927209005</v>
      </c>
      <c r="DI74">
        <v>29.743258793360798</v>
      </c>
    </row>
    <row r="75" spans="15:164" x14ac:dyDescent="0.2">
      <c r="O75" s="10"/>
      <c r="P75" s="10"/>
      <c r="AA75" s="88"/>
      <c r="AB75" s="83"/>
      <c r="AC75" s="88"/>
      <c r="AD75" s="83"/>
      <c r="AE75" s="88"/>
      <c r="AF75" s="13"/>
      <c r="AG75" s="8"/>
      <c r="AH75" s="13"/>
      <c r="AI75" s="13"/>
      <c r="DH75">
        <v>1.5610190843491971</v>
      </c>
      <c r="DI75">
        <v>29.9397506241197</v>
      </c>
    </row>
    <row r="76" spans="15:164" x14ac:dyDescent="0.2">
      <c r="O76" s="10"/>
      <c r="P76" s="10"/>
      <c r="AA76" s="88"/>
      <c r="AB76" s="83"/>
      <c r="AC76" s="88"/>
      <c r="AD76" s="83"/>
      <c r="AE76" s="88"/>
      <c r="AF76" s="13"/>
      <c r="AG76" s="8"/>
      <c r="AH76" s="13"/>
      <c r="AI76" s="13"/>
      <c r="DH76">
        <v>1.6843541440224425</v>
      </c>
      <c r="DI76">
        <v>35.1144500055387</v>
      </c>
    </row>
    <row r="77" spans="15:164" x14ac:dyDescent="0.2">
      <c r="O77" s="10"/>
      <c r="P77" s="10"/>
      <c r="AA77" s="88"/>
      <c r="AB77" s="83"/>
      <c r="AC77" s="88"/>
      <c r="AD77" s="83"/>
      <c r="AE77" s="88"/>
      <c r="AF77" s="13"/>
      <c r="AG77" s="8"/>
      <c r="AH77" s="13"/>
      <c r="AI77" s="13"/>
      <c r="DH77">
        <v>1.7082414117433771</v>
      </c>
      <c r="DI77">
        <v>36.825720094766702</v>
      </c>
    </row>
    <row r="78" spans="15:164" x14ac:dyDescent="0.2">
      <c r="O78" s="10"/>
      <c r="P78" s="10"/>
      <c r="AA78" s="88"/>
      <c r="AB78" s="83"/>
      <c r="AC78" s="88"/>
      <c r="AD78" s="83"/>
      <c r="AE78" s="88"/>
      <c r="AF78" s="13"/>
      <c r="AG78" s="8"/>
      <c r="AH78" s="13"/>
      <c r="AI78" s="13"/>
      <c r="DH78">
        <v>1.5030152557707523</v>
      </c>
      <c r="DI78">
        <v>32.16536218124407</v>
      </c>
    </row>
    <row r="79" spans="15:164" x14ac:dyDescent="0.2">
      <c r="O79" s="10"/>
      <c r="P79" s="10"/>
      <c r="AA79" s="88"/>
      <c r="AB79" s="83"/>
      <c r="AC79" s="88"/>
      <c r="AD79" s="83"/>
      <c r="AE79" s="88"/>
      <c r="AF79" s="13"/>
      <c r="AG79" s="8"/>
      <c r="AH79" s="13"/>
      <c r="AI79" s="13"/>
      <c r="DH79">
        <v>1.5726175896923127</v>
      </c>
      <c r="DI79">
        <v>32.728568388985401</v>
      </c>
    </row>
    <row r="80" spans="15:164" x14ac:dyDescent="0.2">
      <c r="O80" s="10"/>
      <c r="P80" s="10"/>
      <c r="AA80" s="88"/>
      <c r="AB80" s="83"/>
      <c r="AC80" s="88"/>
      <c r="AD80" s="83"/>
      <c r="AE80" s="88"/>
      <c r="AF80" s="13"/>
      <c r="AG80" s="8"/>
      <c r="AH80" s="13"/>
      <c r="AI80" s="13"/>
      <c r="DH80">
        <v>1.7291293319926879</v>
      </c>
      <c r="DI80">
        <v>42.908123827329199</v>
      </c>
    </row>
    <row r="81" spans="15:113" x14ac:dyDescent="0.2">
      <c r="O81" s="10"/>
      <c r="P81" s="10"/>
      <c r="AA81" s="88"/>
      <c r="AB81" s="83"/>
      <c r="AC81" s="88"/>
      <c r="AD81" s="83"/>
      <c r="AE81" s="88"/>
      <c r="AF81" s="13"/>
      <c r="AG81" s="8"/>
      <c r="AH81" s="13"/>
      <c r="AI81" s="13"/>
      <c r="DH81">
        <v>1.7383848334740779</v>
      </c>
      <c r="DI81">
        <v>42.111460895560398</v>
      </c>
    </row>
    <row r="82" spans="15:113" x14ac:dyDescent="0.2">
      <c r="O82" s="10"/>
      <c r="P82" s="10"/>
      <c r="AA82" s="88"/>
      <c r="AB82" s="83"/>
      <c r="AC82" s="88"/>
      <c r="AD82" s="83"/>
      <c r="AE82" s="88"/>
      <c r="AF82" s="13"/>
      <c r="AG82" s="8"/>
      <c r="AH82" s="13"/>
      <c r="AI82" s="13"/>
      <c r="DH82">
        <v>1.708561510556988</v>
      </c>
      <c r="DI82">
        <v>40.5030006078455</v>
      </c>
    </row>
    <row r="83" spans="15:113" x14ac:dyDescent="0.2">
      <c r="O83" s="10"/>
      <c r="P83" s="10"/>
      <c r="AA83" s="88"/>
      <c r="AB83" s="83"/>
      <c r="AC83" s="88"/>
      <c r="AD83" s="83"/>
      <c r="AE83" s="88"/>
      <c r="AF83" s="13"/>
      <c r="AG83" s="8"/>
      <c r="AH83" s="13"/>
      <c r="AI83" s="13"/>
      <c r="DH83">
        <v>1.3899263072462471</v>
      </c>
      <c r="DI83">
        <v>27.209838244294332</v>
      </c>
    </row>
    <row r="84" spans="15:113" x14ac:dyDescent="0.2">
      <c r="O84" s="10"/>
      <c r="P84" s="10"/>
      <c r="AA84" s="88"/>
      <c r="AB84" s="83"/>
      <c r="AC84" s="88"/>
      <c r="AD84" s="83"/>
      <c r="AE84" s="88"/>
      <c r="AF84" s="13"/>
      <c r="AG84" s="8"/>
      <c r="AH84" s="13"/>
      <c r="AI84" s="13"/>
      <c r="DH84">
        <v>1.3735443328570403</v>
      </c>
      <c r="DI84">
        <v>27.0809779900679</v>
      </c>
    </row>
    <row r="85" spans="15:113" x14ac:dyDescent="0.2">
      <c r="O85" s="10"/>
      <c r="P85" s="10"/>
      <c r="AA85" s="88"/>
      <c r="AB85" s="83"/>
      <c r="AC85" s="88"/>
      <c r="AD85" s="83"/>
      <c r="AE85" s="88"/>
      <c r="AF85" s="13"/>
      <c r="AG85" s="8"/>
      <c r="AH85" s="13"/>
      <c r="AI85" s="13"/>
      <c r="DH85">
        <v>1.4490724423956467</v>
      </c>
      <c r="DI85">
        <v>37.752328437870602</v>
      </c>
    </row>
    <row r="86" spans="15:113" x14ac:dyDescent="0.2">
      <c r="O86" s="10"/>
      <c r="P86" s="10"/>
      <c r="AA86" s="88"/>
      <c r="AB86" s="83"/>
      <c r="AC86" s="88"/>
      <c r="AD86" s="83"/>
      <c r="AE86" s="88"/>
      <c r="AF86" s="13"/>
      <c r="AG86" s="8"/>
      <c r="AH86" s="13"/>
      <c r="AI86" s="13"/>
      <c r="DH86">
        <v>1.546651000227472</v>
      </c>
      <c r="DI86">
        <v>43.513679294350098</v>
      </c>
    </row>
    <row r="87" spans="15:113" x14ac:dyDescent="0.2">
      <c r="O87" s="10"/>
      <c r="P87" s="10"/>
      <c r="AA87" s="88"/>
      <c r="AB87" s="83"/>
      <c r="AC87" s="88"/>
      <c r="AD87" s="83"/>
      <c r="AE87" s="88"/>
      <c r="AF87" s="13"/>
      <c r="AG87" s="8"/>
      <c r="AH87" s="13"/>
      <c r="AI87" s="13"/>
      <c r="DH87">
        <v>1.6470256226674413</v>
      </c>
      <c r="DI87">
        <v>33.871007908582698</v>
      </c>
    </row>
    <row r="88" spans="15:113" x14ac:dyDescent="0.2">
      <c r="O88" s="10"/>
      <c r="P88" s="10"/>
      <c r="AA88" s="88"/>
      <c r="AB88" s="83"/>
      <c r="AC88" s="88"/>
      <c r="AD88" s="83"/>
      <c r="AE88" s="88"/>
      <c r="AF88" s="13"/>
      <c r="AG88" s="8"/>
      <c r="AH88" s="13"/>
      <c r="AI88" s="13"/>
      <c r="DH88">
        <v>1.2786215655211459</v>
      </c>
      <c r="DI88">
        <v>31.874455558437663</v>
      </c>
    </row>
    <row r="89" spans="15:113" x14ac:dyDescent="0.2">
      <c r="O89" s="10"/>
      <c r="P89" s="10"/>
      <c r="AA89" s="88"/>
      <c r="AB89" s="83"/>
      <c r="AC89" s="88"/>
      <c r="AD89" s="83"/>
      <c r="AE89" s="88"/>
      <c r="AF89" s="13"/>
      <c r="AG89" s="8"/>
      <c r="AH89" s="13"/>
      <c r="AI89" s="13"/>
      <c r="DH89">
        <v>1.2146328776859296</v>
      </c>
      <c r="DI89">
        <v>26.516944233602903</v>
      </c>
    </row>
    <row r="90" spans="15:113" x14ac:dyDescent="0.2">
      <c r="O90" s="10"/>
      <c r="P90" s="10"/>
      <c r="AA90" s="88"/>
      <c r="AB90" s="83"/>
      <c r="AC90" s="88"/>
      <c r="AD90" s="83"/>
      <c r="AE90" s="88"/>
      <c r="AF90" s="13"/>
      <c r="AG90" s="8"/>
      <c r="AH90" s="13"/>
      <c r="AI90" s="13"/>
      <c r="DH90">
        <v>1.5982524369413778</v>
      </c>
      <c r="DI90">
        <v>39.418176646472901</v>
      </c>
    </row>
    <row r="91" spans="15:113" x14ac:dyDescent="0.2">
      <c r="O91" s="10"/>
      <c r="P91" s="10"/>
      <c r="AA91" s="88"/>
      <c r="AB91" s="83"/>
      <c r="AC91" s="88"/>
      <c r="AD91" s="83"/>
      <c r="AE91" s="88"/>
      <c r="AF91" s="13"/>
      <c r="AG91" s="8"/>
      <c r="AH91" s="13"/>
      <c r="AI91" s="13"/>
      <c r="DH91">
        <v>1.7093753731375603</v>
      </c>
      <c r="DI91">
        <v>31.139216541408899</v>
      </c>
    </row>
    <row r="92" spans="15:113" x14ac:dyDescent="0.2">
      <c r="O92" s="10"/>
      <c r="P92" s="10"/>
      <c r="AA92" s="88"/>
      <c r="AB92" s="83"/>
      <c r="AC92" s="88"/>
      <c r="AD92" s="83"/>
      <c r="AE92" s="88"/>
      <c r="AF92" s="13"/>
      <c r="AG92" s="8"/>
      <c r="AH92" s="13"/>
      <c r="AI92" s="13"/>
      <c r="DH92">
        <v>1.7604386462822996</v>
      </c>
      <c r="DI92">
        <v>42.832215459419501</v>
      </c>
    </row>
    <row r="93" spans="15:113" x14ac:dyDescent="0.2">
      <c r="O93" s="10"/>
      <c r="P93" s="10"/>
      <c r="AA93" s="88"/>
      <c r="AB93" s="83"/>
      <c r="AC93" s="88"/>
      <c r="AD93" s="83"/>
      <c r="AE93" s="88"/>
      <c r="AF93" s="13"/>
      <c r="AG93" s="8"/>
      <c r="AH93" s="13"/>
      <c r="AI93" s="13"/>
      <c r="DH93">
        <v>1.3134209268942334</v>
      </c>
      <c r="DI93">
        <v>32.182586590836699</v>
      </c>
    </row>
    <row r="94" spans="15:113" x14ac:dyDescent="0.2">
      <c r="O94" s="10"/>
      <c r="P94" s="10"/>
      <c r="AA94" s="88"/>
      <c r="AB94" s="83"/>
      <c r="AC94" s="88"/>
      <c r="AD94" s="83"/>
      <c r="AE94" s="88"/>
      <c r="AF94" s="13"/>
      <c r="AG94" s="8"/>
      <c r="AH94" s="13"/>
      <c r="AI94" s="13"/>
      <c r="DH94">
        <v>1.6035417948615416</v>
      </c>
    </row>
    <row r="95" spans="15:113" x14ac:dyDescent="0.2">
      <c r="O95" s="10"/>
      <c r="P95" s="10"/>
      <c r="AA95" s="88"/>
      <c r="AB95" s="83"/>
      <c r="AC95" s="88"/>
      <c r="AD95" s="83"/>
      <c r="AE95" s="88"/>
      <c r="AF95" s="13"/>
      <c r="AG95" s="8"/>
      <c r="AH95" s="13"/>
      <c r="AI95" s="13"/>
      <c r="DH95">
        <v>1.7136418736022454</v>
      </c>
      <c r="DI95">
        <v>37.206496455184102</v>
      </c>
    </row>
    <row r="96" spans="15:113" x14ac:dyDescent="0.2">
      <c r="O96" s="10"/>
      <c r="P96" s="10"/>
      <c r="AA96" s="88"/>
      <c r="AB96" s="83"/>
      <c r="AC96" s="88"/>
      <c r="AD96" s="83"/>
      <c r="AE96" s="88"/>
      <c r="AF96" s="13"/>
      <c r="AG96" s="8"/>
      <c r="AH96" s="13"/>
      <c r="AI96" s="13"/>
      <c r="DH96">
        <v>1.7429679820949477</v>
      </c>
      <c r="DI96">
        <v>38.249530402410898</v>
      </c>
    </row>
    <row r="97" spans="15:113" x14ac:dyDescent="0.2">
      <c r="O97" s="10"/>
      <c r="P97" s="10"/>
      <c r="AA97" s="88"/>
      <c r="AB97" s="83"/>
      <c r="AC97" s="88"/>
      <c r="AD97" s="83"/>
      <c r="AE97" s="88"/>
      <c r="AF97" s="13"/>
      <c r="AG97" s="8"/>
      <c r="AH97" s="13"/>
      <c r="AI97" s="13"/>
      <c r="DH97">
        <v>1.8421691234882054</v>
      </c>
      <c r="DI97">
        <v>38.816333220576702</v>
      </c>
    </row>
    <row r="98" spans="15:113" x14ac:dyDescent="0.2">
      <c r="O98" s="10"/>
      <c r="P98" s="10"/>
      <c r="AA98" s="88"/>
      <c r="AB98" s="83"/>
      <c r="AC98" s="88"/>
      <c r="AD98" s="83"/>
      <c r="AE98" s="88"/>
      <c r="AF98" s="13"/>
      <c r="AG98" s="8"/>
      <c r="AH98" s="13"/>
      <c r="AI98" s="13"/>
      <c r="DH98">
        <v>1.5438284112464755</v>
      </c>
      <c r="DI98">
        <v>30.498143328960463</v>
      </c>
    </row>
    <row r="99" spans="15:113" x14ac:dyDescent="0.2">
      <c r="O99" s="10"/>
      <c r="P99" s="10"/>
      <c r="AA99" s="88"/>
      <c r="AB99" s="83"/>
      <c r="AC99" s="88"/>
      <c r="AD99" s="83"/>
      <c r="AE99" s="88"/>
      <c r="AF99" s="13"/>
      <c r="AG99" s="8"/>
      <c r="AH99" s="13"/>
      <c r="AI99" s="13"/>
      <c r="DH99">
        <v>1.6303514873119838</v>
      </c>
    </row>
    <row r="100" spans="15:113" x14ac:dyDescent="0.2">
      <c r="O100" s="10"/>
      <c r="P100" s="10"/>
      <c r="AA100" s="88"/>
      <c r="AB100" s="83"/>
      <c r="AC100" s="88"/>
      <c r="AD100" s="83"/>
      <c r="AE100" s="88"/>
      <c r="AF100" s="13"/>
      <c r="AG100" s="8"/>
      <c r="AH100" s="13"/>
      <c r="AI100" s="13"/>
      <c r="DH100">
        <v>1.6110682372194973</v>
      </c>
      <c r="DI100">
        <v>39.308816503284397</v>
      </c>
    </row>
    <row r="101" spans="15:113" x14ac:dyDescent="0.2">
      <c r="O101" s="10"/>
      <c r="P101" s="10"/>
      <c r="AA101" s="88"/>
      <c r="AB101" s="83"/>
      <c r="AC101" s="88"/>
      <c r="AD101" s="83"/>
      <c r="AE101" s="88"/>
      <c r="AF101" s="13"/>
      <c r="AG101" s="8"/>
      <c r="AH101" s="13"/>
      <c r="AI101" s="13"/>
      <c r="DI101">
        <v>31.078622504394897</v>
      </c>
    </row>
    <row r="102" spans="15:113" x14ac:dyDescent="0.2">
      <c r="O102" s="10"/>
      <c r="P102" s="10"/>
      <c r="AA102" s="88"/>
      <c r="AB102" s="83"/>
      <c r="AC102" s="88"/>
      <c r="AD102" s="83"/>
      <c r="AE102" s="88"/>
      <c r="AF102" s="13"/>
      <c r="AG102" s="8"/>
      <c r="AH102" s="13"/>
      <c r="AI102" s="13"/>
    </row>
    <row r="103" spans="15:113" x14ac:dyDescent="0.2">
      <c r="O103" s="10"/>
      <c r="P103" s="10"/>
      <c r="AA103" s="88"/>
      <c r="AB103" s="83"/>
      <c r="AC103" s="88"/>
      <c r="AD103" s="83"/>
      <c r="AE103" s="88"/>
      <c r="AF103" s="13"/>
      <c r="AG103" s="8"/>
      <c r="AH103" s="13"/>
      <c r="AI103" s="13"/>
      <c r="DH103">
        <v>1.4224810869277817</v>
      </c>
      <c r="DI103">
        <v>30.010352220696333</v>
      </c>
    </row>
    <row r="104" spans="15:113" x14ac:dyDescent="0.2">
      <c r="O104" s="10"/>
      <c r="P104" s="10"/>
      <c r="AA104" s="88"/>
      <c r="AB104" s="83"/>
      <c r="AC104" s="88"/>
      <c r="AD104" s="83"/>
      <c r="AE104" s="88"/>
      <c r="AF104" s="13"/>
      <c r="AG104" s="8"/>
      <c r="AH104" s="13"/>
      <c r="AI104" s="13"/>
      <c r="DH104">
        <v>1.3277709137445484</v>
      </c>
      <c r="DI104">
        <v>27.581670763577197</v>
      </c>
    </row>
    <row r="105" spans="15:113" x14ac:dyDescent="0.2">
      <c r="O105" s="10"/>
      <c r="P105" s="10"/>
      <c r="AA105" s="88"/>
      <c r="AB105" s="83"/>
      <c r="AC105" s="88"/>
      <c r="AD105" s="83"/>
      <c r="AE105" s="88"/>
      <c r="AF105" s="13"/>
      <c r="AG105" s="8"/>
      <c r="AH105" s="13"/>
      <c r="AI105" s="13"/>
      <c r="DH105">
        <v>1.5651903907382188</v>
      </c>
      <c r="DI105">
        <v>44.645671151244002</v>
      </c>
    </row>
    <row r="106" spans="15:113" x14ac:dyDescent="0.2">
      <c r="O106" s="10"/>
      <c r="P106" s="10"/>
      <c r="AA106" s="88"/>
      <c r="AB106" s="83"/>
      <c r="AC106" s="88"/>
      <c r="AD106" s="83"/>
      <c r="AE106" s="88"/>
      <c r="AF106" s="13"/>
      <c r="AG106" s="8"/>
      <c r="AH106" s="13"/>
      <c r="AI106" s="13"/>
      <c r="DH106">
        <v>1.6121705778540232</v>
      </c>
      <c r="DI106">
        <v>40.42889320442</v>
      </c>
    </row>
    <row r="107" spans="15:113" x14ac:dyDescent="0.2">
      <c r="O107" s="10"/>
      <c r="P107" s="10"/>
      <c r="AA107" s="88"/>
      <c r="AB107" s="83"/>
      <c r="AC107" s="88"/>
      <c r="AD107" s="83"/>
      <c r="AE107" s="88"/>
      <c r="AF107" s="13"/>
      <c r="AG107" s="8"/>
      <c r="AH107" s="13"/>
      <c r="AI107" s="13"/>
      <c r="DH107">
        <v>1.6599651281595174</v>
      </c>
      <c r="DI107">
        <v>46.060710508264698</v>
      </c>
    </row>
    <row r="108" spans="15:113" x14ac:dyDescent="0.2">
      <c r="O108" s="10"/>
      <c r="P108" s="10"/>
      <c r="AA108" s="88"/>
      <c r="AB108" s="83"/>
      <c r="AC108" s="88"/>
      <c r="AD108" s="83"/>
      <c r="AE108" s="88"/>
      <c r="AF108" s="13"/>
      <c r="AG108" s="8"/>
      <c r="AH108" s="13"/>
      <c r="AI108" s="13"/>
      <c r="DH108">
        <v>1.3952987258908192</v>
      </c>
      <c r="DI108">
        <v>35.068569136598207</v>
      </c>
    </row>
    <row r="109" spans="15:113" x14ac:dyDescent="0.2">
      <c r="O109" s="10"/>
      <c r="P109" s="10"/>
      <c r="AA109" s="88"/>
      <c r="AB109" s="83"/>
      <c r="AC109" s="88"/>
      <c r="AD109" s="83"/>
      <c r="AE109" s="88"/>
      <c r="AF109" s="13"/>
      <c r="AG109" s="8"/>
      <c r="AH109" s="13"/>
      <c r="AI109" s="13"/>
      <c r="DH109">
        <v>1.6191466929704497</v>
      </c>
      <c r="DI109">
        <v>36.7913556344716</v>
      </c>
    </row>
    <row r="110" spans="15:113" x14ac:dyDescent="0.2">
      <c r="O110" s="10"/>
      <c r="P110" s="10"/>
      <c r="AA110" s="88"/>
      <c r="AB110" s="83"/>
      <c r="AC110" s="88"/>
      <c r="AD110" s="83"/>
      <c r="AE110" s="88"/>
      <c r="AF110" s="13"/>
      <c r="AG110" s="8"/>
      <c r="AH110" s="13"/>
      <c r="AI110" s="13"/>
      <c r="DH110">
        <v>1.6019552674821222</v>
      </c>
      <c r="DI110">
        <v>37.777436960920802</v>
      </c>
    </row>
    <row r="111" spans="15:113" x14ac:dyDescent="0.2">
      <c r="O111" s="10"/>
      <c r="P111" s="10"/>
      <c r="AA111" s="88"/>
      <c r="AB111" s="83"/>
      <c r="AC111" s="88"/>
      <c r="AD111" s="83"/>
      <c r="AE111" s="88"/>
      <c r="AF111" s="13"/>
      <c r="AG111" s="8"/>
      <c r="AH111" s="13"/>
      <c r="AI111" s="13"/>
      <c r="DH111">
        <v>1.5648525995234264</v>
      </c>
    </row>
    <row r="112" spans="15:113" x14ac:dyDescent="0.2">
      <c r="O112" s="10"/>
      <c r="P112" s="10"/>
      <c r="AA112" s="88"/>
      <c r="AB112" s="83"/>
      <c r="AC112" s="88"/>
      <c r="AD112" s="83"/>
      <c r="AE112" s="88"/>
      <c r="AF112" s="13"/>
      <c r="AG112" s="8"/>
      <c r="AH112" s="13"/>
      <c r="AI112" s="13"/>
      <c r="DH112">
        <v>1.6037476056497983</v>
      </c>
      <c r="DI112">
        <v>42.663075859767801</v>
      </c>
    </row>
    <row r="113" spans="15:113" x14ac:dyDescent="0.2">
      <c r="O113" s="10"/>
      <c r="P113" s="10"/>
      <c r="AA113" s="88"/>
      <c r="AB113" s="83"/>
      <c r="AC113" s="88"/>
      <c r="AD113" s="83"/>
      <c r="AE113" s="88"/>
      <c r="AF113" s="13"/>
      <c r="AG113" s="8"/>
      <c r="AH113" s="13"/>
      <c r="AI113" s="13"/>
      <c r="DH113">
        <v>1.3850208001931632</v>
      </c>
      <c r="DI113">
        <v>36.496135248066693</v>
      </c>
    </row>
    <row r="114" spans="15:113" x14ac:dyDescent="0.2">
      <c r="O114" s="10"/>
      <c r="P114" s="10"/>
      <c r="AA114" s="88"/>
      <c r="AB114" s="83"/>
      <c r="AC114" s="88"/>
      <c r="AD114" s="83"/>
      <c r="AE114" s="88"/>
      <c r="AF114" s="13"/>
      <c r="AG114" s="8"/>
      <c r="AH114" s="13"/>
      <c r="AI114" s="13"/>
      <c r="DH114">
        <v>1.5341569475386778</v>
      </c>
      <c r="DI114">
        <v>36.069358974802498</v>
      </c>
    </row>
    <row r="115" spans="15:113" x14ac:dyDescent="0.2">
      <c r="O115" s="10"/>
      <c r="P115" s="10"/>
      <c r="AA115" s="88"/>
      <c r="AB115" s="83"/>
      <c r="AC115" s="88"/>
      <c r="AD115" s="83"/>
      <c r="AE115" s="88"/>
      <c r="AF115" s="13"/>
      <c r="AG115" s="8"/>
      <c r="AH115" s="13"/>
      <c r="AI115" s="13"/>
      <c r="DH115">
        <v>1.5541760981507056</v>
      </c>
      <c r="DI115">
        <v>40.743509193695402</v>
      </c>
    </row>
    <row r="116" spans="15:113" x14ac:dyDescent="0.2">
      <c r="O116" s="10"/>
      <c r="P116" s="10"/>
      <c r="AA116" s="88"/>
      <c r="AB116" s="83"/>
      <c r="AC116" s="88"/>
      <c r="AD116" s="83"/>
      <c r="AE116" s="88"/>
      <c r="AF116" s="13"/>
      <c r="AG116" s="8"/>
      <c r="AH116" s="13"/>
      <c r="AI116" s="13"/>
      <c r="DH116">
        <v>1.6102665905825742</v>
      </c>
      <c r="DI116">
        <v>46.575773040824998</v>
      </c>
    </row>
    <row r="117" spans="15:113" x14ac:dyDescent="0.2">
      <c r="O117" s="10"/>
      <c r="P117" s="10"/>
      <c r="AA117" s="88"/>
      <c r="AB117" s="83"/>
      <c r="AC117" s="88"/>
      <c r="AD117" s="83"/>
      <c r="AE117" s="88"/>
      <c r="AF117" s="13"/>
      <c r="AG117" s="8"/>
      <c r="AH117" s="13"/>
      <c r="AI117" s="13"/>
      <c r="DH117">
        <v>1.6313196655831845</v>
      </c>
      <c r="DI117">
        <v>40.408163265305902</v>
      </c>
    </row>
    <row r="118" spans="15:113" x14ac:dyDescent="0.2">
      <c r="O118" s="10"/>
      <c r="P118" s="10"/>
      <c r="AA118" s="88"/>
      <c r="AB118" s="83"/>
      <c r="AC118" s="88"/>
      <c r="AD118" s="83"/>
      <c r="AE118" s="88"/>
      <c r="AF118" s="13"/>
      <c r="AG118" s="8"/>
      <c r="AH118" s="13"/>
      <c r="AI118" s="13"/>
      <c r="DH118">
        <v>1.3502729168327627</v>
      </c>
      <c r="DI118">
        <v>33.712285247486335</v>
      </c>
    </row>
    <row r="119" spans="15:113" x14ac:dyDescent="0.2">
      <c r="O119" s="10"/>
      <c r="P119" s="10"/>
      <c r="AA119" s="88"/>
      <c r="AB119" s="83"/>
      <c r="AC119" s="88"/>
      <c r="AD119" s="83"/>
      <c r="AE119" s="88"/>
      <c r="AF119" s="13"/>
      <c r="AG119" s="8"/>
      <c r="AH119" s="13"/>
      <c r="AI119" s="13"/>
      <c r="DH119">
        <v>1.5547492319544176</v>
      </c>
      <c r="DI119">
        <v>31.084460669749404</v>
      </c>
    </row>
    <row r="120" spans="15:113" x14ac:dyDescent="0.2">
      <c r="O120" s="10"/>
      <c r="P120" s="10"/>
      <c r="AA120" s="88"/>
      <c r="AB120" s="83"/>
      <c r="AC120" s="88"/>
      <c r="AD120" s="83"/>
      <c r="AE120" s="88"/>
      <c r="AF120" s="13"/>
      <c r="AG120" s="8"/>
      <c r="AH120" s="13"/>
      <c r="AI120" s="13"/>
      <c r="DH120">
        <v>1.6971594209860337</v>
      </c>
      <c r="DI120">
        <v>37.6987990365336</v>
      </c>
    </row>
    <row r="121" spans="15:113" x14ac:dyDescent="0.2">
      <c r="O121" s="10"/>
      <c r="P121" s="10"/>
      <c r="AA121" s="88"/>
      <c r="AB121" s="83"/>
      <c r="AC121" s="88"/>
      <c r="AD121" s="83"/>
      <c r="AE121" s="88"/>
      <c r="AF121" s="13"/>
      <c r="AG121" s="8"/>
      <c r="AH121" s="13"/>
      <c r="AI121" s="13"/>
      <c r="DH121">
        <v>1.6296271907485738</v>
      </c>
      <c r="DI121">
        <v>43.538536766316703</v>
      </c>
    </row>
    <row r="122" spans="15:113" x14ac:dyDescent="0.2">
      <c r="O122" s="10"/>
      <c r="P122" s="10"/>
      <c r="AA122" s="88"/>
      <c r="AB122" s="83"/>
      <c r="AC122" s="88"/>
      <c r="AD122" s="83"/>
      <c r="AE122" s="88"/>
      <c r="AF122" s="13"/>
      <c r="AG122" s="8"/>
      <c r="AH122" s="13"/>
      <c r="AI122" s="13"/>
      <c r="DH122">
        <v>1.6937670787933878</v>
      </c>
      <c r="DI122">
        <v>39.4337960269308</v>
      </c>
    </row>
    <row r="123" spans="15:113" x14ac:dyDescent="0.2">
      <c r="O123" s="10"/>
      <c r="P123" s="10"/>
      <c r="AA123" s="88"/>
      <c r="AB123" s="83"/>
      <c r="AC123" s="88"/>
      <c r="AD123" s="83"/>
      <c r="AE123" s="88"/>
      <c r="AF123" s="13"/>
      <c r="AG123" s="8"/>
      <c r="AH123" s="13"/>
      <c r="AI123" s="13"/>
      <c r="DH123">
        <v>1.421024577106814</v>
      </c>
      <c r="DI123">
        <v>33.266038167739133</v>
      </c>
    </row>
    <row r="124" spans="15:113" x14ac:dyDescent="0.2">
      <c r="O124" s="10"/>
      <c r="P124" s="10"/>
      <c r="AA124" s="88"/>
      <c r="AB124" s="83"/>
      <c r="AC124" s="88"/>
      <c r="AD124" s="83"/>
      <c r="AE124" s="88"/>
      <c r="AF124" s="13"/>
      <c r="AG124" s="8"/>
      <c r="AH124" s="13"/>
      <c r="AI124" s="13"/>
      <c r="DH124">
        <v>1.5423627750622302</v>
      </c>
      <c r="DI124">
        <v>32.044021869276101</v>
      </c>
    </row>
    <row r="125" spans="15:113" x14ac:dyDescent="0.2">
      <c r="O125" s="10"/>
      <c r="P125" s="10"/>
      <c r="AA125" s="88"/>
      <c r="AB125" s="83"/>
      <c r="AC125" s="88"/>
      <c r="AD125" s="83"/>
      <c r="AE125" s="88"/>
      <c r="AF125" s="13"/>
      <c r="AG125" s="8"/>
      <c r="AH125" s="13"/>
      <c r="AI125" s="13"/>
      <c r="DH125">
        <v>1.5932625520597972</v>
      </c>
      <c r="DI125">
        <v>44.653748468110003</v>
      </c>
    </row>
    <row r="126" spans="15:113" x14ac:dyDescent="0.2">
      <c r="O126" s="10"/>
      <c r="P126" s="10"/>
      <c r="AA126" s="88"/>
      <c r="AB126" s="83"/>
      <c r="AC126" s="88"/>
      <c r="AD126" s="83"/>
      <c r="AE126" s="88"/>
      <c r="AF126" s="13"/>
      <c r="AG126" s="8"/>
      <c r="AH126" s="13"/>
      <c r="AI126" s="13"/>
      <c r="DH126">
        <v>1.6243051100792503</v>
      </c>
      <c r="DI126">
        <v>44.1100048443868</v>
      </c>
    </row>
    <row r="127" spans="15:113" x14ac:dyDescent="0.2">
      <c r="O127" s="10"/>
      <c r="P127" s="10"/>
      <c r="AA127" s="88"/>
      <c r="AB127" s="83"/>
      <c r="AC127" s="88"/>
      <c r="AD127" s="83"/>
      <c r="AE127" s="88"/>
      <c r="AF127" s="13"/>
      <c r="AG127" s="8"/>
      <c r="AH127" s="13"/>
      <c r="AI127" s="13"/>
      <c r="DH127">
        <v>1.6038992667397254</v>
      </c>
      <c r="DI127">
        <v>44.693108949510503</v>
      </c>
    </row>
    <row r="128" spans="15:113" x14ac:dyDescent="0.2">
      <c r="O128" s="10"/>
      <c r="P128" s="10"/>
      <c r="AA128" s="88"/>
      <c r="AB128" s="83"/>
      <c r="AC128" s="88"/>
      <c r="AD128" s="83"/>
      <c r="AE128" s="88"/>
      <c r="AF128" s="13"/>
      <c r="AG128" s="8"/>
      <c r="AH128" s="13"/>
      <c r="AI128" s="13"/>
    </row>
    <row r="129" spans="15:35" x14ac:dyDescent="0.2">
      <c r="O129" s="10"/>
      <c r="P129" s="10"/>
      <c r="AA129" s="88"/>
      <c r="AB129" s="83"/>
      <c r="AC129" s="88"/>
      <c r="AD129" s="83"/>
      <c r="AE129" s="88"/>
      <c r="AF129" s="13"/>
      <c r="AG129" s="8"/>
      <c r="AH129" s="13"/>
      <c r="AI129" s="13"/>
    </row>
    <row r="130" spans="15:35" x14ac:dyDescent="0.2">
      <c r="O130" s="10"/>
      <c r="P130" s="10"/>
      <c r="AA130" s="88"/>
      <c r="AB130" s="83"/>
      <c r="AC130" s="88"/>
      <c r="AD130" s="83"/>
      <c r="AE130" s="88"/>
      <c r="AF130" s="13"/>
      <c r="AG130" s="8"/>
      <c r="AH130" s="13"/>
      <c r="AI130" s="13"/>
    </row>
  </sheetData>
  <mergeCells count="8">
    <mergeCell ref="FJ18:FW18"/>
    <mergeCell ref="AA3:AI3"/>
    <mergeCell ref="J3:L3"/>
    <mergeCell ref="M3:N3"/>
    <mergeCell ref="O3:P3"/>
    <mergeCell ref="AL3:BA3"/>
    <mergeCell ref="BB3:BD3"/>
    <mergeCell ref="BE3:BI3"/>
  </mergeCells>
  <conditionalFormatting sqref="V5:V64">
    <cfRule type="cellIs" dxfId="6" priority="6" operator="lessThan">
      <formula>$V$69</formula>
    </cfRule>
    <cfRule type="cellIs" dxfId="5" priority="7" operator="greaterThan">
      <formula>$V$68</formula>
    </cfRule>
  </conditionalFormatting>
  <conditionalFormatting sqref="W5:W64">
    <cfRule type="cellIs" dxfId="4" priority="4" operator="lessThan">
      <formula>$W$69</formula>
    </cfRule>
    <cfRule type="cellIs" dxfId="3" priority="5" operator="greaterThan">
      <formula>$W$68</formula>
    </cfRule>
  </conditionalFormatting>
  <conditionalFormatting sqref="X5:X64">
    <cfRule type="cellIs" dxfId="2" priority="2" operator="lessThan">
      <formula>$X$69</formula>
    </cfRule>
    <cfRule type="cellIs" dxfId="1" priority="3" operator="greaterThan">
      <formula>$X$68</formula>
    </cfRule>
  </conditionalFormatting>
  <conditionalFormatting sqref="V5:X64">
    <cfRule type="cellIs" dxfId="0" priority="1" operator="equal">
      <formula>$V$39</formula>
    </cfRule>
  </conditionalFormatting>
  <pageMargins left="0.7" right="0.7" top="0.75" bottom="0.75" header="0.3" footer="0.3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5:S62"/>
  <sheetViews>
    <sheetView topLeftCell="B1" workbookViewId="0">
      <selection activeCell="G39" sqref="G39"/>
    </sheetView>
  </sheetViews>
  <sheetFormatPr defaultRowHeight="12.75" x14ac:dyDescent="0.2"/>
  <cols>
    <col min="4" max="4" width="12.7109375" customWidth="1"/>
    <col min="5" max="5" width="16.28515625" customWidth="1"/>
  </cols>
  <sheetData>
    <row r="5" spans="1:18" x14ac:dyDescent="0.2">
      <c r="A5" t="s">
        <v>65</v>
      </c>
      <c r="B5" t="s">
        <v>3</v>
      </c>
      <c r="C5" t="s">
        <v>1</v>
      </c>
      <c r="E5" t="s">
        <v>68</v>
      </c>
      <c r="F5" t="s">
        <v>66</v>
      </c>
      <c r="G5" t="s">
        <v>67</v>
      </c>
    </row>
    <row r="6" spans="1:18" x14ac:dyDescent="0.2">
      <c r="A6">
        <v>2012</v>
      </c>
      <c r="B6" t="s">
        <v>41</v>
      </c>
      <c r="C6">
        <v>1</v>
      </c>
      <c r="E6" s="10">
        <v>1585.8855000000001</v>
      </c>
    </row>
    <row r="7" spans="1:18" x14ac:dyDescent="0.2">
      <c r="A7">
        <v>2012</v>
      </c>
      <c r="B7" t="s">
        <v>41</v>
      </c>
      <c r="C7">
        <v>2</v>
      </c>
      <c r="E7" s="10">
        <v>2243.8830000000003</v>
      </c>
    </row>
    <row r="8" spans="1:18" x14ac:dyDescent="0.2">
      <c r="A8">
        <v>2012</v>
      </c>
      <c r="B8" t="s">
        <v>41</v>
      </c>
      <c r="C8">
        <v>3</v>
      </c>
      <c r="E8" s="10">
        <v>1630.4955000000002</v>
      </c>
    </row>
    <row r="9" spans="1:18" x14ac:dyDescent="0.2">
      <c r="A9">
        <v>2012</v>
      </c>
      <c r="B9" t="s">
        <v>41</v>
      </c>
      <c r="C9">
        <v>4</v>
      </c>
      <c r="E9" s="10">
        <v>2040.9075</v>
      </c>
    </row>
    <row r="10" spans="1:18" x14ac:dyDescent="0.2">
      <c r="A10">
        <v>2012</v>
      </c>
      <c r="B10" t="s">
        <v>41</v>
      </c>
      <c r="C10">
        <v>5</v>
      </c>
      <c r="E10" s="10">
        <v>1889.2334999999998</v>
      </c>
    </row>
    <row r="11" spans="1:18" x14ac:dyDescent="0.2">
      <c r="A11">
        <v>2012</v>
      </c>
      <c r="B11" t="s">
        <v>41</v>
      </c>
      <c r="C11">
        <v>6</v>
      </c>
      <c r="E11" s="10">
        <v>1766.556</v>
      </c>
    </row>
    <row r="12" spans="1:18" x14ac:dyDescent="0.2">
      <c r="A12">
        <v>2012</v>
      </c>
      <c r="B12" t="s">
        <v>41</v>
      </c>
      <c r="C12">
        <v>7</v>
      </c>
      <c r="E12" s="10">
        <v>1485.5130000000001</v>
      </c>
    </row>
    <row r="13" spans="1:18" x14ac:dyDescent="0.2">
      <c r="A13">
        <v>2012</v>
      </c>
      <c r="B13" t="s">
        <v>41</v>
      </c>
      <c r="C13">
        <v>8</v>
      </c>
      <c r="E13" s="10">
        <v>1626.0345000000002</v>
      </c>
    </row>
    <row r="14" spans="1:18" x14ac:dyDescent="0.2">
      <c r="A14">
        <v>2012</v>
      </c>
      <c r="B14" t="s">
        <v>41</v>
      </c>
      <c r="C14">
        <v>9</v>
      </c>
      <c r="E14" s="10">
        <v>1922.691</v>
      </c>
    </row>
    <row r="15" spans="1:18" x14ac:dyDescent="0.2">
      <c r="A15">
        <v>2012</v>
      </c>
      <c r="B15" t="s">
        <v>41</v>
      </c>
      <c r="C15">
        <v>10</v>
      </c>
      <c r="E15" s="10">
        <v>1849.0845000000002</v>
      </c>
    </row>
    <row r="16" spans="1:18" x14ac:dyDescent="0.2">
      <c r="A16">
        <v>2012</v>
      </c>
      <c r="B16" t="s">
        <v>41</v>
      </c>
      <c r="C16">
        <v>11</v>
      </c>
      <c r="E16" s="10">
        <v>1744.2510000000002</v>
      </c>
      <c r="O16" s="59">
        <v>41431</v>
      </c>
      <c r="P16" s="59">
        <v>41440</v>
      </c>
      <c r="Q16" s="59">
        <v>41452</v>
      </c>
      <c r="R16" s="59">
        <v>41464</v>
      </c>
    </row>
    <row r="17" spans="1:19" x14ac:dyDescent="0.2">
      <c r="A17">
        <v>2012</v>
      </c>
      <c r="B17" t="s">
        <v>41</v>
      </c>
      <c r="C17">
        <v>12</v>
      </c>
      <c r="E17" s="10">
        <v>1786.6305</v>
      </c>
      <c r="L17">
        <v>86.611488947368414</v>
      </c>
      <c r="M17">
        <v>4447.6170000000002</v>
      </c>
      <c r="N17">
        <v>86.611488947368414</v>
      </c>
      <c r="O17" s="10">
        <v>0.50409999999999999</v>
      </c>
      <c r="P17" s="10">
        <v>0.43669999999999998</v>
      </c>
      <c r="Q17" s="10">
        <v>0.36780000000000002</v>
      </c>
      <c r="R17" s="10">
        <v>0.11459999999999999</v>
      </c>
    </row>
    <row r="18" spans="1:19" x14ac:dyDescent="0.2">
      <c r="A18">
        <v>2013</v>
      </c>
      <c r="B18" t="s">
        <v>0</v>
      </c>
      <c r="C18">
        <v>1</v>
      </c>
      <c r="E18" s="10">
        <v>4447.6170000000002</v>
      </c>
      <c r="F18" s="10">
        <v>11.1</v>
      </c>
      <c r="G18" s="10">
        <v>1.9473684210526314</v>
      </c>
      <c r="L18">
        <v>101.61688421052631</v>
      </c>
      <c r="M18">
        <v>6033.5025000000005</v>
      </c>
      <c r="N18">
        <v>101.61688421052631</v>
      </c>
      <c r="O18" s="10">
        <v>0.51870000000000005</v>
      </c>
      <c r="P18" s="10">
        <v>0.49609999999999999</v>
      </c>
      <c r="Q18" s="10">
        <v>0.45860000000000001</v>
      </c>
      <c r="R18" s="10">
        <v>0.13039999999999999</v>
      </c>
    </row>
    <row r="19" spans="1:19" x14ac:dyDescent="0.2">
      <c r="A19">
        <v>2013</v>
      </c>
      <c r="B19" t="s">
        <v>0</v>
      </c>
      <c r="C19">
        <v>2</v>
      </c>
      <c r="E19" s="10">
        <v>6033.5025000000005</v>
      </c>
      <c r="F19" s="10">
        <v>9.6</v>
      </c>
      <c r="G19" s="10">
        <v>1.6842105263157894</v>
      </c>
      <c r="L19">
        <v>57.637293947368427</v>
      </c>
      <c r="M19">
        <v>3776.2365000000004</v>
      </c>
      <c r="N19">
        <v>57.637293947368427</v>
      </c>
      <c r="O19" s="10">
        <v>0.502</v>
      </c>
      <c r="P19" s="10">
        <v>0.4219</v>
      </c>
      <c r="Q19" s="10">
        <v>0.40229999999999999</v>
      </c>
      <c r="R19" s="10">
        <v>8.1100000000000005E-2</v>
      </c>
    </row>
    <row r="20" spans="1:19" x14ac:dyDescent="0.2">
      <c r="A20">
        <v>2013</v>
      </c>
      <c r="B20" t="s">
        <v>0</v>
      </c>
      <c r="C20">
        <v>3</v>
      </c>
      <c r="E20" s="10">
        <v>3776.2365000000004</v>
      </c>
      <c r="F20" s="10">
        <v>8.6999999999999993</v>
      </c>
      <c r="G20" s="10">
        <v>1.5263157894736841</v>
      </c>
      <c r="L20">
        <v>97.137883684210536</v>
      </c>
      <c r="M20">
        <v>5649.8565000000008</v>
      </c>
      <c r="N20">
        <v>97.137883684210536</v>
      </c>
      <c r="O20" s="10">
        <v>0.54020000000000001</v>
      </c>
      <c r="P20" s="10">
        <v>0.49819999999999998</v>
      </c>
      <c r="Q20" s="10">
        <v>0.43169999999999997</v>
      </c>
      <c r="R20" s="10">
        <v>0.1399</v>
      </c>
    </row>
    <row r="21" spans="1:19" x14ac:dyDescent="0.2">
      <c r="A21">
        <v>2013</v>
      </c>
      <c r="B21" t="s">
        <v>0</v>
      </c>
      <c r="C21">
        <v>4</v>
      </c>
      <c r="E21" s="10">
        <v>5649.8565000000008</v>
      </c>
      <c r="F21" s="10">
        <v>9.8000000000000007</v>
      </c>
      <c r="G21" s="10">
        <v>1.7192982456140349</v>
      </c>
      <c r="L21">
        <v>75.862044210526335</v>
      </c>
      <c r="M21">
        <v>4913.7915000000003</v>
      </c>
      <c r="N21">
        <v>75.862044210526335</v>
      </c>
      <c r="O21" s="10">
        <v>0.5484</v>
      </c>
      <c r="P21" s="10">
        <v>0.48509999999999998</v>
      </c>
      <c r="Q21" s="10">
        <v>0.3977</v>
      </c>
      <c r="R21" s="10">
        <v>9.0899999999999995E-2</v>
      </c>
    </row>
    <row r="22" spans="1:19" x14ac:dyDescent="0.2">
      <c r="A22">
        <v>2013</v>
      </c>
      <c r="B22" t="s">
        <v>0</v>
      </c>
      <c r="C22">
        <v>5</v>
      </c>
      <c r="E22" s="10">
        <v>4913.7915000000003</v>
      </c>
      <c r="F22" s="10">
        <v>8.8000000000000007</v>
      </c>
      <c r="G22" s="10">
        <v>1.5438596491228072</v>
      </c>
      <c r="L22">
        <v>78.265114473684207</v>
      </c>
      <c r="M22">
        <v>5248.3665000000001</v>
      </c>
      <c r="N22">
        <v>78.265114473684207</v>
      </c>
      <c r="O22" s="10">
        <v>0.54169999999999996</v>
      </c>
      <c r="P22" s="10">
        <v>0.45250000000000001</v>
      </c>
      <c r="Q22" s="10">
        <v>0.38919999999999999</v>
      </c>
      <c r="R22" s="10">
        <v>7.85E-2</v>
      </c>
    </row>
    <row r="23" spans="1:19" x14ac:dyDescent="0.2">
      <c r="A23">
        <v>2013</v>
      </c>
      <c r="B23" t="s">
        <v>0</v>
      </c>
      <c r="C23">
        <v>6</v>
      </c>
      <c r="E23" s="10">
        <v>5248.3665000000001</v>
      </c>
      <c r="F23" s="10">
        <v>8.5</v>
      </c>
      <c r="G23" s="10">
        <v>1.4912280701754386</v>
      </c>
      <c r="L23">
        <v>77.386610526315792</v>
      </c>
      <c r="M23">
        <v>4282.5600000000004</v>
      </c>
      <c r="N23">
        <v>77.386610526315792</v>
      </c>
      <c r="O23" s="10">
        <v>0.498</v>
      </c>
      <c r="P23" s="10">
        <v>0.3725</v>
      </c>
      <c r="Q23" s="10">
        <v>0.32050000000000001</v>
      </c>
      <c r="R23" s="10">
        <v>8.2500000000000004E-2</v>
      </c>
    </row>
    <row r="24" spans="1:19" x14ac:dyDescent="0.2">
      <c r="A24">
        <v>2013</v>
      </c>
      <c r="B24" t="s">
        <v>0</v>
      </c>
      <c r="C24">
        <v>7</v>
      </c>
      <c r="E24" s="10">
        <v>4282.5600000000004</v>
      </c>
      <c r="F24" s="10">
        <v>10.3</v>
      </c>
      <c r="G24" s="10">
        <v>1.8070175438596492</v>
      </c>
      <c r="L24">
        <v>99.841093157894719</v>
      </c>
      <c r="M24">
        <v>5368.8135000000002</v>
      </c>
      <c r="N24">
        <v>99.841093157894719</v>
      </c>
      <c r="O24" s="10">
        <v>0.54510000000000003</v>
      </c>
      <c r="P24" s="10">
        <v>0.48089999999999999</v>
      </c>
      <c r="Q24" s="10">
        <v>0.41820000000000002</v>
      </c>
      <c r="R24" s="10">
        <v>0.12770000000000001</v>
      </c>
    </row>
    <row r="25" spans="1:19" x14ac:dyDescent="0.2">
      <c r="A25">
        <v>2013</v>
      </c>
      <c r="B25" t="s">
        <v>0</v>
      </c>
      <c r="C25">
        <v>8</v>
      </c>
      <c r="E25" s="10">
        <v>5368.8135000000002</v>
      </c>
      <c r="F25" s="10">
        <v>10.6</v>
      </c>
      <c r="G25" s="10">
        <v>1.8596491228070176</v>
      </c>
      <c r="L25">
        <v>85.951730526315799</v>
      </c>
      <c r="M25">
        <v>5567.3280000000004</v>
      </c>
      <c r="N25">
        <v>85.951730526315799</v>
      </c>
      <c r="O25" s="10">
        <v>0.55200000000000005</v>
      </c>
      <c r="P25" s="10">
        <v>0.47170000000000001</v>
      </c>
      <c r="Q25" s="10">
        <v>0.40570000000000001</v>
      </c>
      <c r="R25" s="10">
        <v>9.3600000000000003E-2</v>
      </c>
    </row>
    <row r="26" spans="1:19" x14ac:dyDescent="0.2">
      <c r="A26">
        <v>2013</v>
      </c>
      <c r="B26" t="s">
        <v>0</v>
      </c>
      <c r="C26">
        <v>9</v>
      </c>
      <c r="E26" s="10">
        <v>5567.3280000000004</v>
      </c>
      <c r="F26" s="10">
        <v>8.8000000000000007</v>
      </c>
      <c r="G26" s="10">
        <v>1.5438596491228072</v>
      </c>
      <c r="L26">
        <v>105.94875</v>
      </c>
      <c r="M26">
        <v>6356.9250000000002</v>
      </c>
      <c r="N26" t="e">
        <f>NA()</f>
        <v>#N/A</v>
      </c>
      <c r="O26" s="10">
        <v>0.54259999999999997</v>
      </c>
      <c r="P26" s="10">
        <v>0.4491</v>
      </c>
      <c r="Q26" s="10">
        <v>0.38290000000000002</v>
      </c>
      <c r="R26" s="10">
        <v>7.2499999999999995E-2</v>
      </c>
    </row>
    <row r="27" spans="1:19" x14ac:dyDescent="0.2">
      <c r="A27">
        <v>2013</v>
      </c>
      <c r="B27" t="s">
        <v>0</v>
      </c>
      <c r="C27">
        <v>10</v>
      </c>
      <c r="E27" s="10">
        <v>6356.9250000000002</v>
      </c>
      <c r="F27" s="10">
        <v>9.5</v>
      </c>
      <c r="G27" s="10">
        <v>1.6666666666666665</v>
      </c>
      <c r="L27">
        <v>67.093831315789473</v>
      </c>
      <c r="M27">
        <v>3508.5765000000001</v>
      </c>
      <c r="N27">
        <v>67.093831315789473</v>
      </c>
      <c r="O27" s="10">
        <v>0.54790000000000005</v>
      </c>
      <c r="P27" s="10">
        <v>0.48699999999999999</v>
      </c>
      <c r="Q27" s="10">
        <v>0.39660000000000001</v>
      </c>
      <c r="R27" s="10">
        <v>9.0899999999999995E-2</v>
      </c>
    </row>
    <row r="28" spans="1:19" x14ac:dyDescent="0.2">
      <c r="A28">
        <v>2013</v>
      </c>
      <c r="B28" t="s">
        <v>0</v>
      </c>
      <c r="C28">
        <v>11</v>
      </c>
      <c r="E28" s="10">
        <v>3508.5765000000001</v>
      </c>
      <c r="F28" s="10">
        <v>10.9</v>
      </c>
      <c r="G28" s="10">
        <v>1.9122807017543859</v>
      </c>
      <c r="L28">
        <v>87.742000263157891</v>
      </c>
      <c r="M28">
        <v>5377.7355000000007</v>
      </c>
      <c r="N28">
        <v>87.742000263157891</v>
      </c>
      <c r="O28" s="10">
        <v>0.5111</v>
      </c>
      <c r="P28" s="10">
        <v>0.40739999999999998</v>
      </c>
      <c r="Q28" s="10">
        <v>0.37109999999999999</v>
      </c>
      <c r="R28" s="10">
        <v>0.1135</v>
      </c>
    </row>
    <row r="29" spans="1:19" x14ac:dyDescent="0.2">
      <c r="A29">
        <v>2013</v>
      </c>
      <c r="B29" t="s">
        <v>0</v>
      </c>
      <c r="C29">
        <v>12</v>
      </c>
      <c r="E29" s="10">
        <v>5377.7355000000007</v>
      </c>
      <c r="F29" s="10">
        <v>9.3000000000000007</v>
      </c>
      <c r="G29" s="10">
        <v>1.6315789473684208</v>
      </c>
      <c r="O29" t="e">
        <f>CORREL($N$17:$N$28,O17:O28)</f>
        <v>#N/A</v>
      </c>
      <c r="P29" t="e">
        <f t="shared" ref="P29:R29" si="0">CORREL($N$17:$N$28,P17:P28)</f>
        <v>#N/A</v>
      </c>
      <c r="Q29" t="e">
        <f t="shared" si="0"/>
        <v>#N/A</v>
      </c>
      <c r="R29" t="e">
        <f t="shared" si="0"/>
        <v>#N/A</v>
      </c>
    </row>
    <row r="30" spans="1:19" x14ac:dyDescent="0.2">
      <c r="A30">
        <v>2014</v>
      </c>
      <c r="B30" t="s">
        <v>191</v>
      </c>
      <c r="C30">
        <v>1</v>
      </c>
      <c r="D30" t="s">
        <v>192</v>
      </c>
      <c r="E30" s="10">
        <v>2958.3121500000002</v>
      </c>
      <c r="Q30" t="e">
        <f>Q29^2</f>
        <v>#N/A</v>
      </c>
    </row>
    <row r="31" spans="1:19" x14ac:dyDescent="0.2">
      <c r="A31">
        <v>2014</v>
      </c>
      <c r="B31" t="s">
        <v>191</v>
      </c>
      <c r="C31">
        <v>2</v>
      </c>
      <c r="D31" t="s">
        <v>192</v>
      </c>
      <c r="E31" s="10">
        <v>2817.1215000000002</v>
      </c>
      <c r="P31" s="9"/>
      <c r="Q31" s="9"/>
      <c r="R31" s="9"/>
      <c r="S31" s="9"/>
    </row>
    <row r="32" spans="1:19" x14ac:dyDescent="0.2">
      <c r="A32">
        <v>2014</v>
      </c>
      <c r="B32" t="s">
        <v>191</v>
      </c>
      <c r="C32">
        <v>3</v>
      </c>
      <c r="D32" t="s">
        <v>192</v>
      </c>
      <c r="E32" s="10">
        <v>2259.0504000000001</v>
      </c>
      <c r="H32" s="9"/>
      <c r="I32" s="9"/>
      <c r="J32" s="9"/>
      <c r="K32" s="9"/>
      <c r="P32" s="9"/>
      <c r="Q32" s="9"/>
      <c r="R32" s="9"/>
      <c r="S32" s="9"/>
    </row>
    <row r="33" spans="1:19" x14ac:dyDescent="0.2">
      <c r="A33">
        <v>2014</v>
      </c>
      <c r="B33" t="s">
        <v>191</v>
      </c>
      <c r="C33">
        <v>4</v>
      </c>
      <c r="D33" t="s">
        <v>192</v>
      </c>
      <c r="E33" s="10">
        <v>2911.9177500000001</v>
      </c>
      <c r="H33" s="27"/>
      <c r="I33" s="27"/>
      <c r="J33" s="27"/>
      <c r="K33" s="27"/>
      <c r="P33" s="28"/>
      <c r="Q33" s="28"/>
      <c r="R33" s="28"/>
      <c r="S33" s="28"/>
    </row>
    <row r="34" spans="1:19" x14ac:dyDescent="0.2">
      <c r="A34">
        <v>2014</v>
      </c>
      <c r="B34" t="s">
        <v>191</v>
      </c>
      <c r="C34">
        <v>5</v>
      </c>
      <c r="D34" t="s">
        <v>192</v>
      </c>
      <c r="E34" s="10">
        <v>2317.9356000000002</v>
      </c>
      <c r="H34" s="27"/>
      <c r="I34" s="27"/>
      <c r="J34" s="27"/>
      <c r="K34" s="27"/>
      <c r="P34" s="28"/>
      <c r="Q34" s="28"/>
      <c r="R34" s="28"/>
      <c r="S34" s="28"/>
    </row>
    <row r="35" spans="1:19" x14ac:dyDescent="0.2">
      <c r="A35">
        <v>2014</v>
      </c>
      <c r="B35" t="s">
        <v>191</v>
      </c>
      <c r="C35">
        <v>6</v>
      </c>
      <c r="D35" t="s">
        <v>192</v>
      </c>
      <c r="E35" s="10">
        <v>2268.8646000000003</v>
      </c>
      <c r="H35" s="27"/>
      <c r="I35" s="27"/>
      <c r="J35" s="27"/>
      <c r="K35" s="27"/>
      <c r="P35" s="28"/>
      <c r="Q35" s="28"/>
      <c r="R35" s="28"/>
      <c r="S35" s="28"/>
    </row>
    <row r="36" spans="1:19" x14ac:dyDescent="0.2">
      <c r="A36">
        <v>2014</v>
      </c>
      <c r="B36" t="s">
        <v>191</v>
      </c>
      <c r="C36">
        <v>7</v>
      </c>
      <c r="D36" t="s">
        <v>192</v>
      </c>
      <c r="E36" s="10">
        <v>1908.6388500000003</v>
      </c>
      <c r="H36" s="27"/>
      <c r="I36" s="27"/>
      <c r="J36" s="27"/>
      <c r="K36" s="27"/>
      <c r="P36" s="28"/>
      <c r="Q36" s="28"/>
      <c r="R36" s="28"/>
      <c r="S36" s="28"/>
    </row>
    <row r="37" spans="1:19" x14ac:dyDescent="0.2">
      <c r="A37">
        <v>2014</v>
      </c>
      <c r="B37" t="s">
        <v>191</v>
      </c>
      <c r="C37">
        <v>8</v>
      </c>
      <c r="D37" t="s">
        <v>192</v>
      </c>
      <c r="E37" s="10">
        <v>2466.2638500000003</v>
      </c>
      <c r="H37" s="27"/>
      <c r="I37" s="27"/>
      <c r="J37" s="27"/>
      <c r="K37" s="27"/>
      <c r="P37" s="28"/>
      <c r="Q37" s="28"/>
      <c r="R37" s="28"/>
      <c r="S37" s="28"/>
    </row>
    <row r="38" spans="1:19" x14ac:dyDescent="0.2">
      <c r="A38">
        <v>2014</v>
      </c>
      <c r="B38" t="s">
        <v>191</v>
      </c>
      <c r="C38">
        <v>9</v>
      </c>
      <c r="D38" t="s">
        <v>192</v>
      </c>
      <c r="E38" s="10">
        <v>2799.9466499999999</v>
      </c>
      <c r="H38" s="27"/>
      <c r="I38" s="27"/>
      <c r="J38" s="27"/>
      <c r="K38" s="27"/>
      <c r="P38" s="28"/>
      <c r="Q38" s="28"/>
      <c r="R38" s="28"/>
      <c r="S38" s="28"/>
    </row>
    <row r="39" spans="1:19" x14ac:dyDescent="0.2">
      <c r="A39">
        <v>2014</v>
      </c>
      <c r="B39" t="s">
        <v>191</v>
      </c>
      <c r="C39">
        <v>10</v>
      </c>
      <c r="D39" t="s">
        <v>192</v>
      </c>
      <c r="E39" s="10">
        <v>2329.31115</v>
      </c>
      <c r="H39" s="27"/>
      <c r="I39" s="27"/>
      <c r="J39" s="27"/>
      <c r="K39" s="27"/>
      <c r="P39" s="28"/>
      <c r="Q39" s="28"/>
      <c r="R39" s="28"/>
      <c r="S39" s="28"/>
    </row>
    <row r="40" spans="1:19" x14ac:dyDescent="0.2">
      <c r="A40">
        <v>2014</v>
      </c>
      <c r="B40" t="s">
        <v>191</v>
      </c>
      <c r="C40">
        <v>11</v>
      </c>
      <c r="D40" t="s">
        <v>192</v>
      </c>
      <c r="E40" s="10">
        <v>2431.2450000000003</v>
      </c>
      <c r="H40" s="27"/>
      <c r="I40" s="27"/>
      <c r="J40" s="27"/>
      <c r="K40" s="27"/>
      <c r="P40" s="28"/>
      <c r="Q40" s="28"/>
      <c r="R40" s="28"/>
      <c r="S40" s="28"/>
    </row>
    <row r="41" spans="1:19" x14ac:dyDescent="0.2">
      <c r="A41">
        <v>2014</v>
      </c>
      <c r="B41" t="s">
        <v>191</v>
      </c>
      <c r="C41">
        <v>12</v>
      </c>
      <c r="D41" t="s">
        <v>192</v>
      </c>
      <c r="E41" s="10">
        <v>2280.6862500000002</v>
      </c>
      <c r="H41" s="27"/>
      <c r="I41" s="27"/>
      <c r="J41" s="27"/>
      <c r="K41" s="27"/>
      <c r="P41" s="28"/>
      <c r="Q41" s="28"/>
      <c r="R41" s="28"/>
      <c r="S41" s="28"/>
    </row>
    <row r="42" spans="1:19" x14ac:dyDescent="0.2">
      <c r="A42">
        <v>2014</v>
      </c>
      <c r="B42" t="s">
        <v>191</v>
      </c>
      <c r="C42">
        <v>1</v>
      </c>
      <c r="D42" t="s">
        <v>193</v>
      </c>
      <c r="E42" s="10">
        <v>2141.9491499999999</v>
      </c>
      <c r="H42" s="27"/>
      <c r="I42" s="27"/>
      <c r="J42" s="27"/>
      <c r="K42" s="27"/>
      <c r="P42" s="28"/>
      <c r="Q42" s="28"/>
      <c r="R42" s="28"/>
      <c r="S42" s="28"/>
    </row>
    <row r="43" spans="1:19" x14ac:dyDescent="0.2">
      <c r="A43">
        <v>2014</v>
      </c>
      <c r="B43" t="s">
        <v>191</v>
      </c>
      <c r="C43">
        <v>2</v>
      </c>
      <c r="D43" t="s">
        <v>193</v>
      </c>
      <c r="E43" s="10">
        <v>2373.47505</v>
      </c>
      <c r="H43" s="27"/>
      <c r="I43" s="27"/>
      <c r="J43" s="27"/>
      <c r="K43" s="27"/>
      <c r="P43" s="28"/>
      <c r="Q43" s="28"/>
      <c r="R43" s="28"/>
      <c r="S43" s="28"/>
    </row>
    <row r="44" spans="1:19" x14ac:dyDescent="0.2">
      <c r="A44">
        <v>2014</v>
      </c>
      <c r="B44" t="s">
        <v>191</v>
      </c>
      <c r="C44">
        <v>3</v>
      </c>
      <c r="D44" t="s">
        <v>193</v>
      </c>
      <c r="E44" s="10">
        <v>1896.5941500000001</v>
      </c>
      <c r="H44" s="27"/>
      <c r="I44" s="27"/>
      <c r="J44" s="27"/>
      <c r="K44" s="27"/>
      <c r="P44" s="28"/>
      <c r="Q44" s="28"/>
      <c r="R44" s="28"/>
      <c r="S44" s="28"/>
    </row>
    <row r="45" spans="1:19" x14ac:dyDescent="0.2">
      <c r="A45">
        <v>2014</v>
      </c>
      <c r="B45" t="s">
        <v>191</v>
      </c>
      <c r="C45">
        <v>4</v>
      </c>
      <c r="D45" t="s">
        <v>193</v>
      </c>
      <c r="E45" s="10">
        <v>2817.5676000000003</v>
      </c>
    </row>
    <row r="46" spans="1:19" x14ac:dyDescent="0.2">
      <c r="A46">
        <v>2014</v>
      </c>
      <c r="B46" t="s">
        <v>191</v>
      </c>
      <c r="C46">
        <v>5</v>
      </c>
      <c r="D46" t="s">
        <v>193</v>
      </c>
      <c r="E46" s="10">
        <v>1972.2081000000003</v>
      </c>
    </row>
    <row r="47" spans="1:19" x14ac:dyDescent="0.2">
      <c r="A47">
        <v>2014</v>
      </c>
      <c r="B47" t="s">
        <v>191</v>
      </c>
      <c r="C47">
        <v>6</v>
      </c>
      <c r="D47" t="s">
        <v>193</v>
      </c>
      <c r="E47" s="10">
        <v>2210.8716000000004</v>
      </c>
    </row>
    <row r="48" spans="1:19" x14ac:dyDescent="0.2">
      <c r="A48">
        <v>2014</v>
      </c>
      <c r="B48" t="s">
        <v>191</v>
      </c>
      <c r="C48">
        <v>7</v>
      </c>
      <c r="D48" t="s">
        <v>193</v>
      </c>
      <c r="E48" s="10">
        <v>1776.14715</v>
      </c>
    </row>
    <row r="49" spans="1:16" x14ac:dyDescent="0.2">
      <c r="A49">
        <v>2014</v>
      </c>
      <c r="B49" t="s">
        <v>191</v>
      </c>
      <c r="C49">
        <v>8</v>
      </c>
      <c r="D49" t="s">
        <v>193</v>
      </c>
      <c r="E49" s="10">
        <v>2380.8357000000005</v>
      </c>
    </row>
    <row r="50" spans="1:16" x14ac:dyDescent="0.2">
      <c r="A50">
        <v>2014</v>
      </c>
      <c r="B50" t="s">
        <v>191</v>
      </c>
      <c r="C50">
        <v>9</v>
      </c>
      <c r="D50" t="s">
        <v>193</v>
      </c>
      <c r="E50" s="10">
        <v>2006.7808500000003</v>
      </c>
      <c r="H50" s="29"/>
      <c r="I50" s="29"/>
      <c r="J50" s="29"/>
      <c r="N50" s="29"/>
      <c r="O50" s="29"/>
      <c r="P50" s="29"/>
    </row>
    <row r="51" spans="1:16" x14ac:dyDescent="0.2">
      <c r="A51">
        <v>2014</v>
      </c>
      <c r="B51" t="s">
        <v>191</v>
      </c>
      <c r="C51">
        <v>10</v>
      </c>
      <c r="D51" t="s">
        <v>193</v>
      </c>
      <c r="E51" s="10">
        <v>2156.4474</v>
      </c>
      <c r="H51" s="28"/>
      <c r="I51" s="28"/>
      <c r="J51" s="28"/>
      <c r="N51" s="28"/>
      <c r="O51" s="28"/>
      <c r="P51" s="28"/>
    </row>
    <row r="52" spans="1:16" x14ac:dyDescent="0.2">
      <c r="A52">
        <v>2014</v>
      </c>
      <c r="B52" t="s">
        <v>191</v>
      </c>
      <c r="C52">
        <v>11</v>
      </c>
      <c r="D52" t="s">
        <v>193</v>
      </c>
      <c r="E52" s="10">
        <v>2480.98515</v>
      </c>
      <c r="H52" s="28"/>
      <c r="I52" s="28"/>
      <c r="J52" s="28"/>
      <c r="N52" s="28"/>
      <c r="O52" s="28"/>
      <c r="P52" s="28"/>
    </row>
    <row r="53" spans="1:16" x14ac:dyDescent="0.2">
      <c r="A53">
        <v>2014</v>
      </c>
      <c r="B53" t="s">
        <v>191</v>
      </c>
      <c r="C53">
        <v>12</v>
      </c>
      <c r="D53" t="s">
        <v>193</v>
      </c>
      <c r="E53" s="10">
        <v>2103.8076000000001</v>
      </c>
      <c r="H53" s="28"/>
      <c r="I53" s="28"/>
      <c r="J53" s="28"/>
      <c r="N53" s="28"/>
      <c r="O53" s="28"/>
      <c r="P53" s="28"/>
    </row>
    <row r="54" spans="1:16" x14ac:dyDescent="0.2">
      <c r="H54" s="28"/>
      <c r="I54" s="28"/>
      <c r="J54" s="28"/>
      <c r="N54" s="28"/>
      <c r="O54" s="28"/>
      <c r="P54" s="28"/>
    </row>
    <row r="55" spans="1:16" x14ac:dyDescent="0.2">
      <c r="H55" s="28"/>
      <c r="I55" s="28"/>
      <c r="J55" s="28"/>
      <c r="N55" s="28"/>
      <c r="O55" s="28"/>
      <c r="P55" s="28"/>
    </row>
    <row r="56" spans="1:16" x14ac:dyDescent="0.2">
      <c r="H56" s="28"/>
      <c r="I56" s="28"/>
      <c r="J56" s="28"/>
      <c r="N56" s="28"/>
      <c r="O56" s="28"/>
      <c r="P56" s="28"/>
    </row>
    <row r="57" spans="1:16" x14ac:dyDescent="0.2">
      <c r="H57" s="28"/>
      <c r="I57" s="28"/>
      <c r="J57" s="28"/>
      <c r="N57" s="28"/>
      <c r="O57" s="28"/>
      <c r="P57" s="28"/>
    </row>
    <row r="58" spans="1:16" x14ac:dyDescent="0.2">
      <c r="H58" s="28"/>
      <c r="I58" s="28"/>
      <c r="J58" s="28"/>
      <c r="N58" s="28"/>
      <c r="O58" s="28"/>
      <c r="P58" s="28"/>
    </row>
    <row r="59" spans="1:16" x14ac:dyDescent="0.2">
      <c r="H59" s="28"/>
      <c r="I59" s="28"/>
      <c r="J59" s="28"/>
      <c r="N59" s="28"/>
      <c r="O59" s="28"/>
      <c r="P59" s="28"/>
    </row>
    <row r="60" spans="1:16" x14ac:dyDescent="0.2">
      <c r="H60" s="28"/>
      <c r="I60" s="28"/>
      <c r="J60" s="28"/>
      <c r="N60" s="28"/>
      <c r="O60" s="28"/>
      <c r="P60" s="28"/>
    </row>
    <row r="61" spans="1:16" x14ac:dyDescent="0.2">
      <c r="H61" s="28"/>
      <c r="I61" s="28"/>
      <c r="J61" s="28"/>
      <c r="N61" s="28"/>
      <c r="O61" s="28"/>
      <c r="P61" s="28"/>
    </row>
    <row r="62" spans="1:16" x14ac:dyDescent="0.2">
      <c r="H62" s="28"/>
      <c r="I62" s="28"/>
      <c r="J62" s="28"/>
      <c r="N62" s="28"/>
      <c r="O62" s="28"/>
      <c r="P62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Snow</vt:lpstr>
      <vt:lpstr>DG&amp;Well</vt:lpstr>
      <vt:lpstr>Palouse PTF</vt:lpstr>
      <vt:lpstr>Soil_Moisture</vt:lpstr>
      <vt:lpstr>em_2013</vt:lpstr>
      <vt:lpstr>2013_crop_data</vt:lpstr>
      <vt:lpstr>SOIL PROPERTIES</vt:lpstr>
      <vt:lpstr>Yields</vt:lpstr>
      <vt:lpstr>clay</vt:lpstr>
      <vt:lpstr>porosity</vt:lpstr>
      <vt:lpstr>sand</vt:lpstr>
      <vt:lpstr>silt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Yourek, Matthew (your3353@vandals.uidaho.edu)</dc:creator>
  <cp:lastModifiedBy>Yourek, Matthew</cp:lastModifiedBy>
  <dcterms:created xsi:type="dcterms:W3CDTF">2014-05-21T02:31:08Z</dcterms:created>
  <dcterms:modified xsi:type="dcterms:W3CDTF">2017-08-12T19:22:33Z</dcterms:modified>
</cp:coreProperties>
</file>