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er Michael\Documents\Studium\2 Semester\University-MCI\Mathe\Test Vorlage\"/>
    </mc:Choice>
  </mc:AlternateContent>
  <xr:revisionPtr revIDLastSave="0" documentId="13_ncr:1_{B1737970-01FA-47B0-B811-DACB310EA26F}" xr6:coauthVersionLast="45" xr6:coauthVersionMax="45" xr10:uidLastSave="{00000000-0000-0000-0000-000000000000}"/>
  <bookViews>
    <workbookView xWindow="-98" yWindow="-98" windowWidth="20715" windowHeight="13276" firstSheet="5" activeTab="8" xr2:uid="{ED13B2DF-0729-44FB-B7F1-2FD885ED1B9A}"/>
  </bookViews>
  <sheets>
    <sheet name="Tilgungsplan Annuität" sheetId="1" r:id="rId1"/>
    <sheet name="Tilgungsplan Annuität monatlich" sheetId="2" r:id="rId2"/>
    <sheet name="Tilgungsplan Annuität mit agio" sheetId="3" r:id="rId3"/>
    <sheet name="Ratentilgung" sheetId="5" r:id="rId4"/>
    <sheet name="Ratentilgung monatsrate" sheetId="6" r:id="rId5"/>
    <sheet name="Ratentilgung mit agio" sheetId="7" r:id="rId6"/>
    <sheet name="Ratentilgung Ratenfreizeit" sheetId="8" r:id="rId7"/>
    <sheet name="Kapitalwertmethode" sheetId="9" r:id="rId8"/>
    <sheet name="Amortisation" sheetId="10" r:id="rId9"/>
    <sheet name="Anlagenvergleich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5" l="1"/>
  <c r="D17" i="6"/>
  <c r="G12" i="6"/>
  <c r="B5" i="6"/>
  <c r="B5" i="7"/>
  <c r="B6" i="5"/>
  <c r="G13" i="2" l="1"/>
  <c r="G14" i="2"/>
  <c r="G15" i="2"/>
  <c r="G16" i="2"/>
  <c r="G12" i="2"/>
  <c r="H13" i="3"/>
  <c r="B6" i="2"/>
  <c r="D17" i="1"/>
  <c r="B8" i="1"/>
  <c r="B6" i="1"/>
  <c r="E13" i="3"/>
  <c r="B8" i="3"/>
  <c r="C13" i="3"/>
  <c r="C14" i="3"/>
  <c r="H14" i="3" s="1"/>
  <c r="C15" i="3"/>
  <c r="H15" i="3" s="1"/>
  <c r="C16" i="3"/>
  <c r="C17" i="3"/>
  <c r="H16" i="3"/>
  <c r="H17" i="3"/>
  <c r="D23" i="9"/>
  <c r="E13" i="9"/>
  <c r="D21" i="9"/>
  <c r="D20" i="9"/>
  <c r="D19" i="9"/>
  <c r="D18" i="9"/>
  <c r="D17" i="9"/>
  <c r="C8" i="3"/>
  <c r="G3" i="9"/>
  <c r="G19" i="9" s="1"/>
  <c r="G18" i="9" l="1"/>
  <c r="G17" i="9"/>
  <c r="G21" i="9"/>
  <c r="G20" i="9"/>
  <c r="E18" i="9"/>
  <c r="E21" i="9"/>
  <c r="E19" i="9"/>
  <c r="E17" i="9"/>
  <c r="E20" i="9"/>
  <c r="H18" i="3"/>
  <c r="E14" i="8"/>
  <c r="D18" i="1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13" i="11"/>
  <c r="C11" i="11"/>
  <c r="C7" i="11"/>
  <c r="B12" i="10"/>
  <c r="B10" i="10"/>
  <c r="C15" i="10"/>
  <c r="B15" i="10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8" i="10"/>
  <c r="D7" i="9"/>
  <c r="F3" i="9"/>
  <c r="E3" i="9"/>
  <c r="D3" i="9"/>
  <c r="D8" i="9"/>
  <c r="D9" i="9"/>
  <c r="D10" i="9"/>
  <c r="D11" i="9"/>
  <c r="F5" i="10" l="1"/>
  <c r="F4" i="10"/>
  <c r="C16" i="10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G23" i="9"/>
  <c r="E23" i="9"/>
  <c r="F10" i="9"/>
  <c r="F9" i="9"/>
  <c r="F8" i="9"/>
  <c r="F7" i="9"/>
  <c r="F11" i="9"/>
  <c r="D15" i="10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E11" i="9"/>
  <c r="E10" i="9"/>
  <c r="E7" i="9"/>
  <c r="E9" i="9"/>
  <c r="E8" i="9"/>
  <c r="D13" i="9"/>
  <c r="B6" i="7"/>
  <c r="E15" i="7" s="1"/>
  <c r="H15" i="7" s="1"/>
  <c r="B6" i="6"/>
  <c r="H12" i="8"/>
  <c r="C12" i="8" s="1"/>
  <c r="G12" i="8" s="1"/>
  <c r="H13" i="8"/>
  <c r="F12" i="8"/>
  <c r="B13" i="8" s="1"/>
  <c r="D12" i="8"/>
  <c r="B12" i="8"/>
  <c r="B6" i="8"/>
  <c r="E19" i="8" s="1"/>
  <c r="H19" i="8" s="1"/>
  <c r="B5" i="8"/>
  <c r="B12" i="7"/>
  <c r="E15" i="6"/>
  <c r="B12" i="6"/>
  <c r="D12" i="6" s="1"/>
  <c r="E16" i="6"/>
  <c r="B12" i="5"/>
  <c r="D12" i="5" s="1"/>
  <c r="E13" i="5"/>
  <c r="B5" i="5"/>
  <c r="B13" i="3"/>
  <c r="D13" i="3" s="1"/>
  <c r="B6" i="3"/>
  <c r="B12" i="2"/>
  <c r="D12" i="2" s="1"/>
  <c r="B8" i="2"/>
  <c r="B12" i="1"/>
  <c r="C13" i="1"/>
  <c r="E13" i="7" l="1"/>
  <c r="H13" i="7" s="1"/>
  <c r="F13" i="9"/>
  <c r="C12" i="1"/>
  <c r="C16" i="1"/>
  <c r="D12" i="1"/>
  <c r="C15" i="1"/>
  <c r="C14" i="1"/>
  <c r="E12" i="5"/>
  <c r="C12" i="5" s="1"/>
  <c r="E16" i="5"/>
  <c r="E15" i="5"/>
  <c r="E14" i="5"/>
  <c r="F13" i="8"/>
  <c r="B14" i="8" s="1"/>
  <c r="D14" i="8" s="1"/>
  <c r="D13" i="8"/>
  <c r="C13" i="8" s="1"/>
  <c r="G13" i="8" s="1"/>
  <c r="E18" i="8"/>
  <c r="H18" i="8" s="1"/>
  <c r="E17" i="8"/>
  <c r="H17" i="8" s="1"/>
  <c r="E16" i="8"/>
  <c r="H16" i="8" s="1"/>
  <c r="E20" i="8"/>
  <c r="H20" i="8" s="1"/>
  <c r="F14" i="8"/>
  <c r="B15" i="8" s="1"/>
  <c r="E21" i="8"/>
  <c r="H21" i="8" s="1"/>
  <c r="E15" i="8"/>
  <c r="H15" i="8" s="1"/>
  <c r="D12" i="7"/>
  <c r="E12" i="7"/>
  <c r="E14" i="7"/>
  <c r="H14" i="7" s="1"/>
  <c r="E16" i="7"/>
  <c r="H16" i="7" s="1"/>
  <c r="E13" i="6"/>
  <c r="E14" i="6"/>
  <c r="E12" i="6"/>
  <c r="F12" i="6" s="1"/>
  <c r="B13" i="6" s="1"/>
  <c r="C14" i="2"/>
  <c r="C16" i="2"/>
  <c r="C12" i="2"/>
  <c r="C13" i="2"/>
  <c r="C15" i="2"/>
  <c r="E12" i="1" l="1"/>
  <c r="F12" i="1" s="1"/>
  <c r="B13" i="1" s="1"/>
  <c r="H12" i="7"/>
  <c r="C12" i="7" s="1"/>
  <c r="G12" i="7" s="1"/>
  <c r="F12" i="7"/>
  <c r="B13" i="7" s="1"/>
  <c r="D13" i="7" s="1"/>
  <c r="E20" i="7"/>
  <c r="F12" i="5"/>
  <c r="D15" i="8"/>
  <c r="F15" i="8"/>
  <c r="B16" i="8" s="1"/>
  <c r="E22" i="8"/>
  <c r="H14" i="8"/>
  <c r="C14" i="8" s="1"/>
  <c r="F13" i="7"/>
  <c r="B14" i="7" s="1"/>
  <c r="D13" i="6"/>
  <c r="C13" i="6" s="1"/>
  <c r="G13" i="6" s="1"/>
  <c r="F13" i="6"/>
  <c r="B14" i="6" s="1"/>
  <c r="C12" i="6"/>
  <c r="E12" i="2"/>
  <c r="F12" i="2" s="1"/>
  <c r="B13" i="2" s="1"/>
  <c r="D13" i="2" s="1"/>
  <c r="E13" i="2" s="1"/>
  <c r="F13" i="2" s="1"/>
  <c r="B14" i="2" s="1"/>
  <c r="B13" i="5" l="1"/>
  <c r="D13" i="1"/>
  <c r="E13" i="1" s="1"/>
  <c r="F13" i="1" s="1"/>
  <c r="B14" i="1" s="1"/>
  <c r="D14" i="1" s="1"/>
  <c r="E14" i="1" s="1"/>
  <c r="F14" i="1" s="1"/>
  <c r="B15" i="1" s="1"/>
  <c r="C13" i="7"/>
  <c r="G13" i="7" s="1"/>
  <c r="F16" i="8"/>
  <c r="B17" i="8" s="1"/>
  <c r="D16" i="8"/>
  <c r="C16" i="8" s="1"/>
  <c r="G16" i="8" s="1"/>
  <c r="C15" i="8"/>
  <c r="G15" i="8" s="1"/>
  <c r="G14" i="8"/>
  <c r="D14" i="7"/>
  <c r="C14" i="7" s="1"/>
  <c r="G14" i="7" s="1"/>
  <c r="F14" i="7"/>
  <c r="B15" i="7" s="1"/>
  <c r="D14" i="6"/>
  <c r="C14" i="6" s="1"/>
  <c r="G14" i="6" s="1"/>
  <c r="F14" i="6"/>
  <c r="B15" i="6" s="1"/>
  <c r="D14" i="2"/>
  <c r="E14" i="2" s="1"/>
  <c r="F14" i="2" s="1"/>
  <c r="B15" i="2" s="1"/>
  <c r="F13" i="5" l="1"/>
  <c r="D13" i="5"/>
  <c r="D15" i="1"/>
  <c r="E15" i="1" s="1"/>
  <c r="F15" i="1" s="1"/>
  <c r="B16" i="1" s="1"/>
  <c r="D17" i="8"/>
  <c r="F17" i="8"/>
  <c r="B18" i="8" s="1"/>
  <c r="F15" i="7"/>
  <c r="B16" i="7" s="1"/>
  <c r="D15" i="7"/>
  <c r="C15" i="7" s="1"/>
  <c r="G15" i="7" s="1"/>
  <c r="F15" i="6"/>
  <c r="B16" i="6" s="1"/>
  <c r="D15" i="6"/>
  <c r="C15" i="6" s="1"/>
  <c r="G15" i="6" s="1"/>
  <c r="D15" i="2"/>
  <c r="E15" i="2" s="1"/>
  <c r="F15" i="2" s="1"/>
  <c r="B16" i="2" s="1"/>
  <c r="C13" i="5" l="1"/>
  <c r="B14" i="5"/>
  <c r="D16" i="1"/>
  <c r="E16" i="1" s="1"/>
  <c r="F16" i="1" s="1"/>
  <c r="D18" i="8"/>
  <c r="C18" i="8" s="1"/>
  <c r="G18" i="8" s="1"/>
  <c r="F18" i="8"/>
  <c r="B19" i="8" s="1"/>
  <c r="C17" i="8"/>
  <c r="D16" i="7"/>
  <c r="F16" i="7"/>
  <c r="F16" i="6"/>
  <c r="D16" i="6"/>
  <c r="C16" i="6" s="1"/>
  <c r="G16" i="6" s="1"/>
  <c r="D16" i="2"/>
  <c r="E16" i="2" s="1"/>
  <c r="F16" i="2" s="1"/>
  <c r="F14" i="5" l="1"/>
  <c r="D14" i="5"/>
  <c r="C16" i="7"/>
  <c r="F19" i="8"/>
  <c r="B20" i="8" s="1"/>
  <c r="D19" i="8"/>
  <c r="C19" i="8" s="1"/>
  <c r="G19" i="8" s="1"/>
  <c r="G17" i="8"/>
  <c r="C14" i="5" l="1"/>
  <c r="B15" i="5"/>
  <c r="G16" i="7"/>
  <c r="F20" i="8"/>
  <c r="B21" i="8" s="1"/>
  <c r="D20" i="8"/>
  <c r="D15" i="5" l="1"/>
  <c r="F15" i="5"/>
  <c r="D20" i="7"/>
  <c r="C20" i="8"/>
  <c r="D21" i="8"/>
  <c r="C21" i="8" s="1"/>
  <c r="G21" i="8" s="1"/>
  <c r="F21" i="8"/>
  <c r="C15" i="5" l="1"/>
  <c r="B16" i="5"/>
  <c r="G20" i="7"/>
  <c r="C20" i="7"/>
  <c r="D22" i="8"/>
  <c r="G20" i="8"/>
  <c r="G22" i="8" s="1"/>
  <c r="C22" i="8"/>
  <c r="F13" i="3"/>
  <c r="B14" i="3" s="1"/>
  <c r="D14" i="3" s="1"/>
  <c r="E14" i="3" s="1"/>
  <c r="G13" i="3"/>
  <c r="D16" i="5" l="1"/>
  <c r="F16" i="5"/>
  <c r="F17" i="5" s="1"/>
  <c r="B17" i="5"/>
  <c r="F14" i="3"/>
  <c r="B15" i="3" s="1"/>
  <c r="D15" i="3" s="1"/>
  <c r="E15" i="3" s="1"/>
  <c r="C16" i="5" l="1"/>
  <c r="D17" i="5"/>
  <c r="G15" i="3"/>
  <c r="G14" i="3"/>
  <c r="F15" i="3" l="1"/>
  <c r="B16" i="3" s="1"/>
  <c r="D16" i="3" s="1"/>
  <c r="E16" i="3" s="1"/>
  <c r="G16" i="3" l="1"/>
  <c r="F16" i="3" l="1"/>
  <c r="B17" i="3" s="1"/>
  <c r="D17" i="3" s="1"/>
  <c r="E17" i="3" s="1"/>
  <c r="G17" i="3" l="1"/>
  <c r="D18" i="3"/>
  <c r="F17" i="3"/>
</calcChain>
</file>

<file path=xl/sharedStrings.xml><?xml version="1.0" encoding="utf-8"?>
<sst xmlns="http://schemas.openxmlformats.org/spreadsheetml/2006/main" count="144" uniqueCount="57">
  <si>
    <t>So</t>
  </si>
  <si>
    <t>n</t>
  </si>
  <si>
    <t>p</t>
  </si>
  <si>
    <t>q</t>
  </si>
  <si>
    <t>A</t>
  </si>
  <si>
    <t>Jahr</t>
  </si>
  <si>
    <t>Schuld Anfang</t>
  </si>
  <si>
    <t xml:space="preserve">Zinsen </t>
  </si>
  <si>
    <t xml:space="preserve">Annuität </t>
  </si>
  <si>
    <t>Schuld Ende</t>
  </si>
  <si>
    <t>Monatlich nachschüssig</t>
  </si>
  <si>
    <t>m</t>
  </si>
  <si>
    <t>alpha</t>
  </si>
  <si>
    <t>agio</t>
  </si>
  <si>
    <t>Daraus folgt, dass Schuld am Ende noch nicht 0 ist daraus folgt, dass man mit</t>
  </si>
  <si>
    <t>Zielwert suche das A passend sucht</t>
  </si>
  <si>
    <t>Tilgung</t>
  </si>
  <si>
    <t>S0</t>
  </si>
  <si>
    <t>T</t>
  </si>
  <si>
    <t>Annuität</t>
  </si>
  <si>
    <t>Zinsen</t>
  </si>
  <si>
    <t>monatsraten vorschüssig</t>
  </si>
  <si>
    <t>Agio</t>
  </si>
  <si>
    <t>monatliche Raten</t>
  </si>
  <si>
    <t>a</t>
  </si>
  <si>
    <t>Zeit</t>
  </si>
  <si>
    <t>Et</t>
  </si>
  <si>
    <t>At</t>
  </si>
  <si>
    <t>rt</t>
  </si>
  <si>
    <t>KW</t>
  </si>
  <si>
    <t>rt / q^t</t>
  </si>
  <si>
    <t>IK</t>
  </si>
  <si>
    <t>E</t>
  </si>
  <si>
    <t>tstat</t>
  </si>
  <si>
    <t>w</t>
  </si>
  <si>
    <t>i</t>
  </si>
  <si>
    <t>Kw Statisch</t>
  </si>
  <si>
    <t>KW dynamisch</t>
  </si>
  <si>
    <t>KW dyn. + index</t>
  </si>
  <si>
    <t>tdyn</t>
  </si>
  <si>
    <t>tdyn index</t>
  </si>
  <si>
    <t>IK1</t>
  </si>
  <si>
    <t>bk1</t>
  </si>
  <si>
    <t>i1</t>
  </si>
  <si>
    <t>w1</t>
  </si>
  <si>
    <t>Ik2</t>
  </si>
  <si>
    <t>i2</t>
  </si>
  <si>
    <t>w2</t>
  </si>
  <si>
    <t>bk2</t>
  </si>
  <si>
    <t>KW1</t>
  </si>
  <si>
    <t>KW2</t>
  </si>
  <si>
    <t>Die Amortisationszeit einfach Schätzen</t>
  </si>
  <si>
    <t>ja nach 5 Jahren</t>
  </si>
  <si>
    <t>interer Zinsfuß 2</t>
  </si>
  <si>
    <t>interer Zinsfuß 1</t>
  </si>
  <si>
    <t>A berechnet</t>
  </si>
  <si>
    <t>A Zielwert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</si>
</sst>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Amortisation!$B$14</c:f>
              <c:strCache>
                <c:ptCount val="1"/>
                <c:pt idx="0">
                  <c:v>Kw Statisch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Amortisation!$A$15:$A$35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Amortisation!$B$15:$B$35</c:f>
              <c:numCache>
                <c:formatCode>General</c:formatCode>
                <c:ptCount val="21"/>
                <c:pt idx="0">
                  <c:v>-50000</c:v>
                </c:pt>
                <c:pt idx="1">
                  <c:v>-46000</c:v>
                </c:pt>
                <c:pt idx="2">
                  <c:v>-42000</c:v>
                </c:pt>
                <c:pt idx="3">
                  <c:v>-38000</c:v>
                </c:pt>
                <c:pt idx="4">
                  <c:v>-34000</c:v>
                </c:pt>
                <c:pt idx="5">
                  <c:v>-30000</c:v>
                </c:pt>
                <c:pt idx="6">
                  <c:v>-26000</c:v>
                </c:pt>
                <c:pt idx="7">
                  <c:v>-22000</c:v>
                </c:pt>
                <c:pt idx="8">
                  <c:v>-18000</c:v>
                </c:pt>
                <c:pt idx="9">
                  <c:v>-14000</c:v>
                </c:pt>
                <c:pt idx="10">
                  <c:v>-10000</c:v>
                </c:pt>
                <c:pt idx="11">
                  <c:v>-6000</c:v>
                </c:pt>
                <c:pt idx="12">
                  <c:v>-2000</c:v>
                </c:pt>
                <c:pt idx="13">
                  <c:v>2000</c:v>
                </c:pt>
                <c:pt idx="14">
                  <c:v>6000</c:v>
                </c:pt>
                <c:pt idx="15">
                  <c:v>10000</c:v>
                </c:pt>
                <c:pt idx="16">
                  <c:v>14000</c:v>
                </c:pt>
                <c:pt idx="17">
                  <c:v>18000</c:v>
                </c:pt>
                <c:pt idx="18">
                  <c:v>22000</c:v>
                </c:pt>
                <c:pt idx="19">
                  <c:v>26000</c:v>
                </c:pt>
                <c:pt idx="20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D-43D6-ADD7-7A735631C4AD}"/>
            </c:ext>
          </c:extLst>
        </c:ser>
        <c:ser>
          <c:idx val="1"/>
          <c:order val="1"/>
          <c:tx>
            <c:strRef>
              <c:f>Amortisation!$C$14</c:f>
              <c:strCache>
                <c:ptCount val="1"/>
                <c:pt idx="0">
                  <c:v>KW dynamisch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Amortisation!$A$15:$A$35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Amortisation!$C$15:$C$35</c:f>
              <c:numCache>
                <c:formatCode>0.00</c:formatCode>
                <c:ptCount val="21"/>
                <c:pt idx="0" formatCode="General">
                  <c:v>-50000</c:v>
                </c:pt>
                <c:pt idx="1">
                  <c:v>-46135.265700483091</c:v>
                </c:pt>
                <c:pt idx="2">
                  <c:v>-42401.222899017477</c:v>
                </c:pt>
                <c:pt idx="3">
                  <c:v>-38793.452076345391</c:v>
                </c:pt>
                <c:pt idx="4">
                  <c:v>-35307.683165551105</c:v>
                </c:pt>
                <c:pt idx="5">
                  <c:v>-31939.790498117007</c:v>
                </c:pt>
                <c:pt idx="6">
                  <c:v>-28685.787920885996</c:v>
                </c:pt>
                <c:pt idx="7">
                  <c:v>-25541.824078150719</c:v>
                </c:pt>
                <c:pt idx="8">
                  <c:v>-22504.177853285717</c:v>
                </c:pt>
                <c:pt idx="9">
                  <c:v>-19569.253964527259</c:v>
                </c:pt>
                <c:pt idx="10">
                  <c:v>-16733.578709688169</c:v>
                </c:pt>
                <c:pt idx="11">
                  <c:v>-13993.795854771175</c:v>
                </c:pt>
                <c:pt idx="12">
                  <c:v>-11346.662661614659</c:v>
                </c:pt>
                <c:pt idx="13">
                  <c:v>-8789.0460498692319</c:v>
                </c:pt>
                <c:pt idx="14">
                  <c:v>-6317.9188887625396</c:v>
                </c:pt>
                <c:pt idx="15">
                  <c:v>-3930.3564142633199</c:v>
                </c:pt>
                <c:pt idx="16">
                  <c:v>-1623.53276740417</c:v>
                </c:pt>
                <c:pt idx="17">
                  <c:v>605.28235033413921</c:v>
                </c:pt>
                <c:pt idx="18">
                  <c:v>2758.7269085354042</c:v>
                </c:pt>
                <c:pt idx="19">
                  <c:v>4839.3496700825199</c:v>
                </c:pt>
                <c:pt idx="20">
                  <c:v>6849.6132078092023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D-43D6-ADD7-7A735631C4AD}"/>
            </c:ext>
          </c:extLst>
        </c:ser>
        <c:ser>
          <c:idx val="2"/>
          <c:order val="2"/>
          <c:tx>
            <c:strRef>
              <c:f>Amortisation!$D$14</c:f>
              <c:strCache>
                <c:ptCount val="1"/>
                <c:pt idx="0">
                  <c:v>KW dyn. + index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Amortisation!$A$15:$A$35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Amortisation!$D$15:$D$35</c:f>
              <c:numCache>
                <c:formatCode>0.00</c:formatCode>
                <c:ptCount val="21"/>
                <c:pt idx="0" formatCode="General">
                  <c:v>-50000</c:v>
                </c:pt>
                <c:pt idx="1">
                  <c:v>-46135.265700483091</c:v>
                </c:pt>
                <c:pt idx="2">
                  <c:v>-42289.201614973514</c:v>
                </c:pt>
                <c:pt idx="3">
                  <c:v>-38461.717549200694</c:v>
                </c:pt>
                <c:pt idx="4">
                  <c:v>-34652.723744615185</c:v>
                </c:pt>
                <c:pt idx="5">
                  <c:v>-30862.130876283711</c:v>
                </c:pt>
                <c:pt idx="6">
                  <c:v>-27089.850050794415</c:v>
                </c:pt>
                <c:pt idx="7">
                  <c:v>-23335.792804172219</c:v>
                </c:pt>
                <c:pt idx="8">
                  <c:v>-19599.871099804233</c:v>
                </c:pt>
                <c:pt idx="9">
                  <c:v>-15881.997326375225</c:v>
                </c:pt>
                <c:pt idx="10">
                  <c:v>-12182.084295813023</c:v>
                </c:pt>
                <c:pt idx="11">
                  <c:v>-8500.0452412438754</c:v>
                </c:pt>
                <c:pt idx="12">
                  <c:v>-4835.7938149576694</c:v>
                </c:pt>
                <c:pt idx="13">
                  <c:v>-1189.2440863829911</c:v>
                </c:pt>
                <c:pt idx="14">
                  <c:v>2439.6894599280404</c:v>
                </c:pt>
                <c:pt idx="15">
                  <c:v>6051.0919263052028</c:v>
                </c:pt>
                <c:pt idx="16">
                  <c:v>9645.0480039559079</c:v>
                </c:pt>
                <c:pt idx="17">
                  <c:v>13221.641974951293</c:v>
                </c:pt>
                <c:pt idx="18">
                  <c:v>16780.957714202741</c:v>
                </c:pt>
                <c:pt idx="19">
                  <c:v>20323.078691428818</c:v>
                </c:pt>
                <c:pt idx="20">
                  <c:v>23848.087973112742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BD-43D6-ADD7-7A735631C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726848"/>
        <c:axId val="243727176"/>
      </c:lineChart>
      <c:catAx>
        <c:axId val="24372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727176"/>
        <c:crosses val="autoZero"/>
        <c:auto val="1"/>
        <c:lblAlgn val="ctr"/>
        <c:lblOffset val="100"/>
        <c:noMultiLvlLbl val="0"/>
      </c:catAx>
      <c:valAx>
        <c:axId val="24372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72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Anlagenvergleich!$C$17</c:f>
              <c:strCache>
                <c:ptCount val="1"/>
                <c:pt idx="0">
                  <c:v>KW1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Anlagenvergleich!$B$18:$B$38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Anlagenvergleich!$C$18:$C$38</c:f>
              <c:numCache>
                <c:formatCode>0.00</c:formatCode>
                <c:ptCount val="21"/>
                <c:pt idx="0" formatCode="General">
                  <c:v>-60</c:v>
                </c:pt>
                <c:pt idx="1">
                  <c:v>-66.19047619047619</c:v>
                </c:pt>
                <c:pt idx="2">
                  <c:v>-72.145124716553283</c:v>
                </c:pt>
                <c:pt idx="3">
                  <c:v>-77.872929489256009</c:v>
                </c:pt>
                <c:pt idx="4">
                  <c:v>-83.382532175379595</c:v>
                </c:pt>
                <c:pt idx="5">
                  <c:v>-88.68224523536513</c:v>
                </c:pt>
                <c:pt idx="6">
                  <c:v>-93.780064464494075</c:v>
                </c:pt>
                <c:pt idx="7">
                  <c:v>-98.683681056322868</c:v>
                </c:pt>
                <c:pt idx="8">
                  <c:v>-103.40049320655818</c:v>
                </c:pt>
                <c:pt idx="9">
                  <c:v>-107.93761727487977</c:v>
                </c:pt>
                <c:pt idx="10">
                  <c:v>-112.30189852155101</c:v>
                </c:pt>
                <c:pt idx="11">
                  <c:v>-116.49992143501574</c:v>
                </c:pt>
                <c:pt idx="12">
                  <c:v>-120.53801966606275</c:v>
                </c:pt>
                <c:pt idx="13">
                  <c:v>-124.42228558354607</c:v>
                </c:pt>
                <c:pt idx="14">
                  <c:v>-128.15857946607764</c:v>
                </c:pt>
                <c:pt idx="15">
                  <c:v>-131.75253834356039</c:v>
                </c:pt>
                <c:pt idx="16">
                  <c:v>-135.20958450190093</c:v>
                </c:pt>
                <c:pt idx="17">
                  <c:v>-138.53493366373328</c:v>
                </c:pt>
                <c:pt idx="18">
                  <c:v>-141.73360285749581</c:v>
                </c:pt>
                <c:pt idx="19">
                  <c:v>-144.81041798673405</c:v>
                </c:pt>
                <c:pt idx="20">
                  <c:v>-147.77002111104895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03-4C42-BFA9-8D6A498EFB97}"/>
            </c:ext>
          </c:extLst>
        </c:ser>
        <c:ser>
          <c:idx val="1"/>
          <c:order val="1"/>
          <c:tx>
            <c:strRef>
              <c:f>Anlagenvergleich!$D$17</c:f>
              <c:strCache>
                <c:ptCount val="1"/>
                <c:pt idx="0">
                  <c:v>KW2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Anlagenvergleich!$B$18:$B$38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Anlagenvergleich!$D$18:$D$38</c:f>
              <c:numCache>
                <c:formatCode>0.00</c:formatCode>
                <c:ptCount val="21"/>
                <c:pt idx="0" formatCode="General">
                  <c:v>-40</c:v>
                </c:pt>
                <c:pt idx="1">
                  <c:v>-50.476190476190474</c:v>
                </c:pt>
                <c:pt idx="2">
                  <c:v>-60.653061224489797</c:v>
                </c:pt>
                <c:pt idx="3">
                  <c:v>-70.539164237123416</c:v>
                </c:pt>
                <c:pt idx="4">
                  <c:v>-80.142807163681795</c:v>
                </c:pt>
                <c:pt idx="5">
                  <c:v>-89.472060292338497</c:v>
                </c:pt>
                <c:pt idx="6">
                  <c:v>-98.534763331605021</c:v>
                </c:pt>
                <c:pt idx="7">
                  <c:v>-107.33853199832106</c:v>
                </c:pt>
                <c:pt idx="8">
                  <c:v>-115.89076441741665</c:v>
                </c:pt>
                <c:pt idx="9">
                  <c:v>-124.19864733882379</c:v>
                </c:pt>
                <c:pt idx="10">
                  <c:v>-132.26916217676217</c:v>
                </c:pt>
                <c:pt idx="11">
                  <c:v>-140.10909087647372</c:v>
                </c:pt>
                <c:pt idx="12">
                  <c:v>-147.72502161333637</c:v>
                </c:pt>
                <c:pt idx="13">
                  <c:v>-155.1233543291458</c:v>
                </c:pt>
                <c:pt idx="14">
                  <c:v>-162.31030611021782</c:v>
                </c:pt>
                <c:pt idx="15">
                  <c:v>-169.29191641183064</c:v>
                </c:pt>
                <c:pt idx="16">
                  <c:v>-176.07405213339737</c:v>
                </c:pt>
                <c:pt idx="17">
                  <c:v>-182.66241254863363</c:v>
                </c:pt>
                <c:pt idx="18">
                  <c:v>-189.06253409486314</c:v>
                </c:pt>
                <c:pt idx="19">
                  <c:v>-195.2797950254861</c:v>
                </c:pt>
                <c:pt idx="20">
                  <c:v>-201.31941992951982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03-4C42-BFA9-8D6A498EF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767024"/>
        <c:axId val="243765712"/>
      </c:lineChart>
      <c:catAx>
        <c:axId val="24376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765712"/>
        <c:crosses val="autoZero"/>
        <c:auto val="1"/>
        <c:lblAlgn val="ctr"/>
        <c:lblOffset val="100"/>
        <c:noMultiLvlLbl val="0"/>
      </c:catAx>
      <c:valAx>
        <c:axId val="2437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76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13</xdr:row>
      <xdr:rowOff>176212</xdr:rowOff>
    </xdr:from>
    <xdr:to>
      <xdr:col>10</xdr:col>
      <xdr:colOff>323850</xdr:colOff>
      <xdr:row>28</xdr:row>
      <xdr:rowOff>61912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0E54DC7-92E2-4E21-AFCF-F36A4363E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16</xdr:row>
      <xdr:rowOff>185737</xdr:rowOff>
    </xdr:from>
    <xdr:to>
      <xdr:col>10</xdr:col>
      <xdr:colOff>352425</xdr:colOff>
      <xdr:row>31</xdr:row>
      <xdr:rowOff>71437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6A30130-5C54-4D9E-98E9-5667E964B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C699-B60E-473B-B84E-287E1D3278EE}">
  <dimension ref="A3:F19"/>
  <sheetViews>
    <sheetView workbookViewId="0">
      <selection activeCell="B3" sqref="B3:B6"/>
    </sheetView>
  </sheetViews>
  <sheetFormatPr baseColWidth="10" defaultRowHeight="14.25" x14ac:dyDescent="0.45"/>
  <cols>
    <col min="2" max="2" width="14.1328125" customWidth="1"/>
  </cols>
  <sheetData>
    <row r="3" spans="1:6" x14ac:dyDescent="0.45">
      <c r="A3" t="s">
        <v>0</v>
      </c>
      <c r="B3">
        <v>80000</v>
      </c>
    </row>
    <row r="4" spans="1:6" x14ac:dyDescent="0.45">
      <c r="A4" t="s">
        <v>1</v>
      </c>
      <c r="B4">
        <v>5</v>
      </c>
    </row>
    <row r="5" spans="1:6" x14ac:dyDescent="0.45">
      <c r="A5" t="s">
        <v>2</v>
      </c>
      <c r="B5">
        <v>0.03</v>
      </c>
    </row>
    <row r="6" spans="1:6" x14ac:dyDescent="0.45">
      <c r="A6" t="s">
        <v>3</v>
      </c>
      <c r="B6">
        <f>1+B5</f>
        <v>1.03</v>
      </c>
    </row>
    <row r="8" spans="1:6" x14ac:dyDescent="0.45">
      <c r="A8" t="s">
        <v>4</v>
      </c>
      <c r="B8" s="1">
        <f>B3*B6^B4*(B5)/(B6^B4-1)</f>
        <v>17468.365712046096</v>
      </c>
    </row>
    <row r="11" spans="1:6" x14ac:dyDescent="0.45">
      <c r="A11" t="s">
        <v>5</v>
      </c>
      <c r="B11" t="s">
        <v>6</v>
      </c>
      <c r="C11" t="s">
        <v>8</v>
      </c>
      <c r="D11" t="s">
        <v>7</v>
      </c>
      <c r="E11" t="s">
        <v>16</v>
      </c>
      <c r="F11" t="s">
        <v>9</v>
      </c>
    </row>
    <row r="12" spans="1:6" x14ac:dyDescent="0.45">
      <c r="A12">
        <v>1</v>
      </c>
      <c r="B12" s="1">
        <f>B3</f>
        <v>80000</v>
      </c>
      <c r="C12" s="1">
        <f>$B$8</f>
        <v>17468.365712046096</v>
      </c>
      <c r="D12" s="1">
        <f>B12*$B$5</f>
        <v>2400</v>
      </c>
      <c r="E12" s="1">
        <f>C12-D12</f>
        <v>15068.365712046096</v>
      </c>
      <c r="F12" s="1">
        <f>B12-E12</f>
        <v>64931.634287953901</v>
      </c>
    </row>
    <row r="13" spans="1:6" x14ac:dyDescent="0.45">
      <c r="A13">
        <v>2</v>
      </c>
      <c r="B13" s="1">
        <f>F12</f>
        <v>64931.634287953901</v>
      </c>
      <c r="C13" s="1">
        <f t="shared" ref="C13:C16" si="0">$B$8</f>
        <v>17468.365712046096</v>
      </c>
      <c r="D13" s="1">
        <f t="shared" ref="D13:D16" si="1">B13*$B$5</f>
        <v>1947.9490286386169</v>
      </c>
      <c r="E13" s="1">
        <f t="shared" ref="E13:E16" si="2">C13-D13</f>
        <v>15520.416683407479</v>
      </c>
      <c r="F13" s="1">
        <f t="shared" ref="F13:F16" si="3">B13-E13</f>
        <v>49411.217604546422</v>
      </c>
    </row>
    <row r="14" spans="1:6" x14ac:dyDescent="0.45">
      <c r="A14">
        <v>3</v>
      </c>
      <c r="B14" s="1">
        <f t="shared" ref="B14:B16" si="4">F13</f>
        <v>49411.217604546422</v>
      </c>
      <c r="C14" s="1">
        <f t="shared" si="0"/>
        <v>17468.365712046096</v>
      </c>
      <c r="D14" s="1">
        <f t="shared" si="1"/>
        <v>1482.3365281363926</v>
      </c>
      <c r="E14" s="1">
        <f t="shared" si="2"/>
        <v>15986.029183909703</v>
      </c>
      <c r="F14" s="1">
        <f t="shared" si="3"/>
        <v>33425.188420636718</v>
      </c>
    </row>
    <row r="15" spans="1:6" x14ac:dyDescent="0.45">
      <c r="A15">
        <v>4</v>
      </c>
      <c r="B15" s="1">
        <f t="shared" si="4"/>
        <v>33425.188420636718</v>
      </c>
      <c r="C15" s="1">
        <f t="shared" si="0"/>
        <v>17468.365712046096</v>
      </c>
      <c r="D15" s="1">
        <f t="shared" si="1"/>
        <v>1002.7556526191015</v>
      </c>
      <c r="E15" s="1">
        <f t="shared" si="2"/>
        <v>16465.610059426996</v>
      </c>
      <c r="F15" s="1">
        <f t="shared" si="3"/>
        <v>16959.578361209722</v>
      </c>
    </row>
    <row r="16" spans="1:6" x14ac:dyDescent="0.45">
      <c r="A16">
        <v>5</v>
      </c>
      <c r="B16" s="1">
        <f t="shared" si="4"/>
        <v>16959.578361209722</v>
      </c>
      <c r="C16" s="1">
        <f t="shared" si="0"/>
        <v>17468.365712046096</v>
      </c>
      <c r="D16" s="1">
        <f t="shared" si="1"/>
        <v>508.78735083629164</v>
      </c>
      <c r="E16" s="1">
        <f t="shared" si="2"/>
        <v>16959.578361209806</v>
      </c>
      <c r="F16" s="1">
        <f t="shared" si="3"/>
        <v>-8.3673512563109398E-11</v>
      </c>
    </row>
    <row r="17" spans="2:6" x14ac:dyDescent="0.45">
      <c r="B17" s="1"/>
      <c r="C17" s="1"/>
      <c r="D17" s="1">
        <f>SUM(D12:D16)</f>
        <v>7341.828560230404</v>
      </c>
      <c r="E17" s="1"/>
      <c r="F17" s="1"/>
    </row>
    <row r="18" spans="2:6" x14ac:dyDescent="0.45">
      <c r="B18" s="1"/>
      <c r="C18" s="1"/>
      <c r="D18" s="1"/>
      <c r="E18" s="1"/>
      <c r="F18" s="1"/>
    </row>
    <row r="19" spans="2:6" x14ac:dyDescent="0.45">
      <c r="B19" s="1"/>
      <c r="C19" s="1"/>
      <c r="D19" s="1"/>
      <c r="E19" s="1"/>
      <c r="F1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7B9D-32F9-4B2D-9501-05A9B00A32AC}">
  <dimension ref="A3:G19"/>
  <sheetViews>
    <sheetView workbookViewId="0">
      <selection activeCell="I13" sqref="I13"/>
    </sheetView>
  </sheetViews>
  <sheetFormatPr baseColWidth="10" defaultRowHeight="14.25" x14ac:dyDescent="0.45"/>
  <cols>
    <col min="2" max="2" width="14.1328125" customWidth="1"/>
    <col min="7" max="7" width="22" bestFit="1" customWidth="1"/>
  </cols>
  <sheetData>
    <row r="3" spans="1:7" x14ac:dyDescent="0.45">
      <c r="A3" t="s">
        <v>0</v>
      </c>
      <c r="B3">
        <v>80000</v>
      </c>
    </row>
    <row r="4" spans="1:7" x14ac:dyDescent="0.45">
      <c r="A4" t="s">
        <v>1</v>
      </c>
      <c r="B4">
        <v>5</v>
      </c>
    </row>
    <row r="5" spans="1:7" x14ac:dyDescent="0.45">
      <c r="A5" t="s">
        <v>2</v>
      </c>
      <c r="B5">
        <v>0.03</v>
      </c>
    </row>
    <row r="6" spans="1:7" x14ac:dyDescent="0.45">
      <c r="A6" t="s">
        <v>3</v>
      </c>
      <c r="B6">
        <f>1+B5</f>
        <v>1.03</v>
      </c>
    </row>
    <row r="7" spans="1:7" x14ac:dyDescent="0.45">
      <c r="A7" t="s">
        <v>11</v>
      </c>
      <c r="B7">
        <v>12</v>
      </c>
    </row>
    <row r="8" spans="1:7" x14ac:dyDescent="0.45">
      <c r="A8" t="s">
        <v>4</v>
      </c>
      <c r="B8" s="1">
        <f>B3*B6^B4*(B5)/(B6^B4-1)</f>
        <v>17468.365712046096</v>
      </c>
    </row>
    <row r="11" spans="1:7" x14ac:dyDescent="0.45">
      <c r="A11" t="s">
        <v>5</v>
      </c>
      <c r="B11" t="s">
        <v>6</v>
      </c>
      <c r="C11" t="s">
        <v>8</v>
      </c>
      <c r="D11" t="s">
        <v>7</v>
      </c>
      <c r="E11" t="s">
        <v>16</v>
      </c>
      <c r="F11" t="s">
        <v>9</v>
      </c>
      <c r="G11" t="s">
        <v>10</v>
      </c>
    </row>
    <row r="12" spans="1:7" x14ac:dyDescent="0.45">
      <c r="A12">
        <v>1</v>
      </c>
      <c r="B12" s="1">
        <f>B3</f>
        <v>80000</v>
      </c>
      <c r="C12" s="1">
        <f>$B$8</f>
        <v>17468.365712046096</v>
      </c>
      <c r="D12" s="1">
        <f>B12*$B$5</f>
        <v>2400</v>
      </c>
      <c r="E12" s="1">
        <f>C12-D12</f>
        <v>15068.365712046096</v>
      </c>
      <c r="F12" s="1">
        <f>B12-E12</f>
        <v>64931.634287953901</v>
      </c>
      <c r="G12" s="1">
        <f>C12/($B$7+$B$5/2*($B$7+1))</f>
        <v>1432.4203125909057</v>
      </c>
    </row>
    <row r="13" spans="1:7" x14ac:dyDescent="0.45">
      <c r="A13">
        <v>2</v>
      </c>
      <c r="B13" s="1">
        <f>F12</f>
        <v>64931.634287953901</v>
      </c>
      <c r="C13" s="1">
        <f t="shared" ref="C13:C16" si="0">$B$8</f>
        <v>17468.365712046096</v>
      </c>
      <c r="D13" s="1">
        <f t="shared" ref="D13:D16" si="1">B13*$B$5</f>
        <v>1947.9490286386169</v>
      </c>
      <c r="E13" s="1">
        <f t="shared" ref="E13:E16" si="2">C13-D13</f>
        <v>15520.416683407479</v>
      </c>
      <c r="F13" s="1">
        <f t="shared" ref="F13:F16" si="3">B13-E13</f>
        <v>49411.217604546422</v>
      </c>
      <c r="G13" s="1">
        <f t="shared" ref="G13:G16" si="4">C13/($B$7+$B$5/2*($B$7+1))</f>
        <v>1432.4203125909057</v>
      </c>
    </row>
    <row r="14" spans="1:7" x14ac:dyDescent="0.45">
      <c r="A14">
        <v>3</v>
      </c>
      <c r="B14" s="1">
        <f t="shared" ref="B14:B16" si="5">F13</f>
        <v>49411.217604546422</v>
      </c>
      <c r="C14" s="1">
        <f t="shared" si="0"/>
        <v>17468.365712046096</v>
      </c>
      <c r="D14" s="1">
        <f t="shared" si="1"/>
        <v>1482.3365281363926</v>
      </c>
      <c r="E14" s="1">
        <f t="shared" si="2"/>
        <v>15986.029183909703</v>
      </c>
      <c r="F14" s="1">
        <f t="shared" si="3"/>
        <v>33425.188420636718</v>
      </c>
      <c r="G14" s="1">
        <f t="shared" si="4"/>
        <v>1432.4203125909057</v>
      </c>
    </row>
    <row r="15" spans="1:7" x14ac:dyDescent="0.45">
      <c r="A15">
        <v>4</v>
      </c>
      <c r="B15" s="1">
        <f t="shared" si="5"/>
        <v>33425.188420636718</v>
      </c>
      <c r="C15" s="1">
        <f t="shared" si="0"/>
        <v>17468.365712046096</v>
      </c>
      <c r="D15" s="1">
        <f t="shared" si="1"/>
        <v>1002.7556526191015</v>
      </c>
      <c r="E15" s="1">
        <f t="shared" si="2"/>
        <v>16465.610059426996</v>
      </c>
      <c r="F15" s="1">
        <f t="shared" si="3"/>
        <v>16959.578361209722</v>
      </c>
      <c r="G15" s="1">
        <f t="shared" si="4"/>
        <v>1432.4203125909057</v>
      </c>
    </row>
    <row r="16" spans="1:7" x14ac:dyDescent="0.45">
      <c r="A16">
        <v>5</v>
      </c>
      <c r="B16" s="1">
        <f t="shared" si="5"/>
        <v>16959.578361209722</v>
      </c>
      <c r="C16" s="1">
        <f t="shared" si="0"/>
        <v>17468.365712046096</v>
      </c>
      <c r="D16" s="1">
        <f t="shared" si="1"/>
        <v>508.78735083629164</v>
      </c>
      <c r="E16" s="1">
        <f t="shared" si="2"/>
        <v>16959.578361209806</v>
      </c>
      <c r="F16" s="1">
        <f t="shared" si="3"/>
        <v>-8.3673512563109398E-11</v>
      </c>
      <c r="G16" s="1">
        <f t="shared" si="4"/>
        <v>1432.4203125909057</v>
      </c>
    </row>
    <row r="17" spans="2:7" x14ac:dyDescent="0.45">
      <c r="B17" s="1"/>
      <c r="C17" s="1"/>
      <c r="D17" s="1"/>
      <c r="E17" s="1"/>
      <c r="F17" s="1"/>
      <c r="G17" s="1"/>
    </row>
    <row r="18" spans="2:7" x14ac:dyDescent="0.45">
      <c r="B18" s="1"/>
      <c r="C18" s="1"/>
      <c r="D18" s="1"/>
      <c r="E18" s="1"/>
      <c r="F18" s="1"/>
      <c r="G18" s="1"/>
    </row>
    <row r="19" spans="2:7" x14ac:dyDescent="0.45">
      <c r="B19" s="1"/>
      <c r="C19" s="1"/>
      <c r="D19" s="1"/>
      <c r="E19" s="1"/>
      <c r="F19" s="1"/>
      <c r="G19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F174-B01D-4B43-8641-A173D423E11F}">
  <dimension ref="A3:H36"/>
  <sheetViews>
    <sheetView topLeftCell="A2" workbookViewId="0">
      <selection activeCell="J12" sqref="J12"/>
    </sheetView>
  </sheetViews>
  <sheetFormatPr baseColWidth="10" defaultRowHeight="14.25" x14ac:dyDescent="0.45"/>
  <cols>
    <col min="2" max="2" width="14.1328125" customWidth="1"/>
    <col min="8" max="8" width="16.73046875" bestFit="1" customWidth="1"/>
  </cols>
  <sheetData>
    <row r="3" spans="1:8" x14ac:dyDescent="0.45">
      <c r="A3" t="s">
        <v>0</v>
      </c>
      <c r="B3">
        <v>80000</v>
      </c>
      <c r="E3" t="s">
        <v>24</v>
      </c>
      <c r="F3">
        <v>170</v>
      </c>
    </row>
    <row r="4" spans="1:8" x14ac:dyDescent="0.45">
      <c r="A4" t="s">
        <v>1</v>
      </c>
      <c r="B4">
        <v>5</v>
      </c>
    </row>
    <row r="5" spans="1:8" x14ac:dyDescent="0.45">
      <c r="A5" t="s">
        <v>2</v>
      </c>
      <c r="B5">
        <v>0.03</v>
      </c>
    </row>
    <row r="6" spans="1:8" x14ac:dyDescent="0.45">
      <c r="A6" t="s">
        <v>3</v>
      </c>
      <c r="B6">
        <f>1+B5</f>
        <v>1.03</v>
      </c>
    </row>
    <row r="7" spans="1:8" x14ac:dyDescent="0.45">
      <c r="A7" t="s">
        <v>12</v>
      </c>
      <c r="B7">
        <v>0.02</v>
      </c>
      <c r="E7" t="s">
        <v>14</v>
      </c>
    </row>
    <row r="8" spans="1:8" x14ac:dyDescent="0.45">
      <c r="A8" t="s">
        <v>55</v>
      </c>
      <c r="B8" s="1">
        <f>B3*B6^B4*(B5)/(B6^B4-1)</f>
        <v>17468.365712046096</v>
      </c>
      <c r="C8">
        <f>F3*(B10+(B5/2)*(B10+1))</f>
        <v>2073.15</v>
      </c>
      <c r="E8" t="s">
        <v>15</v>
      </c>
    </row>
    <row r="9" spans="1:8" x14ac:dyDescent="0.45">
      <c r="A9" t="s">
        <v>56</v>
      </c>
      <c r="B9" s="1">
        <v>17787.817907722801</v>
      </c>
    </row>
    <row r="10" spans="1:8" x14ac:dyDescent="0.45">
      <c r="A10" t="s">
        <v>11</v>
      </c>
      <c r="B10">
        <v>12</v>
      </c>
    </row>
    <row r="12" spans="1:8" x14ac:dyDescent="0.45">
      <c r="A12" t="s">
        <v>5</v>
      </c>
      <c r="B12" t="s">
        <v>6</v>
      </c>
      <c r="C12" t="s">
        <v>8</v>
      </c>
      <c r="D12" t="s">
        <v>7</v>
      </c>
      <c r="E12" t="s">
        <v>16</v>
      </c>
      <c r="F12" t="s">
        <v>9</v>
      </c>
      <c r="G12" t="s">
        <v>13</v>
      </c>
      <c r="H12" t="s">
        <v>23</v>
      </c>
    </row>
    <row r="13" spans="1:8" x14ac:dyDescent="0.45">
      <c r="A13">
        <v>1</v>
      </c>
      <c r="B13" s="1">
        <f>B3</f>
        <v>80000</v>
      </c>
      <c r="C13" s="1">
        <f>$B$8</f>
        <v>17468.365712046096</v>
      </c>
      <c r="D13" s="1">
        <f>B13*$B$5</f>
        <v>2400</v>
      </c>
      <c r="E13" s="1">
        <f>(C13-D13)/(1+$B$7)</f>
        <v>14772.907560829506</v>
      </c>
      <c r="F13" s="1">
        <f>B13-E13</f>
        <v>65227.09243917049</v>
      </c>
      <c r="G13" s="1">
        <f>$B$7*E13</f>
        <v>295.45815121659012</v>
      </c>
      <c r="H13" s="1">
        <f>C13/($B$10+$B$5/2*($B$10+1))</f>
        <v>1432.4203125909057</v>
      </c>
    </row>
    <row r="14" spans="1:8" x14ac:dyDescent="0.45">
      <c r="A14">
        <v>2</v>
      </c>
      <c r="B14" s="1">
        <f>F13</f>
        <v>65227.09243917049</v>
      </c>
      <c r="C14" s="1">
        <f t="shared" ref="C14:C17" si="0">$B$8</f>
        <v>17468.365712046096</v>
      </c>
      <c r="D14" s="1">
        <f>B14*$B$5</f>
        <v>1956.8127731751147</v>
      </c>
      <c r="E14" s="1">
        <f t="shared" ref="E14:E17" si="1">(C14-D14)/(1+$B$7)</f>
        <v>15207.404842030372</v>
      </c>
      <c r="F14" s="1">
        <f t="shared" ref="F14:F17" si="2">B14-E14</f>
        <v>50019.687597140117</v>
      </c>
      <c r="G14" s="1">
        <f t="shared" ref="G14:G17" si="3">$B$7*E14</f>
        <v>304.14809684060742</v>
      </c>
      <c r="H14" s="1">
        <f t="shared" ref="H14:H17" si="4">C14/($B$10+$B$5/2*($B$10+1))</f>
        <v>1432.4203125909057</v>
      </c>
    </row>
    <row r="15" spans="1:8" x14ac:dyDescent="0.45">
      <c r="A15">
        <v>3</v>
      </c>
      <c r="B15" s="1">
        <f t="shared" ref="B15:B17" si="5">F14</f>
        <v>50019.687597140117</v>
      </c>
      <c r="C15" s="1">
        <f t="shared" si="0"/>
        <v>17468.365712046096</v>
      </c>
      <c r="D15" s="1">
        <f t="shared" ref="D15:D17" si="6">B15*$B$5</f>
        <v>1500.5906279142034</v>
      </c>
      <c r="E15" s="1">
        <f t="shared" si="1"/>
        <v>15654.681455031267</v>
      </c>
      <c r="F15" s="1">
        <f t="shared" si="2"/>
        <v>34365.006142108847</v>
      </c>
      <c r="G15" s="1">
        <f t="shared" si="3"/>
        <v>313.09362910062532</v>
      </c>
      <c r="H15" s="1">
        <f t="shared" si="4"/>
        <v>1432.4203125909057</v>
      </c>
    </row>
    <row r="16" spans="1:8" x14ac:dyDescent="0.45">
      <c r="A16">
        <v>4</v>
      </c>
      <c r="B16" s="1">
        <f t="shared" si="5"/>
        <v>34365.006142108847</v>
      </c>
      <c r="C16" s="1">
        <f t="shared" si="0"/>
        <v>17468.365712046096</v>
      </c>
      <c r="D16" s="1">
        <f t="shared" si="6"/>
        <v>1030.9501842632653</v>
      </c>
      <c r="E16" s="1">
        <f t="shared" si="1"/>
        <v>16115.113262532188</v>
      </c>
      <c r="F16" s="1">
        <f t="shared" si="2"/>
        <v>18249.892879576659</v>
      </c>
      <c r="G16" s="1">
        <f t="shared" si="3"/>
        <v>322.30226525064376</v>
      </c>
      <c r="H16" s="1">
        <f t="shared" si="4"/>
        <v>1432.4203125909057</v>
      </c>
    </row>
    <row r="17" spans="1:8" x14ac:dyDescent="0.45">
      <c r="A17">
        <v>5</v>
      </c>
      <c r="B17" s="1">
        <f t="shared" si="5"/>
        <v>18249.892879576659</v>
      </c>
      <c r="C17" s="1">
        <f t="shared" si="0"/>
        <v>17468.365712046096</v>
      </c>
      <c r="D17" s="1">
        <f t="shared" si="6"/>
        <v>547.49678638729972</v>
      </c>
      <c r="E17" s="1">
        <f t="shared" si="1"/>
        <v>16589.087182018429</v>
      </c>
      <c r="F17" s="1">
        <f t="shared" si="2"/>
        <v>1660.8056975582294</v>
      </c>
      <c r="G17" s="1">
        <f t="shared" si="3"/>
        <v>331.78174364036857</v>
      </c>
      <c r="H17" s="1">
        <f t="shared" si="4"/>
        <v>1432.4203125909057</v>
      </c>
    </row>
    <row r="18" spans="1:8" x14ac:dyDescent="0.45">
      <c r="B18" s="1"/>
      <c r="C18" s="1"/>
      <c r="D18" s="1">
        <f>SUM(D13:D17)</f>
        <v>7435.8503717398835</v>
      </c>
      <c r="E18" s="1"/>
      <c r="F18" s="1"/>
      <c r="G18" s="1"/>
      <c r="H18" s="1">
        <f>SUM(H13:H17)</f>
        <v>7162.1015629545291</v>
      </c>
    </row>
    <row r="19" spans="1:8" x14ac:dyDescent="0.45">
      <c r="B19" s="1"/>
      <c r="C19" s="1"/>
      <c r="D19" s="1"/>
      <c r="E19" s="1"/>
      <c r="F19" s="1"/>
      <c r="G19" s="1"/>
      <c r="H19" s="1"/>
    </row>
    <row r="20" spans="1:8" x14ac:dyDescent="0.45">
      <c r="B20" s="1"/>
      <c r="C20" s="1"/>
      <c r="D20" s="1"/>
      <c r="E20" s="1"/>
      <c r="F20" s="1"/>
      <c r="G20" s="1"/>
      <c r="H20" s="1"/>
    </row>
    <row r="21" spans="1:8" x14ac:dyDescent="0.45">
      <c r="B21" s="1"/>
      <c r="C21" s="1"/>
      <c r="D21" s="1"/>
      <c r="E21" s="1"/>
      <c r="F21" s="1"/>
      <c r="G21" s="1"/>
      <c r="H21" s="1"/>
    </row>
    <row r="22" spans="1:8" x14ac:dyDescent="0.45">
      <c r="B22" s="1"/>
      <c r="C22" s="1"/>
      <c r="D22" s="1"/>
      <c r="E22" s="1"/>
      <c r="F22" s="1"/>
      <c r="G22" s="1"/>
      <c r="H22" s="1"/>
    </row>
    <row r="23" spans="1:8" x14ac:dyDescent="0.45">
      <c r="B23" s="1"/>
      <c r="C23" s="1"/>
      <c r="D23" s="1"/>
      <c r="E23" s="1"/>
      <c r="F23" s="1"/>
      <c r="G23" s="1"/>
      <c r="H23" s="1"/>
    </row>
    <row r="24" spans="1:8" x14ac:dyDescent="0.45">
      <c r="B24" s="1"/>
      <c r="C24" s="1"/>
      <c r="D24" s="1"/>
      <c r="E24" s="1"/>
      <c r="F24" s="1"/>
      <c r="G24" s="1"/>
      <c r="H24" s="1"/>
    </row>
    <row r="25" spans="1:8" x14ac:dyDescent="0.45">
      <c r="B25" s="1"/>
      <c r="C25" s="1"/>
      <c r="D25" s="1"/>
      <c r="E25" s="1"/>
      <c r="F25" s="1"/>
      <c r="G25" s="1"/>
      <c r="H25" s="1"/>
    </row>
    <row r="26" spans="1:8" x14ac:dyDescent="0.45">
      <c r="B26" s="1"/>
      <c r="C26" s="1"/>
      <c r="D26" s="1"/>
      <c r="E26" s="1"/>
      <c r="F26" s="1"/>
      <c r="G26" s="1"/>
      <c r="H26" s="1"/>
    </row>
    <row r="27" spans="1:8" x14ac:dyDescent="0.45">
      <c r="B27" s="1"/>
      <c r="C27" s="1"/>
      <c r="D27" s="1"/>
      <c r="E27" s="1"/>
      <c r="F27" s="1"/>
      <c r="G27" s="1"/>
      <c r="H27" s="1"/>
    </row>
    <row r="28" spans="1:8" x14ac:dyDescent="0.45">
      <c r="B28" s="1"/>
      <c r="C28" s="1"/>
      <c r="D28" s="1"/>
      <c r="E28" s="1"/>
      <c r="F28" s="1"/>
      <c r="G28" s="1"/>
      <c r="H28" s="1"/>
    </row>
    <row r="29" spans="1:8" x14ac:dyDescent="0.45">
      <c r="B29" s="1"/>
      <c r="C29" s="1"/>
      <c r="D29" s="1"/>
      <c r="E29" s="1"/>
      <c r="F29" s="1"/>
      <c r="G29" s="1"/>
      <c r="H29" s="1"/>
    </row>
    <row r="30" spans="1:8" x14ac:dyDescent="0.45">
      <c r="B30" s="1"/>
      <c r="C30" s="1"/>
      <c r="D30" s="1"/>
      <c r="E30" s="1"/>
      <c r="F30" s="1"/>
      <c r="G30" s="1"/>
      <c r="H30" s="1"/>
    </row>
    <row r="31" spans="1:8" x14ac:dyDescent="0.45">
      <c r="B31" s="1"/>
      <c r="C31" s="1"/>
      <c r="D31" s="1"/>
      <c r="E31" s="1"/>
      <c r="F31" s="1"/>
      <c r="G31" s="1"/>
      <c r="H31" s="1"/>
    </row>
    <row r="32" spans="1:8" x14ac:dyDescent="0.45">
      <c r="B32" s="1"/>
      <c r="C32" s="1"/>
      <c r="D32" s="1"/>
      <c r="E32" s="1"/>
      <c r="F32" s="1"/>
      <c r="G32" s="1"/>
      <c r="H32" s="1"/>
    </row>
    <row r="33" spans="2:8" x14ac:dyDescent="0.45">
      <c r="B33" s="1"/>
      <c r="C33" s="1"/>
      <c r="D33" s="1"/>
      <c r="E33" s="1"/>
      <c r="F33" s="1"/>
      <c r="G33" s="1"/>
      <c r="H33" s="1"/>
    </row>
    <row r="34" spans="2:8" x14ac:dyDescent="0.45">
      <c r="B34" s="1"/>
      <c r="C34" s="1"/>
      <c r="D34" s="1"/>
      <c r="E34" s="1"/>
      <c r="F34" s="1"/>
      <c r="G34" s="1"/>
      <c r="H34" s="1"/>
    </row>
    <row r="35" spans="2:8" x14ac:dyDescent="0.45">
      <c r="B35" s="1"/>
      <c r="C35" s="1"/>
      <c r="D35" s="1"/>
      <c r="E35" s="1"/>
      <c r="F35" s="1"/>
      <c r="G35" s="1"/>
      <c r="H35" s="1"/>
    </row>
    <row r="36" spans="2:8" x14ac:dyDescent="0.45">
      <c r="B36" s="1"/>
      <c r="C36" s="1"/>
      <c r="D36" s="1"/>
      <c r="E36" s="1"/>
      <c r="F36" s="1"/>
      <c r="G36" s="1"/>
      <c r="H36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54E4-2C07-44A9-96DF-C7DB120E289C}">
  <dimension ref="A2:F17"/>
  <sheetViews>
    <sheetView workbookViewId="0">
      <selection activeCell="C18" sqref="C18"/>
    </sheetView>
  </sheetViews>
  <sheetFormatPr baseColWidth="10" defaultRowHeight="14.25" x14ac:dyDescent="0.45"/>
  <sheetData>
    <row r="2" spans="1:6" x14ac:dyDescent="0.45">
      <c r="A2" t="s">
        <v>17</v>
      </c>
      <c r="B2">
        <v>80000</v>
      </c>
    </row>
    <row r="3" spans="1:6" x14ac:dyDescent="0.45">
      <c r="A3" t="s">
        <v>1</v>
      </c>
      <c r="B3">
        <v>5</v>
      </c>
    </row>
    <row r="4" spans="1:6" x14ac:dyDescent="0.45">
      <c r="A4" t="s">
        <v>2</v>
      </c>
      <c r="B4">
        <v>0.03</v>
      </c>
    </row>
    <row r="5" spans="1:6" x14ac:dyDescent="0.45">
      <c r="A5" t="s">
        <v>3</v>
      </c>
      <c r="B5">
        <f>1+B4</f>
        <v>1.03</v>
      </c>
    </row>
    <row r="6" spans="1:6" x14ac:dyDescent="0.45">
      <c r="A6" t="s">
        <v>18</v>
      </c>
      <c r="B6">
        <f>B2/B3</f>
        <v>16000</v>
      </c>
    </row>
    <row r="11" spans="1:6" x14ac:dyDescent="0.45">
      <c r="A11" t="s">
        <v>5</v>
      </c>
      <c r="B11" t="s">
        <v>6</v>
      </c>
      <c r="C11" t="s">
        <v>19</v>
      </c>
      <c r="D11" t="s">
        <v>20</v>
      </c>
      <c r="E11" t="s">
        <v>16</v>
      </c>
      <c r="F11" t="s">
        <v>9</v>
      </c>
    </row>
    <row r="12" spans="1:6" x14ac:dyDescent="0.45">
      <c r="A12">
        <v>1</v>
      </c>
      <c r="B12">
        <f>B2</f>
        <v>80000</v>
      </c>
      <c r="C12">
        <f>D12+E12</f>
        <v>18400</v>
      </c>
      <c r="D12">
        <f>B12*$B$4</f>
        <v>2400</v>
      </c>
      <c r="E12">
        <f>$B$6</f>
        <v>16000</v>
      </c>
      <c r="F12">
        <f>B12-E12</f>
        <v>64000</v>
      </c>
    </row>
    <row r="13" spans="1:6" x14ac:dyDescent="0.45">
      <c r="A13">
        <v>2</v>
      </c>
      <c r="B13">
        <f>F12</f>
        <v>64000</v>
      </c>
      <c r="C13">
        <f t="shared" ref="C13:C16" si="0">D13+E13</f>
        <v>17920</v>
      </c>
      <c r="D13">
        <f t="shared" ref="D13:D16" si="1">B13*$B$4</f>
        <v>1920</v>
      </c>
      <c r="E13">
        <f t="shared" ref="E13:E16" si="2">$B$6</f>
        <v>16000</v>
      </c>
      <c r="F13">
        <f t="shared" ref="F13:F16" si="3">B13-E13</f>
        <v>48000</v>
      </c>
    </row>
    <row r="14" spans="1:6" x14ac:dyDescent="0.45">
      <c r="A14">
        <v>3</v>
      </c>
      <c r="B14">
        <f t="shared" ref="B14:B16" si="4">F13</f>
        <v>48000</v>
      </c>
      <c r="C14">
        <f t="shared" si="0"/>
        <v>17440</v>
      </c>
      <c r="D14">
        <f t="shared" si="1"/>
        <v>1440</v>
      </c>
      <c r="E14">
        <f t="shared" si="2"/>
        <v>16000</v>
      </c>
      <c r="F14">
        <f t="shared" si="3"/>
        <v>32000</v>
      </c>
    </row>
    <row r="15" spans="1:6" x14ac:dyDescent="0.45">
      <c r="A15">
        <v>4</v>
      </c>
      <c r="B15">
        <f t="shared" si="4"/>
        <v>32000</v>
      </c>
      <c r="C15">
        <f t="shared" si="0"/>
        <v>16960</v>
      </c>
      <c r="D15">
        <f t="shared" si="1"/>
        <v>960</v>
      </c>
      <c r="E15">
        <f t="shared" si="2"/>
        <v>16000</v>
      </c>
      <c r="F15">
        <f t="shared" si="3"/>
        <v>16000</v>
      </c>
    </row>
    <row r="16" spans="1:6" x14ac:dyDescent="0.45">
      <c r="A16">
        <v>5</v>
      </c>
      <c r="B16">
        <f t="shared" si="4"/>
        <v>16000</v>
      </c>
      <c r="C16">
        <f t="shared" si="0"/>
        <v>16480</v>
      </c>
      <c r="D16">
        <f t="shared" si="1"/>
        <v>480</v>
      </c>
      <c r="E16">
        <f t="shared" si="2"/>
        <v>16000</v>
      </c>
      <c r="F16">
        <f t="shared" si="3"/>
        <v>0</v>
      </c>
    </row>
    <row r="17" spans="2:6" x14ac:dyDescent="0.45">
      <c r="B17">
        <f>SUM(B12:B16)</f>
        <v>240000</v>
      </c>
      <c r="C17">
        <f>SUM(C12:C16)</f>
        <v>87200</v>
      </c>
      <c r="D17">
        <f>SUM(D12:D16)</f>
        <v>7200</v>
      </c>
      <c r="F17">
        <f>SUM(F12:F16)</f>
        <v>160000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70A5-C72A-4690-91CE-31EAFFF5B076}">
  <dimension ref="A2:G17"/>
  <sheetViews>
    <sheetView workbookViewId="0">
      <selection activeCell="D18" sqref="D18"/>
    </sheetView>
  </sheetViews>
  <sheetFormatPr baseColWidth="10" defaultColWidth="11.3984375" defaultRowHeight="14.25" x14ac:dyDescent="0.45"/>
  <cols>
    <col min="1" max="6" width="11.3984375" style="1"/>
    <col min="7" max="7" width="23.1328125" style="1" bestFit="1" customWidth="1"/>
    <col min="8" max="16384" width="11.3984375" style="1"/>
  </cols>
  <sheetData>
    <row r="2" spans="1:7" x14ac:dyDescent="0.45">
      <c r="A2" t="s">
        <v>17</v>
      </c>
      <c r="B2">
        <v>80000</v>
      </c>
    </row>
    <row r="3" spans="1:7" x14ac:dyDescent="0.45">
      <c r="A3" t="s">
        <v>1</v>
      </c>
      <c r="B3">
        <v>5</v>
      </c>
    </row>
    <row r="4" spans="1:7" x14ac:dyDescent="0.45">
      <c r="A4" t="s">
        <v>2</v>
      </c>
      <c r="B4">
        <v>0.03</v>
      </c>
    </row>
    <row r="5" spans="1:7" x14ac:dyDescent="0.45">
      <c r="A5" t="s">
        <v>3</v>
      </c>
      <c r="B5">
        <f>1+B4</f>
        <v>1.03</v>
      </c>
    </row>
    <row r="6" spans="1:7" x14ac:dyDescent="0.45">
      <c r="A6" t="s">
        <v>18</v>
      </c>
      <c r="B6">
        <f>B2/B3</f>
        <v>16000</v>
      </c>
    </row>
    <row r="7" spans="1:7" x14ac:dyDescent="0.45">
      <c r="A7" s="1" t="s">
        <v>11</v>
      </c>
      <c r="B7" s="2">
        <v>12</v>
      </c>
    </row>
    <row r="11" spans="1:7" x14ac:dyDescent="0.45">
      <c r="A11" s="1" t="s">
        <v>5</v>
      </c>
      <c r="B11" s="1" t="s">
        <v>6</v>
      </c>
      <c r="C11" s="1" t="s">
        <v>19</v>
      </c>
      <c r="D11" s="1" t="s">
        <v>20</v>
      </c>
      <c r="E11" s="1" t="s">
        <v>16</v>
      </c>
      <c r="F11" s="1" t="s">
        <v>9</v>
      </c>
      <c r="G11" s="1" t="s">
        <v>21</v>
      </c>
    </row>
    <row r="12" spans="1:7" x14ac:dyDescent="0.45">
      <c r="A12" s="2">
        <v>1</v>
      </c>
      <c r="B12" s="1">
        <f>B2</f>
        <v>80000</v>
      </c>
      <c r="C12" s="1">
        <f>D12+E12</f>
        <v>18400</v>
      </c>
      <c r="D12" s="1">
        <f>B12*$B$4</f>
        <v>2400</v>
      </c>
      <c r="E12" s="1">
        <f>$B$6</f>
        <v>16000</v>
      </c>
      <c r="F12" s="1">
        <f>B12-E12</f>
        <v>64000</v>
      </c>
      <c r="G12" s="1">
        <f>C12/($B$7+$B$4/2*($B$7+1))</f>
        <v>1508.8150881508814</v>
      </c>
    </row>
    <row r="13" spans="1:7" x14ac:dyDescent="0.45">
      <c r="A13" s="2">
        <v>2</v>
      </c>
      <c r="B13" s="1">
        <f>F12</f>
        <v>64000</v>
      </c>
      <c r="C13" s="1">
        <f t="shared" ref="C13:C16" si="0">D13+E13</f>
        <v>17920</v>
      </c>
      <c r="D13" s="1">
        <f t="shared" ref="D13:D16" si="1">B13*$B$4</f>
        <v>1920</v>
      </c>
      <c r="E13" s="1">
        <f t="shared" ref="E13:E16" si="2">$B$6</f>
        <v>16000</v>
      </c>
      <c r="F13" s="1">
        <f t="shared" ref="F13:F16" si="3">B13-E13</f>
        <v>48000</v>
      </c>
      <c r="G13" s="1">
        <f t="shared" ref="G13:G16" si="4">C13/($B$7+$B$4/2*($B$7+1))</f>
        <v>1469.4546945469453</v>
      </c>
    </row>
    <row r="14" spans="1:7" x14ac:dyDescent="0.45">
      <c r="A14" s="2">
        <v>3</v>
      </c>
      <c r="B14" s="1">
        <f t="shared" ref="B14:B16" si="5">F13</f>
        <v>48000</v>
      </c>
      <c r="C14" s="1">
        <f t="shared" si="0"/>
        <v>17440</v>
      </c>
      <c r="D14" s="1">
        <f t="shared" si="1"/>
        <v>1440</v>
      </c>
      <c r="E14" s="1">
        <f t="shared" si="2"/>
        <v>16000</v>
      </c>
      <c r="F14" s="1">
        <f t="shared" si="3"/>
        <v>32000</v>
      </c>
      <c r="G14" s="1">
        <f t="shared" si="4"/>
        <v>1430.0943009430093</v>
      </c>
    </row>
    <row r="15" spans="1:7" x14ac:dyDescent="0.45">
      <c r="A15" s="2">
        <v>4</v>
      </c>
      <c r="B15" s="1">
        <f t="shared" si="5"/>
        <v>32000</v>
      </c>
      <c r="C15" s="1">
        <f t="shared" si="0"/>
        <v>16960</v>
      </c>
      <c r="D15" s="1">
        <f t="shared" si="1"/>
        <v>960</v>
      </c>
      <c r="E15" s="1">
        <f t="shared" si="2"/>
        <v>16000</v>
      </c>
      <c r="F15" s="1">
        <f t="shared" si="3"/>
        <v>16000</v>
      </c>
      <c r="G15" s="1">
        <f t="shared" si="4"/>
        <v>1390.7339073390733</v>
      </c>
    </row>
    <row r="16" spans="1:7" x14ac:dyDescent="0.45">
      <c r="A16" s="2">
        <v>5</v>
      </c>
      <c r="B16" s="1">
        <f t="shared" si="5"/>
        <v>16000</v>
      </c>
      <c r="C16" s="1">
        <f t="shared" si="0"/>
        <v>16480</v>
      </c>
      <c r="D16" s="1">
        <f t="shared" si="1"/>
        <v>480</v>
      </c>
      <c r="E16" s="1">
        <f t="shared" si="2"/>
        <v>16000</v>
      </c>
      <c r="F16" s="1">
        <f t="shared" si="3"/>
        <v>0</v>
      </c>
      <c r="G16" s="1">
        <f t="shared" si="4"/>
        <v>1351.3735137351373</v>
      </c>
    </row>
    <row r="17" spans="4:4" x14ac:dyDescent="0.45">
      <c r="D17" s="1">
        <f>SUM(D12:D16)</f>
        <v>7200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E258-1B6D-4DC7-95A4-65B89931082D}">
  <dimension ref="A2:H20"/>
  <sheetViews>
    <sheetView workbookViewId="0">
      <selection activeCell="D32" sqref="D32"/>
    </sheetView>
  </sheetViews>
  <sheetFormatPr baseColWidth="10" defaultColWidth="11.3984375" defaultRowHeight="14.25" x14ac:dyDescent="0.45"/>
  <cols>
    <col min="1" max="6" width="11.3984375" style="1"/>
    <col min="7" max="7" width="23.1328125" style="1" bestFit="1" customWidth="1"/>
    <col min="8" max="16384" width="11.3984375" style="1"/>
  </cols>
  <sheetData>
    <row r="2" spans="1:8" x14ac:dyDescent="0.45">
      <c r="A2" s="1" t="s">
        <v>17</v>
      </c>
      <c r="B2">
        <v>80000</v>
      </c>
    </row>
    <row r="3" spans="1:8" x14ac:dyDescent="0.45">
      <c r="A3" s="1" t="s">
        <v>1</v>
      </c>
      <c r="B3">
        <v>5</v>
      </c>
    </row>
    <row r="4" spans="1:8" x14ac:dyDescent="0.45">
      <c r="A4" s="1" t="s">
        <v>2</v>
      </c>
      <c r="B4">
        <v>0.03</v>
      </c>
    </row>
    <row r="5" spans="1:8" x14ac:dyDescent="0.45">
      <c r="A5" s="1" t="s">
        <v>3</v>
      </c>
      <c r="B5">
        <f>1+B4</f>
        <v>1.03</v>
      </c>
    </row>
    <row r="6" spans="1:8" x14ac:dyDescent="0.45">
      <c r="A6" s="1" t="s">
        <v>18</v>
      </c>
      <c r="B6">
        <f>B2/B3</f>
        <v>16000</v>
      </c>
    </row>
    <row r="7" spans="1:8" x14ac:dyDescent="0.45">
      <c r="A7" s="1" t="s">
        <v>12</v>
      </c>
      <c r="B7" s="1">
        <v>0.02</v>
      </c>
    </row>
    <row r="8" spans="1:8" x14ac:dyDescent="0.45">
      <c r="A8" s="1" t="s">
        <v>11</v>
      </c>
      <c r="B8" s="1">
        <v>12</v>
      </c>
    </row>
    <row r="11" spans="1:8" x14ac:dyDescent="0.45">
      <c r="A11" s="1" t="s">
        <v>5</v>
      </c>
      <c r="B11" s="1" t="s">
        <v>6</v>
      </c>
      <c r="C11" s="1" t="s">
        <v>19</v>
      </c>
      <c r="D11" s="1" t="s">
        <v>20</v>
      </c>
      <c r="E11" s="1" t="s">
        <v>16</v>
      </c>
      <c r="F11" s="1" t="s">
        <v>9</v>
      </c>
      <c r="G11" s="1" t="s">
        <v>21</v>
      </c>
      <c r="H11" s="1" t="s">
        <v>22</v>
      </c>
    </row>
    <row r="12" spans="1:8" x14ac:dyDescent="0.45">
      <c r="A12" s="2">
        <v>1</v>
      </c>
      <c r="B12" s="1">
        <f>B2</f>
        <v>80000</v>
      </c>
      <c r="C12" s="1">
        <f>D12+E12+H12</f>
        <v>18720</v>
      </c>
      <c r="D12" s="1">
        <f>B12*$B$4</f>
        <v>2400</v>
      </c>
      <c r="E12" s="1">
        <f>$B$6</f>
        <v>16000</v>
      </c>
      <c r="F12" s="1">
        <f>B12-E12</f>
        <v>64000</v>
      </c>
      <c r="G12" s="1">
        <f>C12/($B$8+$B$4/2*($B$8+1))</f>
        <v>1535.0553505535056</v>
      </c>
      <c r="H12" s="1">
        <f>E12*$B$7</f>
        <v>320</v>
      </c>
    </row>
    <row r="13" spans="1:8" x14ac:dyDescent="0.45">
      <c r="A13" s="2">
        <v>2</v>
      </c>
      <c r="B13" s="1">
        <f>F12</f>
        <v>64000</v>
      </c>
      <c r="C13" s="1">
        <f t="shared" ref="C13:C16" si="0">D13+E13+H13</f>
        <v>18240</v>
      </c>
      <c r="D13" s="1">
        <f t="shared" ref="D13:D16" si="1">B13*$B$4</f>
        <v>1920</v>
      </c>
      <c r="E13" s="1">
        <f t="shared" ref="E13:E16" si="2">$B$6</f>
        <v>16000</v>
      </c>
      <c r="F13" s="1">
        <f t="shared" ref="F13:F16" si="3">B13-E13</f>
        <v>48000</v>
      </c>
      <c r="G13" s="1">
        <f t="shared" ref="G13:G16" si="4">C13/($B$8+$B$4/2*($B$8+1))</f>
        <v>1495.6949569495694</v>
      </c>
      <c r="H13" s="1">
        <f t="shared" ref="H13:H16" si="5">E13*$B$7</f>
        <v>320</v>
      </c>
    </row>
    <row r="14" spans="1:8" x14ac:dyDescent="0.45">
      <c r="A14" s="2">
        <v>3</v>
      </c>
      <c r="B14" s="1">
        <f t="shared" ref="B14:B16" si="6">F13</f>
        <v>48000</v>
      </c>
      <c r="C14" s="1">
        <f t="shared" si="0"/>
        <v>17760</v>
      </c>
      <c r="D14" s="1">
        <f t="shared" si="1"/>
        <v>1440</v>
      </c>
      <c r="E14" s="1">
        <f t="shared" si="2"/>
        <v>16000</v>
      </c>
      <c r="F14" s="1">
        <f t="shared" si="3"/>
        <v>32000</v>
      </c>
      <c r="G14" s="1">
        <f t="shared" si="4"/>
        <v>1456.3345633456333</v>
      </c>
      <c r="H14" s="1">
        <f t="shared" si="5"/>
        <v>320</v>
      </c>
    </row>
    <row r="15" spans="1:8" x14ac:dyDescent="0.45">
      <c r="A15" s="2">
        <v>4</v>
      </c>
      <c r="B15" s="1">
        <f t="shared" si="6"/>
        <v>32000</v>
      </c>
      <c r="C15" s="1">
        <f t="shared" si="0"/>
        <v>17280</v>
      </c>
      <c r="D15" s="1">
        <f t="shared" si="1"/>
        <v>960</v>
      </c>
      <c r="E15" s="1">
        <f t="shared" si="2"/>
        <v>16000</v>
      </c>
      <c r="F15" s="1">
        <f t="shared" si="3"/>
        <v>16000</v>
      </c>
      <c r="G15" s="1">
        <f t="shared" si="4"/>
        <v>1416.9741697416973</v>
      </c>
      <c r="H15" s="1">
        <f t="shared" si="5"/>
        <v>320</v>
      </c>
    </row>
    <row r="16" spans="1:8" x14ac:dyDescent="0.45">
      <c r="A16" s="2">
        <v>5</v>
      </c>
      <c r="B16" s="1">
        <f t="shared" si="6"/>
        <v>16000</v>
      </c>
      <c r="C16" s="1">
        <f t="shared" si="0"/>
        <v>16800</v>
      </c>
      <c r="D16" s="1">
        <f t="shared" si="1"/>
        <v>480</v>
      </c>
      <c r="E16" s="1">
        <f t="shared" si="2"/>
        <v>16000</v>
      </c>
      <c r="F16" s="1">
        <f t="shared" si="3"/>
        <v>0</v>
      </c>
      <c r="G16" s="1">
        <f t="shared" si="4"/>
        <v>1377.6137761377613</v>
      </c>
      <c r="H16" s="1">
        <f t="shared" si="5"/>
        <v>320</v>
      </c>
    </row>
    <row r="17" spans="1:7" x14ac:dyDescent="0.45">
      <c r="A17" s="2"/>
    </row>
    <row r="18" spans="1:7" x14ac:dyDescent="0.45">
      <c r="A18" s="2"/>
    </row>
    <row r="19" spans="1:7" x14ac:dyDescent="0.45">
      <c r="A19" s="2"/>
    </row>
    <row r="20" spans="1:7" x14ac:dyDescent="0.45">
      <c r="C20" s="1">
        <f>SUM(C12:C19)</f>
        <v>88800</v>
      </c>
      <c r="D20" s="1">
        <f t="shared" ref="D20:E20" si="7">SUM(D12:D19)</f>
        <v>7200</v>
      </c>
      <c r="E20" s="1">
        <f t="shared" si="7"/>
        <v>80000</v>
      </c>
      <c r="G20" s="1">
        <f>SUM(G12:G19)</f>
        <v>7281.6728167281672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1F42-1D46-45A0-A0F7-3298891A831E}">
  <dimension ref="A2:H22"/>
  <sheetViews>
    <sheetView workbookViewId="0">
      <selection activeCell="G9" sqref="G9"/>
    </sheetView>
  </sheetViews>
  <sheetFormatPr baseColWidth="10" defaultColWidth="11.3984375" defaultRowHeight="14.25" x14ac:dyDescent="0.45"/>
  <cols>
    <col min="1" max="6" width="11.3984375" style="1"/>
    <col min="7" max="7" width="23.1328125" style="1" bestFit="1" customWidth="1"/>
    <col min="8" max="16384" width="11.3984375" style="1"/>
  </cols>
  <sheetData>
    <row r="2" spans="1:8" x14ac:dyDescent="0.45">
      <c r="A2" s="1" t="s">
        <v>17</v>
      </c>
      <c r="B2" s="1">
        <v>200000</v>
      </c>
    </row>
    <row r="3" spans="1:8" x14ac:dyDescent="0.45">
      <c r="A3" s="1" t="s">
        <v>1</v>
      </c>
      <c r="B3" s="1">
        <v>8</v>
      </c>
    </row>
    <row r="4" spans="1:8" x14ac:dyDescent="0.45">
      <c r="A4" s="1" t="s">
        <v>2</v>
      </c>
      <c r="B4" s="1">
        <v>0.05</v>
      </c>
    </row>
    <row r="5" spans="1:8" x14ac:dyDescent="0.45">
      <c r="A5" s="1" t="s">
        <v>3</v>
      </c>
      <c r="B5" s="1">
        <f>1+B4</f>
        <v>1.05</v>
      </c>
    </row>
    <row r="6" spans="1:8" x14ac:dyDescent="0.45">
      <c r="A6" s="1" t="s">
        <v>18</v>
      </c>
      <c r="B6" s="1">
        <f>B2/B3</f>
        <v>25000</v>
      </c>
    </row>
    <row r="7" spans="1:8" x14ac:dyDescent="0.45">
      <c r="A7" s="1" t="s">
        <v>12</v>
      </c>
      <c r="B7" s="1">
        <v>0.02</v>
      </c>
    </row>
    <row r="8" spans="1:8" x14ac:dyDescent="0.45">
      <c r="A8" s="1" t="s">
        <v>11</v>
      </c>
      <c r="B8" s="1">
        <v>12</v>
      </c>
    </row>
    <row r="11" spans="1:8" x14ac:dyDescent="0.45">
      <c r="A11" s="1" t="s">
        <v>5</v>
      </c>
      <c r="B11" s="1" t="s">
        <v>6</v>
      </c>
      <c r="C11" s="1" t="s">
        <v>19</v>
      </c>
      <c r="D11" s="1" t="s">
        <v>20</v>
      </c>
      <c r="E11" s="1" t="s">
        <v>16</v>
      </c>
      <c r="F11" s="1" t="s">
        <v>9</v>
      </c>
      <c r="G11" s="1" t="s">
        <v>21</v>
      </c>
      <c r="H11" s="1" t="s">
        <v>22</v>
      </c>
    </row>
    <row r="12" spans="1:8" x14ac:dyDescent="0.45">
      <c r="A12" s="1">
        <v>1</v>
      </c>
      <c r="B12" s="1">
        <f>B2</f>
        <v>200000</v>
      </c>
      <c r="C12" s="1">
        <f t="shared" ref="C12:C13" si="0">D12+E12+H12</f>
        <v>10000</v>
      </c>
      <c r="D12" s="1">
        <f t="shared" ref="D12:D13" si="1">B12*$B$4</f>
        <v>10000</v>
      </c>
      <c r="E12" s="1">
        <v>0</v>
      </c>
      <c r="F12" s="1">
        <f t="shared" ref="F12:F13" si="2">B12-E12</f>
        <v>200000</v>
      </c>
      <c r="G12" s="1">
        <f t="shared" ref="G12:G13" si="3">C12/($B$8+$B$4/2*($B$8+1))</f>
        <v>811.35902636916842</v>
      </c>
      <c r="H12" s="1">
        <f t="shared" ref="H12:H13" si="4">E12*$B$7</f>
        <v>0</v>
      </c>
    </row>
    <row r="13" spans="1:8" x14ac:dyDescent="0.45">
      <c r="A13" s="1">
        <v>2</v>
      </c>
      <c r="B13" s="1">
        <f t="shared" ref="B13:B14" si="5">F12</f>
        <v>200000</v>
      </c>
      <c r="C13" s="1">
        <f t="shared" si="0"/>
        <v>10000</v>
      </c>
      <c r="D13" s="1">
        <f t="shared" si="1"/>
        <v>10000</v>
      </c>
      <c r="E13" s="1">
        <v>0</v>
      </c>
      <c r="F13" s="1">
        <f t="shared" si="2"/>
        <v>200000</v>
      </c>
      <c r="G13" s="1">
        <f t="shared" si="3"/>
        <v>811.35902636916842</v>
      </c>
      <c r="H13" s="1">
        <f t="shared" si="4"/>
        <v>0</v>
      </c>
    </row>
    <row r="14" spans="1:8" x14ac:dyDescent="0.45">
      <c r="A14" s="1">
        <v>3</v>
      </c>
      <c r="B14" s="1">
        <f t="shared" si="5"/>
        <v>200000</v>
      </c>
      <c r="C14" s="1">
        <f>D14+E14+H14</f>
        <v>35500</v>
      </c>
      <c r="D14" s="1">
        <f>B14*$B$4</f>
        <v>10000</v>
      </c>
      <c r="E14" s="1">
        <f>$B$6</f>
        <v>25000</v>
      </c>
      <c r="F14" s="1">
        <f>B14-E14</f>
        <v>175000</v>
      </c>
      <c r="G14" s="1">
        <f>C14/($B$8+$B$4/2*($B$8+1))</f>
        <v>2880.3245436105476</v>
      </c>
      <c r="H14" s="1">
        <f>E14*$B$7</f>
        <v>500</v>
      </c>
    </row>
    <row r="15" spans="1:8" x14ac:dyDescent="0.45">
      <c r="A15" s="1">
        <v>4</v>
      </c>
      <c r="B15" s="1">
        <f>F14</f>
        <v>175000</v>
      </c>
      <c r="C15" s="1">
        <f t="shared" ref="C15:C21" si="6">D15+E15+H15</f>
        <v>34250</v>
      </c>
      <c r="D15" s="1">
        <f t="shared" ref="D15:D21" si="7">B15*$B$4</f>
        <v>8750</v>
      </c>
      <c r="E15" s="1">
        <f t="shared" ref="E15:E21" si="8">$B$6</f>
        <v>25000</v>
      </c>
      <c r="F15" s="1">
        <f t="shared" ref="F15:F21" si="9">B15-E15</f>
        <v>150000</v>
      </c>
      <c r="G15" s="1">
        <f t="shared" ref="G15:G21" si="10">C15/($B$8+$B$4/2*($B$8+1))</f>
        <v>2778.9046653144019</v>
      </c>
      <c r="H15" s="1">
        <f t="shared" ref="H15:H21" si="11">E15*$B$7</f>
        <v>500</v>
      </c>
    </row>
    <row r="16" spans="1:8" x14ac:dyDescent="0.45">
      <c r="A16" s="1">
        <v>5</v>
      </c>
      <c r="B16" s="1">
        <f t="shared" ref="B16:B21" si="12">F15</f>
        <v>150000</v>
      </c>
      <c r="C16" s="1">
        <f t="shared" si="6"/>
        <v>33000</v>
      </c>
      <c r="D16" s="1">
        <f t="shared" si="7"/>
        <v>7500</v>
      </c>
      <c r="E16" s="1">
        <f t="shared" si="8"/>
        <v>25000</v>
      </c>
      <c r="F16" s="1">
        <f t="shared" si="9"/>
        <v>125000</v>
      </c>
      <c r="G16" s="1">
        <f t="shared" si="10"/>
        <v>2677.4847870182557</v>
      </c>
      <c r="H16" s="1">
        <f t="shared" si="11"/>
        <v>500</v>
      </c>
    </row>
    <row r="17" spans="1:8" x14ac:dyDescent="0.45">
      <c r="A17" s="1">
        <v>6</v>
      </c>
      <c r="B17" s="1">
        <f t="shared" si="12"/>
        <v>125000</v>
      </c>
      <c r="C17" s="1">
        <f t="shared" si="6"/>
        <v>31750</v>
      </c>
      <c r="D17" s="1">
        <f t="shared" si="7"/>
        <v>6250</v>
      </c>
      <c r="E17" s="1">
        <f t="shared" si="8"/>
        <v>25000</v>
      </c>
      <c r="F17" s="1">
        <f t="shared" si="9"/>
        <v>100000</v>
      </c>
      <c r="G17" s="1">
        <f t="shared" si="10"/>
        <v>2576.0649087221095</v>
      </c>
      <c r="H17" s="1">
        <f t="shared" si="11"/>
        <v>500</v>
      </c>
    </row>
    <row r="18" spans="1:8" x14ac:dyDescent="0.45">
      <c r="A18" s="1">
        <v>7</v>
      </c>
      <c r="B18" s="1">
        <f t="shared" si="12"/>
        <v>100000</v>
      </c>
      <c r="C18" s="1">
        <f t="shared" si="6"/>
        <v>30500</v>
      </c>
      <c r="D18" s="1">
        <f t="shared" si="7"/>
        <v>5000</v>
      </c>
      <c r="E18" s="1">
        <f t="shared" si="8"/>
        <v>25000</v>
      </c>
      <c r="F18" s="1">
        <f t="shared" si="9"/>
        <v>75000</v>
      </c>
      <c r="G18" s="1">
        <f t="shared" si="10"/>
        <v>2474.6450304259638</v>
      </c>
      <c r="H18" s="1">
        <f t="shared" si="11"/>
        <v>500</v>
      </c>
    </row>
    <row r="19" spans="1:8" x14ac:dyDescent="0.45">
      <c r="A19" s="1">
        <v>8</v>
      </c>
      <c r="B19" s="1">
        <f t="shared" si="12"/>
        <v>75000</v>
      </c>
      <c r="C19" s="1">
        <f t="shared" si="6"/>
        <v>29250</v>
      </c>
      <c r="D19" s="1">
        <f t="shared" si="7"/>
        <v>3750</v>
      </c>
      <c r="E19" s="1">
        <f t="shared" si="8"/>
        <v>25000</v>
      </c>
      <c r="F19" s="1">
        <f t="shared" si="9"/>
        <v>50000</v>
      </c>
      <c r="G19" s="1">
        <f t="shared" si="10"/>
        <v>2373.2251521298176</v>
      </c>
      <c r="H19" s="1">
        <f t="shared" si="11"/>
        <v>500</v>
      </c>
    </row>
    <row r="20" spans="1:8" x14ac:dyDescent="0.45">
      <c r="A20" s="1">
        <v>9</v>
      </c>
      <c r="B20" s="1">
        <f t="shared" si="12"/>
        <v>50000</v>
      </c>
      <c r="C20" s="1">
        <f t="shared" si="6"/>
        <v>28000</v>
      </c>
      <c r="D20" s="1">
        <f t="shared" si="7"/>
        <v>2500</v>
      </c>
      <c r="E20" s="1">
        <f t="shared" si="8"/>
        <v>25000</v>
      </c>
      <c r="F20" s="1">
        <f t="shared" si="9"/>
        <v>25000</v>
      </c>
      <c r="G20" s="1">
        <f t="shared" si="10"/>
        <v>2271.8052738336714</v>
      </c>
      <c r="H20" s="1">
        <f t="shared" si="11"/>
        <v>500</v>
      </c>
    </row>
    <row r="21" spans="1:8" x14ac:dyDescent="0.45">
      <c r="A21" s="1">
        <v>10</v>
      </c>
      <c r="B21" s="1">
        <f t="shared" si="12"/>
        <v>25000</v>
      </c>
      <c r="C21" s="1">
        <f t="shared" si="6"/>
        <v>26750</v>
      </c>
      <c r="D21" s="1">
        <f t="shared" si="7"/>
        <v>1250</v>
      </c>
      <c r="E21" s="1">
        <f t="shared" si="8"/>
        <v>25000</v>
      </c>
      <c r="F21" s="1">
        <f t="shared" si="9"/>
        <v>0</v>
      </c>
      <c r="G21" s="1">
        <f t="shared" si="10"/>
        <v>2170.3853955375253</v>
      </c>
      <c r="H21" s="1">
        <f t="shared" si="11"/>
        <v>500</v>
      </c>
    </row>
    <row r="22" spans="1:8" x14ac:dyDescent="0.45">
      <c r="C22" s="1">
        <f>SUM(C14:C21)</f>
        <v>249000</v>
      </c>
      <c r="D22" s="1">
        <f t="shared" ref="D22:E22" si="13">SUM(D14:D21)</f>
        <v>45000</v>
      </c>
      <c r="E22" s="1">
        <f t="shared" si="13"/>
        <v>200000</v>
      </c>
      <c r="G22" s="1">
        <f>SUM(G14:G21)</f>
        <v>20202.839756592293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EE0B-636E-4D77-978C-F781EDA5D402}">
  <dimension ref="A1:J37"/>
  <sheetViews>
    <sheetView workbookViewId="0">
      <selection activeCell="G2" sqref="G2"/>
    </sheetView>
  </sheetViews>
  <sheetFormatPr baseColWidth="10" defaultRowHeight="14.25" x14ac:dyDescent="0.45"/>
  <cols>
    <col min="7" max="8" width="13.73046875" bestFit="1" customWidth="1"/>
  </cols>
  <sheetData>
    <row r="1" spans="1:10" x14ac:dyDescent="0.45">
      <c r="F1" t="s">
        <v>54</v>
      </c>
      <c r="G1" t="s">
        <v>53</v>
      </c>
    </row>
    <row r="2" spans="1:10" x14ac:dyDescent="0.45">
      <c r="A2" t="s">
        <v>2</v>
      </c>
      <c r="D2">
        <v>0</v>
      </c>
      <c r="E2">
        <v>4.4999999999999998E-2</v>
      </c>
      <c r="F2">
        <v>0.17068713621466333</v>
      </c>
      <c r="G2">
        <v>0.26248780252478182</v>
      </c>
    </row>
    <row r="3" spans="1:10" x14ac:dyDescent="0.45">
      <c r="A3" t="s">
        <v>3</v>
      </c>
      <c r="D3">
        <f>1+D2</f>
        <v>1</v>
      </c>
      <c r="E3">
        <f>1+E2</f>
        <v>1.0449999999999999</v>
      </c>
      <c r="F3">
        <f>1+F2</f>
        <v>1.1706871362146634</v>
      </c>
      <c r="G3">
        <f>1+G2</f>
        <v>1.2624878025247819</v>
      </c>
    </row>
    <row r="5" spans="1:10" x14ac:dyDescent="0.45">
      <c r="G5" s="3"/>
      <c r="I5" s="3"/>
      <c r="J5" s="3"/>
    </row>
    <row r="6" spans="1:10" x14ac:dyDescent="0.45">
      <c r="A6" t="s">
        <v>25</v>
      </c>
      <c r="B6" t="s">
        <v>26</v>
      </c>
      <c r="C6" t="s">
        <v>27</v>
      </c>
      <c r="D6" t="s">
        <v>28</v>
      </c>
      <c r="E6" t="s">
        <v>30</v>
      </c>
      <c r="F6" t="s">
        <v>30</v>
      </c>
    </row>
    <row r="7" spans="1:10" x14ac:dyDescent="0.45">
      <c r="A7">
        <v>0</v>
      </c>
      <c r="B7">
        <v>0</v>
      </c>
      <c r="C7">
        <v>800</v>
      </c>
      <c r="D7">
        <f>B7-C7</f>
        <v>-800</v>
      </c>
      <c r="E7" s="1">
        <f>$D7/E$3^$A7</f>
        <v>-800</v>
      </c>
      <c r="F7" s="1">
        <f>$D7/F$3^$A7</f>
        <v>-800</v>
      </c>
    </row>
    <row r="8" spans="1:10" x14ac:dyDescent="0.45">
      <c r="A8">
        <v>1</v>
      </c>
      <c r="B8">
        <v>300</v>
      </c>
      <c r="C8">
        <v>40</v>
      </c>
      <c r="D8">
        <f t="shared" ref="D8:D11" si="0">B8-C8</f>
        <v>260</v>
      </c>
      <c r="E8" s="1">
        <f t="shared" ref="E8:E11" si="1">$D8/E$3^$A8</f>
        <v>248.8038277511962</v>
      </c>
      <c r="F8" s="1">
        <f>$D8/F$3^$A8</f>
        <v>222.09178862312623</v>
      </c>
    </row>
    <row r="9" spans="1:10" x14ac:dyDescent="0.45">
      <c r="A9">
        <v>2</v>
      </c>
      <c r="B9">
        <v>340</v>
      </c>
      <c r="C9">
        <v>50</v>
      </c>
      <c r="D9">
        <f t="shared" si="0"/>
        <v>290</v>
      </c>
      <c r="E9" s="1">
        <f t="shared" si="1"/>
        <v>265.56168585884029</v>
      </c>
      <c r="F9" s="1">
        <f>$D9/F$3^$A9</f>
        <v>211.60031281668077</v>
      </c>
    </row>
    <row r="10" spans="1:10" x14ac:dyDescent="0.45">
      <c r="A10">
        <v>3</v>
      </c>
      <c r="B10">
        <v>400</v>
      </c>
      <c r="C10">
        <v>60</v>
      </c>
      <c r="D10">
        <f t="shared" si="0"/>
        <v>340</v>
      </c>
      <c r="E10" s="1">
        <f t="shared" si="1"/>
        <v>297.94084537866917</v>
      </c>
      <c r="F10" s="1">
        <f>$D10/F$3^$A10</f>
        <v>211.91240400355017</v>
      </c>
    </row>
    <row r="11" spans="1:10" x14ac:dyDescent="0.45">
      <c r="A11">
        <v>4</v>
      </c>
      <c r="B11">
        <v>360</v>
      </c>
      <c r="C11">
        <v>70</v>
      </c>
      <c r="D11">
        <f t="shared" si="0"/>
        <v>290</v>
      </c>
      <c r="E11" s="1">
        <f t="shared" si="1"/>
        <v>243.18278964203233</v>
      </c>
      <c r="F11" s="1">
        <f>$D11/F$3^$A11</f>
        <v>154.39549097971437</v>
      </c>
    </row>
    <row r="12" spans="1:10" x14ac:dyDescent="0.45">
      <c r="E12" s="1"/>
      <c r="F12" s="1"/>
    </row>
    <row r="13" spans="1:10" x14ac:dyDescent="0.45">
      <c r="C13" t="s">
        <v>29</v>
      </c>
      <c r="D13">
        <f>SUM(D7:D12)</f>
        <v>380</v>
      </c>
      <c r="E13" s="1">
        <f>SUM(E7:E12)</f>
        <v>255.48914863073799</v>
      </c>
      <c r="F13" s="1">
        <f>SUM(F7:F12)</f>
        <v>-3.5769284068010165E-6</v>
      </c>
    </row>
    <row r="16" spans="1:10" x14ac:dyDescent="0.45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G16" t="s">
        <v>30</v>
      </c>
    </row>
    <row r="17" spans="1:10" x14ac:dyDescent="0.45">
      <c r="A17">
        <v>0</v>
      </c>
      <c r="B17">
        <v>0</v>
      </c>
      <c r="C17">
        <v>440</v>
      </c>
      <c r="D17">
        <f>B17-C17</f>
        <v>-440</v>
      </c>
      <c r="E17" s="1">
        <f>$D17/E$3^$A17</f>
        <v>-440</v>
      </c>
      <c r="F17" s="1"/>
      <c r="G17" s="1">
        <f>$D17/G$3^$A17</f>
        <v>-440</v>
      </c>
    </row>
    <row r="18" spans="1:10" x14ac:dyDescent="0.45">
      <c r="A18">
        <v>1</v>
      </c>
      <c r="B18">
        <v>300</v>
      </c>
      <c r="C18">
        <v>140</v>
      </c>
      <c r="D18">
        <f t="shared" ref="D18:D21" si="2">B18-C18</f>
        <v>160</v>
      </c>
      <c r="E18" s="1">
        <f t="shared" ref="E18:E21" si="3">$D18/E$3^$A18</f>
        <v>153.11004784688996</v>
      </c>
      <c r="F18" s="1"/>
      <c r="G18" s="1">
        <f>$D18/G$3^$A18</f>
        <v>126.73389768996148</v>
      </c>
    </row>
    <row r="19" spans="1:10" x14ac:dyDescent="0.45">
      <c r="A19">
        <v>2</v>
      </c>
      <c r="B19">
        <v>340</v>
      </c>
      <c r="C19">
        <v>150</v>
      </c>
      <c r="D19">
        <f t="shared" si="2"/>
        <v>190</v>
      </c>
      <c r="E19" s="1">
        <f t="shared" si="3"/>
        <v>173.98869073510224</v>
      </c>
      <c r="F19" s="1"/>
      <c r="G19" s="1">
        <f>$D19/G$3^$A19</f>
        <v>119.20630298832143</v>
      </c>
    </row>
    <row r="20" spans="1:10" x14ac:dyDescent="0.45">
      <c r="A20">
        <v>3</v>
      </c>
      <c r="B20">
        <v>400</v>
      </c>
      <c r="C20">
        <v>160</v>
      </c>
      <c r="D20">
        <f t="shared" si="2"/>
        <v>240</v>
      </c>
      <c r="E20" s="1">
        <f t="shared" si="3"/>
        <v>210.31118497317823</v>
      </c>
      <c r="F20" s="1"/>
      <c r="G20" s="1">
        <f>$D20/G$3^$A20</f>
        <v>119.26957426516167</v>
      </c>
    </row>
    <row r="21" spans="1:10" x14ac:dyDescent="0.45">
      <c r="A21">
        <v>4</v>
      </c>
      <c r="B21">
        <v>360</v>
      </c>
      <c r="C21">
        <v>170</v>
      </c>
      <c r="D21">
        <f t="shared" si="2"/>
        <v>190</v>
      </c>
      <c r="E21" s="1">
        <f t="shared" si="3"/>
        <v>159.32665528271082</v>
      </c>
      <c r="F21" s="1"/>
      <c r="G21" s="1">
        <f>$D21/G$3^$A21</f>
        <v>74.790224590228888</v>
      </c>
    </row>
    <row r="22" spans="1:10" x14ac:dyDescent="0.45">
      <c r="E22" s="1"/>
      <c r="F22" s="1"/>
      <c r="G22" s="1"/>
    </row>
    <row r="23" spans="1:10" x14ac:dyDescent="0.45">
      <c r="C23" t="s">
        <v>29</v>
      </c>
      <c r="D23">
        <f>SUM(D17:D22)</f>
        <v>340</v>
      </c>
      <c r="E23" s="1">
        <f>SUM(E17:E22)</f>
        <v>256.73657883788127</v>
      </c>
      <c r="F23" s="1"/>
      <c r="G23" s="1">
        <f>SUM(G17:G22)</f>
        <v>-4.6632651162781258E-7</v>
      </c>
      <c r="I23" s="1"/>
    </row>
    <row r="24" spans="1:10" x14ac:dyDescent="0.45">
      <c r="B24" s="1"/>
      <c r="E24" s="1"/>
      <c r="F24" s="1"/>
      <c r="G24" s="1"/>
      <c r="H24" s="1"/>
      <c r="I24" s="1"/>
    </row>
    <row r="25" spans="1:10" x14ac:dyDescent="0.45">
      <c r="B25" s="1"/>
      <c r="E25" s="1"/>
      <c r="F25" s="1"/>
      <c r="G25" s="1"/>
      <c r="H25" s="1"/>
      <c r="I25" s="1"/>
    </row>
    <row r="26" spans="1:10" x14ac:dyDescent="0.45">
      <c r="B26" s="1"/>
      <c r="E26" s="1"/>
      <c r="F26" s="1"/>
      <c r="G26" s="1"/>
      <c r="H26" s="1"/>
      <c r="I26" s="1"/>
    </row>
    <row r="27" spans="1:10" x14ac:dyDescent="0.45">
      <c r="B27" s="1"/>
      <c r="E27" s="1"/>
      <c r="F27" s="1"/>
      <c r="G27" s="1"/>
      <c r="H27" s="1"/>
      <c r="I27" s="1"/>
    </row>
    <row r="28" spans="1:10" x14ac:dyDescent="0.45">
      <c r="B28" s="1"/>
      <c r="E28" s="1"/>
      <c r="F28" s="1"/>
      <c r="G28" s="1"/>
      <c r="H28" s="1"/>
      <c r="I28" s="1"/>
    </row>
    <row r="29" spans="1:10" x14ac:dyDescent="0.45">
      <c r="B29" s="1"/>
    </row>
    <row r="30" spans="1:10" x14ac:dyDescent="0.45">
      <c r="B30" s="1"/>
      <c r="E30" s="1"/>
      <c r="F30" s="1"/>
      <c r="G30" s="1"/>
      <c r="H30" s="1"/>
      <c r="I30" s="1"/>
      <c r="J30" s="1"/>
    </row>
    <row r="31" spans="1:10" x14ac:dyDescent="0.45">
      <c r="B31" s="1"/>
      <c r="E31" s="1"/>
      <c r="F31" s="1"/>
      <c r="G31" s="1"/>
      <c r="H31" s="1"/>
      <c r="I31" s="1"/>
      <c r="J31" s="1"/>
    </row>
    <row r="32" spans="1:10" x14ac:dyDescent="0.45">
      <c r="B32" s="1"/>
      <c r="E32" s="1"/>
      <c r="F32" s="1"/>
      <c r="G32" s="1"/>
      <c r="H32" s="1"/>
      <c r="I32" s="1"/>
      <c r="J32" s="1"/>
    </row>
    <row r="33" spans="2:10" x14ac:dyDescent="0.45">
      <c r="B33" s="1"/>
      <c r="E33" s="1"/>
      <c r="F33" s="1"/>
      <c r="G33" s="1"/>
      <c r="H33" s="1"/>
      <c r="I33" s="1"/>
      <c r="J33" s="1"/>
    </row>
    <row r="34" spans="2:10" x14ac:dyDescent="0.45">
      <c r="B34" s="1"/>
      <c r="E34" s="1"/>
      <c r="F34" s="1"/>
      <c r="G34" s="1"/>
      <c r="H34" s="1"/>
      <c r="I34" s="1"/>
      <c r="J34" s="1"/>
    </row>
    <row r="35" spans="2:10" x14ac:dyDescent="0.45">
      <c r="B35" s="1"/>
      <c r="E35" s="1"/>
      <c r="F35" s="1"/>
      <c r="G35" s="1"/>
      <c r="H35" s="1"/>
      <c r="I35" s="1"/>
      <c r="J35" s="1"/>
    </row>
    <row r="36" spans="2:10" x14ac:dyDescent="0.45">
      <c r="B36" s="1"/>
    </row>
    <row r="37" spans="2:10" x14ac:dyDescent="0.45">
      <c r="B37" s="1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0891-71F7-467C-9261-325838F06AB6}">
  <dimension ref="A4:F35"/>
  <sheetViews>
    <sheetView tabSelected="1" topLeftCell="A4" workbookViewId="0">
      <selection activeCell="G7" sqref="G7"/>
    </sheetView>
  </sheetViews>
  <sheetFormatPr baseColWidth="10" defaultRowHeight="14.25" x14ac:dyDescent="0.45"/>
  <cols>
    <col min="3" max="3" width="13.86328125" bestFit="1" customWidth="1"/>
    <col min="4" max="4" width="15.1328125" bestFit="1" customWidth="1"/>
  </cols>
  <sheetData>
    <row r="4" spans="1:6" x14ac:dyDescent="0.45">
      <c r="E4" t="s">
        <v>39</v>
      </c>
      <c r="F4">
        <f>(LN(1/(1-(B5*(B9/(B6-B7))))))/(LN(B10))</f>
        <v>16.725008228036039</v>
      </c>
    </row>
    <row r="5" spans="1:6" x14ac:dyDescent="0.45">
      <c r="A5" t="s">
        <v>31</v>
      </c>
      <c r="B5">
        <v>50000</v>
      </c>
      <c r="E5" t="s">
        <v>40</v>
      </c>
      <c r="F5">
        <f>(LN(1+B5*((B12-B10)/(B6-B7))))/(LN(B12/B10))</f>
        <v>13.32717857026674</v>
      </c>
    </row>
    <row r="6" spans="1:6" x14ac:dyDescent="0.45">
      <c r="A6" t="s">
        <v>32</v>
      </c>
      <c r="B6">
        <v>6000</v>
      </c>
    </row>
    <row r="7" spans="1:6" x14ac:dyDescent="0.45">
      <c r="A7" t="s">
        <v>4</v>
      </c>
      <c r="B7">
        <v>2000</v>
      </c>
    </row>
    <row r="8" spans="1:6" x14ac:dyDescent="0.45">
      <c r="A8" t="s">
        <v>33</v>
      </c>
      <c r="B8">
        <f>B5/(B6-B7)</f>
        <v>12.5</v>
      </c>
    </row>
    <row r="9" spans="1:6" x14ac:dyDescent="0.45">
      <c r="A9" t="s">
        <v>2</v>
      </c>
      <c r="B9">
        <v>3.5000000000000003E-2</v>
      </c>
    </row>
    <row r="10" spans="1:6" x14ac:dyDescent="0.45">
      <c r="A10" t="s">
        <v>3</v>
      </c>
      <c r="B10">
        <f>1+B9</f>
        <v>1.0349999999999999</v>
      </c>
    </row>
    <row r="11" spans="1:6" x14ac:dyDescent="0.45">
      <c r="A11" t="s">
        <v>35</v>
      </c>
      <c r="B11">
        <v>0.03</v>
      </c>
    </row>
    <row r="12" spans="1:6" x14ac:dyDescent="0.45">
      <c r="A12" t="s">
        <v>34</v>
      </c>
      <c r="B12">
        <f>1+B11</f>
        <v>1.03</v>
      </c>
    </row>
    <row r="14" spans="1:6" x14ac:dyDescent="0.45">
      <c r="A14" t="s">
        <v>25</v>
      </c>
      <c r="B14" t="s">
        <v>36</v>
      </c>
      <c r="C14" t="s">
        <v>37</v>
      </c>
      <c r="D14" t="s">
        <v>38</v>
      </c>
    </row>
    <row r="15" spans="1:6" x14ac:dyDescent="0.45">
      <c r="A15">
        <v>0</v>
      </c>
      <c r="B15">
        <f>-B5</f>
        <v>-50000</v>
      </c>
      <c r="C15">
        <f>-B5</f>
        <v>-50000</v>
      </c>
      <c r="D15">
        <f>C15</f>
        <v>-50000</v>
      </c>
    </row>
    <row r="16" spans="1:6" x14ac:dyDescent="0.45">
      <c r="A16">
        <v>1</v>
      </c>
      <c r="B16">
        <f>B15+($B$6-$B$7)</f>
        <v>-46000</v>
      </c>
      <c r="C16" s="1">
        <f>C15+($B$6-$B$7)/$B$10^A16</f>
        <v>-46135.265700483091</v>
      </c>
      <c r="D16" s="1">
        <f>D15+($B$6-$B$7)*$B$12^(A16-1)/$B$10^A16</f>
        <v>-46135.265700483091</v>
      </c>
    </row>
    <row r="17" spans="1:4" x14ac:dyDescent="0.45">
      <c r="A17">
        <v>2</v>
      </c>
      <c r="B17">
        <f t="shared" ref="B17:B30" si="0">B16+($B$6-$B$7)</f>
        <v>-42000</v>
      </c>
      <c r="C17" s="1">
        <f t="shared" ref="C17:C30" si="1">C16+($B$6-$B$7)/$B$10^A17</f>
        <v>-42401.222899017477</v>
      </c>
      <c r="D17" s="1">
        <f t="shared" ref="D17:D30" si="2">D16+($B$6-$B$7)*$B$12^(A17-1)/$B$10^A17</f>
        <v>-42289.201614973514</v>
      </c>
    </row>
    <row r="18" spans="1:4" x14ac:dyDescent="0.45">
      <c r="A18">
        <v>3</v>
      </c>
      <c r="B18">
        <f t="shared" si="0"/>
        <v>-38000</v>
      </c>
      <c r="C18" s="1">
        <f t="shared" si="1"/>
        <v>-38793.452076345391</v>
      </c>
      <c r="D18" s="1">
        <f t="shared" si="2"/>
        <v>-38461.717549200694</v>
      </c>
    </row>
    <row r="19" spans="1:4" x14ac:dyDescent="0.45">
      <c r="A19">
        <v>4</v>
      </c>
      <c r="B19">
        <f t="shared" si="0"/>
        <v>-34000</v>
      </c>
      <c r="C19" s="1">
        <f t="shared" si="1"/>
        <v>-35307.683165551105</v>
      </c>
      <c r="D19" s="1">
        <f t="shared" si="2"/>
        <v>-34652.723744615185</v>
      </c>
    </row>
    <row r="20" spans="1:4" x14ac:dyDescent="0.45">
      <c r="A20">
        <v>5</v>
      </c>
      <c r="B20">
        <f t="shared" si="0"/>
        <v>-30000</v>
      </c>
      <c r="C20" s="1">
        <f t="shared" si="1"/>
        <v>-31939.790498117007</v>
      </c>
      <c r="D20" s="1">
        <f t="shared" si="2"/>
        <v>-30862.130876283711</v>
      </c>
    </row>
    <row r="21" spans="1:4" x14ac:dyDescent="0.45">
      <c r="A21">
        <v>6</v>
      </c>
      <c r="B21">
        <f t="shared" si="0"/>
        <v>-26000</v>
      </c>
      <c r="C21" s="1">
        <f t="shared" si="1"/>
        <v>-28685.787920885996</v>
      </c>
      <c r="D21" s="1">
        <f t="shared" si="2"/>
        <v>-27089.850050794415</v>
      </c>
    </row>
    <row r="22" spans="1:4" x14ac:dyDescent="0.45">
      <c r="A22">
        <v>7</v>
      </c>
      <c r="B22">
        <f t="shared" si="0"/>
        <v>-22000</v>
      </c>
      <c r="C22" s="1">
        <f t="shared" si="1"/>
        <v>-25541.824078150719</v>
      </c>
      <c r="D22" s="1">
        <f t="shared" si="2"/>
        <v>-23335.792804172219</v>
      </c>
    </row>
    <row r="23" spans="1:4" x14ac:dyDescent="0.45">
      <c r="A23">
        <v>8</v>
      </c>
      <c r="B23">
        <f t="shared" si="0"/>
        <v>-18000</v>
      </c>
      <c r="C23" s="1">
        <f t="shared" si="1"/>
        <v>-22504.177853285717</v>
      </c>
      <c r="D23" s="1">
        <f t="shared" si="2"/>
        <v>-19599.871099804233</v>
      </c>
    </row>
    <row r="24" spans="1:4" x14ac:dyDescent="0.45">
      <c r="A24">
        <v>9</v>
      </c>
      <c r="B24">
        <f t="shared" si="0"/>
        <v>-14000</v>
      </c>
      <c r="C24" s="1">
        <f t="shared" si="1"/>
        <v>-19569.253964527259</v>
      </c>
      <c r="D24" s="1">
        <f t="shared" si="2"/>
        <v>-15881.997326375225</v>
      </c>
    </row>
    <row r="25" spans="1:4" x14ac:dyDescent="0.45">
      <c r="A25">
        <v>10</v>
      </c>
      <c r="B25">
        <f t="shared" si="0"/>
        <v>-10000</v>
      </c>
      <c r="C25" s="1">
        <f t="shared" si="1"/>
        <v>-16733.578709688169</v>
      </c>
      <c r="D25" s="1">
        <f t="shared" si="2"/>
        <v>-12182.084295813023</v>
      </c>
    </row>
    <row r="26" spans="1:4" x14ac:dyDescent="0.45">
      <c r="A26">
        <v>11</v>
      </c>
      <c r="B26">
        <f t="shared" si="0"/>
        <v>-6000</v>
      </c>
      <c r="C26" s="1">
        <f t="shared" si="1"/>
        <v>-13993.795854771175</v>
      </c>
      <c r="D26" s="1">
        <f t="shared" si="2"/>
        <v>-8500.0452412438754</v>
      </c>
    </row>
    <row r="27" spans="1:4" x14ac:dyDescent="0.45">
      <c r="A27">
        <v>12</v>
      </c>
      <c r="B27">
        <f t="shared" si="0"/>
        <v>-2000</v>
      </c>
      <c r="C27" s="1">
        <f t="shared" si="1"/>
        <v>-11346.662661614659</v>
      </c>
      <c r="D27" s="1">
        <f t="shared" si="2"/>
        <v>-4835.7938149576694</v>
      </c>
    </row>
    <row r="28" spans="1:4" x14ac:dyDescent="0.45">
      <c r="A28">
        <v>13</v>
      </c>
      <c r="B28">
        <f t="shared" si="0"/>
        <v>2000</v>
      </c>
      <c r="C28" s="1">
        <f t="shared" si="1"/>
        <v>-8789.0460498692319</v>
      </c>
      <c r="D28" s="1">
        <f t="shared" si="2"/>
        <v>-1189.2440863829911</v>
      </c>
    </row>
    <row r="29" spans="1:4" x14ac:dyDescent="0.45">
      <c r="A29">
        <v>14</v>
      </c>
      <c r="B29">
        <f t="shared" si="0"/>
        <v>6000</v>
      </c>
      <c r="C29" s="1">
        <f t="shared" si="1"/>
        <v>-6317.9188887625396</v>
      </c>
      <c r="D29" s="1">
        <f t="shared" si="2"/>
        <v>2439.6894599280404</v>
      </c>
    </row>
    <row r="30" spans="1:4" x14ac:dyDescent="0.45">
      <c r="A30">
        <v>15</v>
      </c>
      <c r="B30">
        <f t="shared" si="0"/>
        <v>10000</v>
      </c>
      <c r="C30" s="1">
        <f t="shared" si="1"/>
        <v>-3930.3564142633199</v>
      </c>
      <c r="D30" s="1">
        <f t="shared" si="2"/>
        <v>6051.0919263052028</v>
      </c>
    </row>
    <row r="31" spans="1:4" x14ac:dyDescent="0.45">
      <c r="A31">
        <v>16</v>
      </c>
      <c r="B31">
        <f t="shared" ref="B31:B35" si="3">B30+($B$6-$B$7)</f>
        <v>14000</v>
      </c>
      <c r="C31" s="1">
        <f t="shared" ref="C31:C35" si="4">C30+($B$6-$B$7)/$B$10^A31</f>
        <v>-1623.53276740417</v>
      </c>
      <c r="D31" s="1">
        <f t="shared" ref="D31:D35" si="5">D30+($B$6-$B$7)*$B$12^(A31-1)/$B$10^A31</f>
        <v>9645.0480039559079</v>
      </c>
    </row>
    <row r="32" spans="1:4" x14ac:dyDescent="0.45">
      <c r="A32">
        <v>17</v>
      </c>
      <c r="B32">
        <f t="shared" si="3"/>
        <v>18000</v>
      </c>
      <c r="C32" s="1">
        <f t="shared" si="4"/>
        <v>605.28235033413921</v>
      </c>
      <c r="D32" s="1">
        <f t="shared" si="5"/>
        <v>13221.641974951293</v>
      </c>
    </row>
    <row r="33" spans="1:4" x14ac:dyDescent="0.45">
      <c r="A33">
        <v>18</v>
      </c>
      <c r="B33">
        <f t="shared" si="3"/>
        <v>22000</v>
      </c>
      <c r="C33" s="1">
        <f t="shared" si="4"/>
        <v>2758.7269085354042</v>
      </c>
      <c r="D33" s="1">
        <f t="shared" si="5"/>
        <v>16780.957714202741</v>
      </c>
    </row>
    <row r="34" spans="1:4" x14ac:dyDescent="0.45">
      <c r="A34">
        <v>19</v>
      </c>
      <c r="B34">
        <f t="shared" si="3"/>
        <v>26000</v>
      </c>
      <c r="C34" s="1">
        <f t="shared" si="4"/>
        <v>4839.3496700825199</v>
      </c>
      <c r="D34" s="1">
        <f t="shared" si="5"/>
        <v>20323.078691428818</v>
      </c>
    </row>
    <row r="35" spans="1:4" x14ac:dyDescent="0.45">
      <c r="A35">
        <v>20</v>
      </c>
      <c r="B35">
        <f t="shared" si="3"/>
        <v>30000</v>
      </c>
      <c r="C35" s="1">
        <f t="shared" si="4"/>
        <v>6849.6132078092023</v>
      </c>
      <c r="D35" s="1">
        <f t="shared" si="5"/>
        <v>23848.087973112742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B30F-671A-4C70-86A1-D9F57D7FFDF8}">
  <dimension ref="B4:G39"/>
  <sheetViews>
    <sheetView workbookViewId="0">
      <selection activeCell="G9" sqref="G9"/>
    </sheetView>
  </sheetViews>
  <sheetFormatPr baseColWidth="10" defaultRowHeight="14.25" x14ac:dyDescent="0.45"/>
  <sheetData>
    <row r="4" spans="2:7" x14ac:dyDescent="0.45">
      <c r="B4" t="s">
        <v>41</v>
      </c>
      <c r="C4">
        <v>60</v>
      </c>
    </row>
    <row r="5" spans="2:7" x14ac:dyDescent="0.45">
      <c r="B5" t="s">
        <v>42</v>
      </c>
      <c r="C5">
        <v>6.5</v>
      </c>
      <c r="G5" t="s">
        <v>51</v>
      </c>
    </row>
    <row r="6" spans="2:7" x14ac:dyDescent="0.45">
      <c r="B6" t="s">
        <v>43</v>
      </c>
      <c r="C6">
        <v>0.01</v>
      </c>
    </row>
    <row r="7" spans="2:7" x14ac:dyDescent="0.45">
      <c r="B7" t="s">
        <v>44</v>
      </c>
      <c r="C7">
        <f>1+C6</f>
        <v>1.01</v>
      </c>
    </row>
    <row r="8" spans="2:7" x14ac:dyDescent="0.45">
      <c r="B8" t="s">
        <v>45</v>
      </c>
      <c r="C8">
        <v>40</v>
      </c>
      <c r="G8" t="s">
        <v>52</v>
      </c>
    </row>
    <row r="9" spans="2:7" x14ac:dyDescent="0.45">
      <c r="B9" t="s">
        <v>48</v>
      </c>
      <c r="C9">
        <v>11</v>
      </c>
    </row>
    <row r="10" spans="2:7" x14ac:dyDescent="0.45">
      <c r="B10" t="s">
        <v>46</v>
      </c>
      <c r="C10">
        <v>0.02</v>
      </c>
    </row>
    <row r="11" spans="2:7" x14ac:dyDescent="0.45">
      <c r="B11" t="s">
        <v>47</v>
      </c>
      <c r="C11">
        <f>1+C10</f>
        <v>1.02</v>
      </c>
    </row>
    <row r="12" spans="2:7" x14ac:dyDescent="0.45">
      <c r="B12" t="s">
        <v>2</v>
      </c>
      <c r="C12">
        <v>0.05</v>
      </c>
    </row>
    <row r="13" spans="2:7" x14ac:dyDescent="0.45">
      <c r="B13" t="s">
        <v>3</v>
      </c>
      <c r="C13">
        <f>1+C12</f>
        <v>1.05</v>
      </c>
    </row>
    <row r="17" spans="2:6" x14ac:dyDescent="0.45">
      <c r="B17" t="s">
        <v>25</v>
      </c>
      <c r="C17" t="s">
        <v>49</v>
      </c>
      <c r="D17" t="s">
        <v>50</v>
      </c>
    </row>
    <row r="18" spans="2:6" x14ac:dyDescent="0.45">
      <c r="B18">
        <v>0</v>
      </c>
      <c r="C18">
        <f>-C4</f>
        <v>-60</v>
      </c>
      <c r="D18">
        <f>-C8</f>
        <v>-40</v>
      </c>
    </row>
    <row r="19" spans="2:6" x14ac:dyDescent="0.45">
      <c r="B19">
        <v>1</v>
      </c>
      <c r="C19" s="1">
        <f>C18-$C$5*$C$7^(B19-1)/$C$13^B19</f>
        <v>-66.19047619047619</v>
      </c>
      <c r="D19" s="1">
        <f>D18-$C$9*$C$11^(B19-1)/$C$13^B19</f>
        <v>-50.476190476190474</v>
      </c>
      <c r="F19" s="1"/>
    </row>
    <row r="20" spans="2:6" x14ac:dyDescent="0.45">
      <c r="B20">
        <v>2</v>
      </c>
      <c r="C20" s="1">
        <f t="shared" ref="C20:C38" si="0">C19-$C$5*$C$7^(B20-1)/$C$13^B20</f>
        <v>-72.145124716553283</v>
      </c>
      <c r="D20" s="1">
        <f t="shared" ref="D20:D38" si="1">D19-$C$9*$C$11^(B20-1)/$C$13^B20</f>
        <v>-60.653061224489797</v>
      </c>
      <c r="F20" s="1"/>
    </row>
    <row r="21" spans="2:6" x14ac:dyDescent="0.45">
      <c r="B21">
        <v>3</v>
      </c>
      <c r="C21" s="1">
        <f t="shared" si="0"/>
        <v>-77.872929489256009</v>
      </c>
      <c r="D21" s="1">
        <f t="shared" si="1"/>
        <v>-70.539164237123416</v>
      </c>
      <c r="F21" s="1"/>
    </row>
    <row r="22" spans="2:6" x14ac:dyDescent="0.45">
      <c r="B22">
        <v>4</v>
      </c>
      <c r="C22" s="1">
        <f t="shared" si="0"/>
        <v>-83.382532175379595</v>
      </c>
      <c r="D22" s="1">
        <f t="shared" si="1"/>
        <v>-80.142807163681795</v>
      </c>
      <c r="F22" s="1"/>
    </row>
    <row r="23" spans="2:6" x14ac:dyDescent="0.45">
      <c r="B23">
        <v>5</v>
      </c>
      <c r="C23" s="1">
        <f t="shared" si="0"/>
        <v>-88.68224523536513</v>
      </c>
      <c r="D23" s="1">
        <f t="shared" si="1"/>
        <v>-89.472060292338497</v>
      </c>
      <c r="F23" s="1"/>
    </row>
    <row r="24" spans="2:6" x14ac:dyDescent="0.45">
      <c r="B24">
        <v>6</v>
      </c>
      <c r="C24" s="1">
        <f t="shared" si="0"/>
        <v>-93.780064464494075</v>
      </c>
      <c r="D24" s="1">
        <f t="shared" si="1"/>
        <v>-98.534763331605021</v>
      </c>
      <c r="F24" s="1"/>
    </row>
    <row r="25" spans="2:6" x14ac:dyDescent="0.45">
      <c r="B25">
        <v>7</v>
      </c>
      <c r="C25" s="1">
        <f t="shared" si="0"/>
        <v>-98.683681056322868</v>
      </c>
      <c r="D25" s="1">
        <f t="shared" si="1"/>
        <v>-107.33853199832106</v>
      </c>
      <c r="F25" s="1"/>
    </row>
    <row r="26" spans="2:6" x14ac:dyDescent="0.45">
      <c r="B26">
        <v>8</v>
      </c>
      <c r="C26" s="1">
        <f t="shared" si="0"/>
        <v>-103.40049320655818</v>
      </c>
      <c r="D26" s="1">
        <f t="shared" si="1"/>
        <v>-115.89076441741665</v>
      </c>
      <c r="F26" s="1"/>
    </row>
    <row r="27" spans="2:6" x14ac:dyDescent="0.45">
      <c r="B27">
        <v>9</v>
      </c>
      <c r="C27" s="1">
        <f t="shared" si="0"/>
        <v>-107.93761727487977</v>
      </c>
      <c r="D27" s="1">
        <f t="shared" si="1"/>
        <v>-124.19864733882379</v>
      </c>
      <c r="F27" s="1"/>
    </row>
    <row r="28" spans="2:6" x14ac:dyDescent="0.45">
      <c r="B28">
        <v>10</v>
      </c>
      <c r="C28" s="1">
        <f t="shared" si="0"/>
        <v>-112.30189852155101</v>
      </c>
      <c r="D28" s="1">
        <f t="shared" si="1"/>
        <v>-132.26916217676217</v>
      </c>
      <c r="F28" s="1"/>
    </row>
    <row r="29" spans="2:6" x14ac:dyDescent="0.45">
      <c r="B29">
        <v>11</v>
      </c>
      <c r="C29" s="1">
        <f t="shared" si="0"/>
        <v>-116.49992143501574</v>
      </c>
      <c r="D29" s="1">
        <f t="shared" si="1"/>
        <v>-140.10909087647372</v>
      </c>
      <c r="F29" s="1"/>
    </row>
    <row r="30" spans="2:6" x14ac:dyDescent="0.45">
      <c r="B30">
        <v>12</v>
      </c>
      <c r="C30" s="1">
        <f t="shared" si="0"/>
        <v>-120.53801966606275</v>
      </c>
      <c r="D30" s="1">
        <f t="shared" si="1"/>
        <v>-147.72502161333637</v>
      </c>
      <c r="F30" s="1"/>
    </row>
    <row r="31" spans="2:6" x14ac:dyDescent="0.45">
      <c r="B31">
        <v>13</v>
      </c>
      <c r="C31" s="1">
        <f t="shared" si="0"/>
        <v>-124.42228558354607</v>
      </c>
      <c r="D31" s="1">
        <f t="shared" si="1"/>
        <v>-155.1233543291458</v>
      </c>
      <c r="F31" s="1"/>
    </row>
    <row r="32" spans="2:6" x14ac:dyDescent="0.45">
      <c r="B32">
        <v>14</v>
      </c>
      <c r="C32" s="1">
        <f t="shared" si="0"/>
        <v>-128.15857946607764</v>
      </c>
      <c r="D32" s="1">
        <f t="shared" si="1"/>
        <v>-162.31030611021782</v>
      </c>
      <c r="F32" s="1"/>
    </row>
    <row r="33" spans="2:6" x14ac:dyDescent="0.45">
      <c r="B33">
        <v>15</v>
      </c>
      <c r="C33" s="1">
        <f t="shared" si="0"/>
        <v>-131.75253834356039</v>
      </c>
      <c r="D33" s="1">
        <f t="shared" si="1"/>
        <v>-169.29191641183064</v>
      </c>
      <c r="F33" s="1"/>
    </row>
    <row r="34" spans="2:6" x14ac:dyDescent="0.45">
      <c r="B34">
        <v>16</v>
      </c>
      <c r="C34" s="1">
        <f t="shared" si="0"/>
        <v>-135.20958450190093</v>
      </c>
      <c r="D34" s="1">
        <f t="shared" si="1"/>
        <v>-176.07405213339737</v>
      </c>
      <c r="F34" s="1"/>
    </row>
    <row r="35" spans="2:6" x14ac:dyDescent="0.45">
      <c r="B35">
        <v>17</v>
      </c>
      <c r="C35" s="1">
        <f t="shared" si="0"/>
        <v>-138.53493366373328</v>
      </c>
      <c r="D35" s="1">
        <f t="shared" si="1"/>
        <v>-182.66241254863363</v>
      </c>
      <c r="F35" s="1"/>
    </row>
    <row r="36" spans="2:6" x14ac:dyDescent="0.45">
      <c r="B36">
        <v>18</v>
      </c>
      <c r="C36" s="1">
        <f t="shared" si="0"/>
        <v>-141.73360285749581</v>
      </c>
      <c r="D36" s="1">
        <f t="shared" si="1"/>
        <v>-189.06253409486314</v>
      </c>
      <c r="F36" s="1"/>
    </row>
    <row r="37" spans="2:6" x14ac:dyDescent="0.45">
      <c r="B37">
        <v>19</v>
      </c>
      <c r="C37" s="1">
        <f t="shared" si="0"/>
        <v>-144.81041798673405</v>
      </c>
      <c r="D37" s="1">
        <f t="shared" si="1"/>
        <v>-195.2797950254861</v>
      </c>
      <c r="F37" s="1"/>
    </row>
    <row r="38" spans="2:6" x14ac:dyDescent="0.45">
      <c r="B38">
        <v>20</v>
      </c>
      <c r="C38" s="1">
        <f t="shared" si="0"/>
        <v>-147.77002111104895</v>
      </c>
      <c r="D38" s="1">
        <f t="shared" si="1"/>
        <v>-201.31941992951982</v>
      </c>
      <c r="F38" s="1"/>
    </row>
    <row r="39" spans="2:6" x14ac:dyDescent="0.45">
      <c r="F39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Tilgungsplan Annuität</vt:lpstr>
      <vt:lpstr>Tilgungsplan Annuität monatlich</vt:lpstr>
      <vt:lpstr>Tilgungsplan Annuität mit agio</vt:lpstr>
      <vt:lpstr>Ratentilgung</vt:lpstr>
      <vt:lpstr>Ratentilgung monatsrate</vt:lpstr>
      <vt:lpstr>Ratentilgung mit agio</vt:lpstr>
      <vt:lpstr>Ratentilgung Ratenfreizeit</vt:lpstr>
      <vt:lpstr>Kapitalwertmethode</vt:lpstr>
      <vt:lpstr>Amortisation</vt:lpstr>
      <vt:lpstr>Anlagenvergleich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Sailer Michael</cp:lastModifiedBy>
  <dcterms:created xsi:type="dcterms:W3CDTF">2020-03-26T18:55:04Z</dcterms:created>
  <dcterms:modified xsi:type="dcterms:W3CDTF">2020-03-28T18:33:40Z</dcterms:modified>
</cp:coreProperties>
</file>