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Michi\Studium\2 Semester\Mathe\Test Vorlage\"/>
    </mc:Choice>
  </mc:AlternateContent>
  <xr:revisionPtr revIDLastSave="0" documentId="13_ncr:1_{56C45427-98DA-453E-A65E-11D4F8CFC884}" xr6:coauthVersionLast="45" xr6:coauthVersionMax="45" xr10:uidLastSave="{00000000-0000-0000-0000-000000000000}"/>
  <bookViews>
    <workbookView xWindow="-5820" yWindow="1230" windowWidth="21600" windowHeight="11385" firstSheet="2" activeTab="2" xr2:uid="{ED13B2DF-0729-44FB-B7F1-2FD885ED1B9A}"/>
  </bookViews>
  <sheets>
    <sheet name="Tilgungsplan Annuität" sheetId="1" r:id="rId1"/>
    <sheet name="Tilgungsplan Annuität monatlich" sheetId="2" r:id="rId2"/>
    <sheet name="Tilgungsplan Annuität mit agio" sheetId="3" r:id="rId3"/>
    <sheet name="Ratentilgung" sheetId="5" r:id="rId4"/>
    <sheet name="Ratentilgung monatsrate" sheetId="6" r:id="rId5"/>
    <sheet name="Ratentilgung mit agio" sheetId="7" r:id="rId6"/>
    <sheet name="Ratentilgung Ratenfreizeit" sheetId="8" r:id="rId7"/>
    <sheet name="Kapitalwertmethode" sheetId="9" r:id="rId8"/>
    <sheet name="Amortisation" sheetId="10" r:id="rId9"/>
    <sheet name="Anlagenvergleich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4" i="3" l="1"/>
  <c r="D24" i="3"/>
  <c r="E24" i="3"/>
  <c r="F24" i="3"/>
  <c r="C23" i="3"/>
  <c r="E23" i="3"/>
  <c r="F23" i="3"/>
  <c r="C12" i="3"/>
  <c r="C8" i="3"/>
  <c r="H24" i="3"/>
  <c r="C22" i="3"/>
  <c r="H22" i="3" s="1"/>
  <c r="C13" i="3"/>
  <c r="C16" i="3"/>
  <c r="C17" i="3"/>
  <c r="C20" i="3"/>
  <c r="H20" i="3" s="1"/>
  <c r="C21" i="3"/>
  <c r="H21" i="3" s="1"/>
  <c r="G12" i="7"/>
  <c r="E14" i="8"/>
  <c r="D18" i="11"/>
  <c r="D19" i="11" s="1"/>
  <c r="D20" i="11" s="1"/>
  <c r="D21" i="11" s="1"/>
  <c r="D22" i="11" s="1"/>
  <c r="D23" i="11" s="1"/>
  <c r="D24" i="11" s="1"/>
  <c r="D25" i="11" s="1"/>
  <c r="D26" i="11" s="1"/>
  <c r="D27" i="11" s="1"/>
  <c r="D28" i="11" s="1"/>
  <c r="D29" i="11" s="1"/>
  <c r="D30" i="11" s="1"/>
  <c r="D31" i="11" s="1"/>
  <c r="D32" i="11" s="1"/>
  <c r="D33" i="11" s="1"/>
  <c r="D34" i="11" s="1"/>
  <c r="D35" i="11" s="1"/>
  <c r="D36" i="11" s="1"/>
  <c r="D37" i="11" s="1"/>
  <c r="D38" i="11" s="1"/>
  <c r="C18" i="1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C33" i="11" s="1"/>
  <c r="C34" i="11" s="1"/>
  <c r="C35" i="11" s="1"/>
  <c r="C36" i="11" s="1"/>
  <c r="C37" i="11" s="1"/>
  <c r="C38" i="11" s="1"/>
  <c r="C13" i="11"/>
  <c r="C11" i="11"/>
  <c r="C7" i="11"/>
  <c r="B31" i="10"/>
  <c r="C31" i="10"/>
  <c r="C32" i="10" s="1"/>
  <c r="C33" i="10" s="1"/>
  <c r="C34" i="10" s="1"/>
  <c r="C35" i="10" s="1"/>
  <c r="D31" i="10"/>
  <c r="B32" i="10"/>
  <c r="B33" i="10" s="1"/>
  <c r="B34" i="10" s="1"/>
  <c r="B35" i="10" s="1"/>
  <c r="D32" i="10"/>
  <c r="D33" i="10" s="1"/>
  <c r="D34" i="10" s="1"/>
  <c r="D35" i="10" s="1"/>
  <c r="F5" i="10"/>
  <c r="F4" i="10"/>
  <c r="B12" i="10"/>
  <c r="B10" i="10"/>
  <c r="C15" i="10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B15" i="10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8" i="10"/>
  <c r="D7" i="9"/>
  <c r="F7" i="9"/>
  <c r="F13" i="9" s="1"/>
  <c r="G7" i="9"/>
  <c r="F8" i="9"/>
  <c r="G8" i="9"/>
  <c r="F9" i="9"/>
  <c r="G9" i="9"/>
  <c r="F10" i="9"/>
  <c r="G10" i="9"/>
  <c r="F11" i="9"/>
  <c r="G11" i="9"/>
  <c r="F12" i="9"/>
  <c r="G12" i="9"/>
  <c r="G13" i="9"/>
  <c r="G3" i="9"/>
  <c r="F3" i="9"/>
  <c r="E3" i="9"/>
  <c r="D3" i="9"/>
  <c r="D8" i="9"/>
  <c r="D9" i="9"/>
  <c r="D10" i="9"/>
  <c r="D11" i="9"/>
  <c r="D12" i="9"/>
  <c r="C19" i="3" l="1"/>
  <c r="C15" i="3"/>
  <c r="H23" i="3"/>
  <c r="H12" i="3"/>
  <c r="C18" i="3"/>
  <c r="C14" i="3"/>
  <c r="D15" i="10"/>
  <c r="D16" i="10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E11" i="9"/>
  <c r="E10" i="9"/>
  <c r="E7" i="9"/>
  <c r="E9" i="9"/>
  <c r="E12" i="9"/>
  <c r="E8" i="9"/>
  <c r="D13" i="9"/>
  <c r="B6" i="7"/>
  <c r="B5" i="7"/>
  <c r="B6" i="6"/>
  <c r="B5" i="6"/>
  <c r="D17" i="5"/>
  <c r="F17" i="5"/>
  <c r="B17" i="5"/>
  <c r="B6" i="5"/>
  <c r="H12" i="8"/>
  <c r="C12" i="8" s="1"/>
  <c r="G12" i="8" s="1"/>
  <c r="H13" i="8"/>
  <c r="F12" i="8"/>
  <c r="B13" i="8" s="1"/>
  <c r="D12" i="8"/>
  <c r="B12" i="8"/>
  <c r="B6" i="8"/>
  <c r="E19" i="8" s="1"/>
  <c r="H19" i="8" s="1"/>
  <c r="B5" i="8"/>
  <c r="H13" i="7"/>
  <c r="H15" i="7"/>
  <c r="E15" i="7"/>
  <c r="E13" i="7"/>
  <c r="B12" i="7"/>
  <c r="E15" i="6"/>
  <c r="B12" i="6"/>
  <c r="D12" i="6" s="1"/>
  <c r="E16" i="6"/>
  <c r="B12" i="5"/>
  <c r="D12" i="5" s="1"/>
  <c r="E13" i="5"/>
  <c r="B5" i="5"/>
  <c r="B12" i="3"/>
  <c r="D12" i="3" s="1"/>
  <c r="E12" i="3" s="1"/>
  <c r="B6" i="3"/>
  <c r="B12" i="2"/>
  <c r="D12" i="2" s="1"/>
  <c r="B6" i="2"/>
  <c r="B8" i="2" s="1"/>
  <c r="F13" i="1"/>
  <c r="E13" i="1"/>
  <c r="D13" i="1"/>
  <c r="D14" i="1"/>
  <c r="E14" i="1" s="1"/>
  <c r="F14" i="1" s="1"/>
  <c r="B15" i="1" s="1"/>
  <c r="C13" i="1"/>
  <c r="C14" i="1"/>
  <c r="C15" i="1"/>
  <c r="C16" i="1"/>
  <c r="C17" i="1"/>
  <c r="C18" i="1"/>
  <c r="C19" i="1"/>
  <c r="B14" i="1"/>
  <c r="B13" i="1"/>
  <c r="F12" i="1"/>
  <c r="E12" i="1"/>
  <c r="D12" i="1"/>
  <c r="C12" i="1"/>
  <c r="B12" i="1"/>
  <c r="B8" i="1"/>
  <c r="B6" i="1"/>
  <c r="E13" i="9" l="1"/>
  <c r="E12" i="5"/>
  <c r="C12" i="5" s="1"/>
  <c r="E16" i="5"/>
  <c r="E15" i="5"/>
  <c r="E14" i="5"/>
  <c r="F13" i="8"/>
  <c r="B14" i="8" s="1"/>
  <c r="D14" i="8" s="1"/>
  <c r="D13" i="8"/>
  <c r="C13" i="8" s="1"/>
  <c r="G13" i="8" s="1"/>
  <c r="E18" i="8"/>
  <c r="H18" i="8" s="1"/>
  <c r="E17" i="8"/>
  <c r="H17" i="8" s="1"/>
  <c r="E16" i="8"/>
  <c r="H16" i="8" s="1"/>
  <c r="E20" i="8"/>
  <c r="H20" i="8" s="1"/>
  <c r="F14" i="8"/>
  <c r="B15" i="8" s="1"/>
  <c r="E21" i="8"/>
  <c r="H21" i="8" s="1"/>
  <c r="E15" i="8"/>
  <c r="H15" i="8" s="1"/>
  <c r="D12" i="7"/>
  <c r="E12" i="7"/>
  <c r="E14" i="7"/>
  <c r="H14" i="7" s="1"/>
  <c r="E16" i="7"/>
  <c r="H16" i="7" s="1"/>
  <c r="E13" i="6"/>
  <c r="E14" i="6"/>
  <c r="E12" i="6"/>
  <c r="F12" i="6" s="1"/>
  <c r="B13" i="6" s="1"/>
  <c r="H16" i="3"/>
  <c r="H19" i="3"/>
  <c r="H15" i="3"/>
  <c r="H18" i="3"/>
  <c r="H14" i="3"/>
  <c r="H17" i="3"/>
  <c r="C18" i="2"/>
  <c r="G18" i="2" s="1"/>
  <c r="C14" i="2"/>
  <c r="G14" i="2" s="1"/>
  <c r="C16" i="2"/>
  <c r="G16" i="2" s="1"/>
  <c r="C12" i="2"/>
  <c r="C19" i="2"/>
  <c r="G19" i="2" s="1"/>
  <c r="C17" i="2"/>
  <c r="G17" i="2" s="1"/>
  <c r="C13" i="2"/>
  <c r="G13" i="2" s="1"/>
  <c r="C15" i="2"/>
  <c r="G15" i="2" s="1"/>
  <c r="D15" i="1"/>
  <c r="E15" i="1" s="1"/>
  <c r="F15" i="1"/>
  <c r="B16" i="1" s="1"/>
  <c r="H12" i="7" l="1"/>
  <c r="C12" i="7" s="1"/>
  <c r="F12" i="7"/>
  <c r="B13" i="7" s="1"/>
  <c r="D13" i="7" s="1"/>
  <c r="E20" i="7"/>
  <c r="F12" i="5"/>
  <c r="B13" i="5" s="1"/>
  <c r="F13" i="5"/>
  <c r="B14" i="5" s="1"/>
  <c r="D13" i="5"/>
  <c r="C13" i="5" s="1"/>
  <c r="D15" i="8"/>
  <c r="F15" i="8"/>
  <c r="B16" i="8" s="1"/>
  <c r="E22" i="8"/>
  <c r="H14" i="8"/>
  <c r="C14" i="8" s="1"/>
  <c r="F13" i="7"/>
  <c r="B14" i="7" s="1"/>
  <c r="D13" i="6"/>
  <c r="C13" i="6" s="1"/>
  <c r="G13" i="6" s="1"/>
  <c r="F13" i="6"/>
  <c r="B14" i="6" s="1"/>
  <c r="C12" i="6"/>
  <c r="G12" i="6" s="1"/>
  <c r="E12" i="2"/>
  <c r="F12" i="2" s="1"/>
  <c r="B13" i="2" s="1"/>
  <c r="D13" i="2" s="1"/>
  <c r="E13" i="2" s="1"/>
  <c r="F13" i="2" s="1"/>
  <c r="B14" i="2" s="1"/>
  <c r="G12" i="2"/>
  <c r="D16" i="1"/>
  <c r="E16" i="1" s="1"/>
  <c r="F16" i="1"/>
  <c r="B17" i="1" s="1"/>
  <c r="C13" i="7" l="1"/>
  <c r="G13" i="7" s="1"/>
  <c r="D14" i="5"/>
  <c r="C14" i="5" s="1"/>
  <c r="F14" i="5"/>
  <c r="B15" i="5" s="1"/>
  <c r="F16" i="8"/>
  <c r="B17" i="8" s="1"/>
  <c r="D16" i="8"/>
  <c r="C16" i="8" s="1"/>
  <c r="G16" i="8" s="1"/>
  <c r="C15" i="8"/>
  <c r="G15" i="8" s="1"/>
  <c r="G14" i="8"/>
  <c r="D14" i="7"/>
  <c r="C14" i="7" s="1"/>
  <c r="G14" i="7" s="1"/>
  <c r="F14" i="7"/>
  <c r="B15" i="7" s="1"/>
  <c r="D14" i="6"/>
  <c r="C14" i="6" s="1"/>
  <c r="G14" i="6" s="1"/>
  <c r="F14" i="6"/>
  <c r="B15" i="6" s="1"/>
  <c r="D14" i="2"/>
  <c r="E14" i="2" s="1"/>
  <c r="F14" i="2" s="1"/>
  <c r="B15" i="2" s="1"/>
  <c r="D17" i="1"/>
  <c r="E17" i="1" s="1"/>
  <c r="F17" i="1" s="1"/>
  <c r="B18" i="1" s="1"/>
  <c r="D15" i="5" l="1"/>
  <c r="C15" i="5" s="1"/>
  <c r="F15" i="5"/>
  <c r="B16" i="5" s="1"/>
  <c r="D17" i="8"/>
  <c r="F17" i="8"/>
  <c r="B18" i="8" s="1"/>
  <c r="F15" i="7"/>
  <c r="B16" i="7" s="1"/>
  <c r="D15" i="7"/>
  <c r="C15" i="7" s="1"/>
  <c r="G15" i="7" s="1"/>
  <c r="F15" i="6"/>
  <c r="B16" i="6" s="1"/>
  <c r="D15" i="6"/>
  <c r="C15" i="6" s="1"/>
  <c r="G15" i="6" s="1"/>
  <c r="D15" i="2"/>
  <c r="E15" i="2" s="1"/>
  <c r="F15" i="2" s="1"/>
  <c r="B16" i="2" s="1"/>
  <c r="D18" i="1"/>
  <c r="E18" i="1" s="1"/>
  <c r="F18" i="1" s="1"/>
  <c r="B19" i="1" s="1"/>
  <c r="D16" i="5" l="1"/>
  <c r="C16" i="5" s="1"/>
  <c r="F16" i="5"/>
  <c r="D18" i="8"/>
  <c r="C18" i="8" s="1"/>
  <c r="G18" i="8" s="1"/>
  <c r="F18" i="8"/>
  <c r="B19" i="8" s="1"/>
  <c r="C17" i="8"/>
  <c r="D16" i="7"/>
  <c r="F16" i="7"/>
  <c r="F16" i="6"/>
  <c r="D16" i="6"/>
  <c r="C16" i="6" s="1"/>
  <c r="G16" i="6" s="1"/>
  <c r="D16" i="2"/>
  <c r="E16" i="2" s="1"/>
  <c r="F16" i="2" s="1"/>
  <c r="B17" i="2" s="1"/>
  <c r="D19" i="1"/>
  <c r="E19" i="1" s="1"/>
  <c r="F19" i="1"/>
  <c r="C16" i="7" l="1"/>
  <c r="F19" i="8"/>
  <c r="B20" i="8" s="1"/>
  <c r="D19" i="8"/>
  <c r="C19" i="8" s="1"/>
  <c r="G19" i="8" s="1"/>
  <c r="G17" i="8"/>
  <c r="D17" i="2"/>
  <c r="E17" i="2" s="1"/>
  <c r="F17" i="2"/>
  <c r="B18" i="2" s="1"/>
  <c r="G16" i="7" l="1"/>
  <c r="F20" i="8"/>
  <c r="B21" i="8" s="1"/>
  <c r="D20" i="8"/>
  <c r="D18" i="2"/>
  <c r="E18" i="2" s="1"/>
  <c r="F18" i="2" s="1"/>
  <c r="B19" i="2" s="1"/>
  <c r="D20" i="7" l="1"/>
  <c r="C20" i="8"/>
  <c r="D21" i="8"/>
  <c r="C21" i="8" s="1"/>
  <c r="G21" i="8" s="1"/>
  <c r="F21" i="8"/>
  <c r="D19" i="2"/>
  <c r="E19" i="2" s="1"/>
  <c r="F19" i="2" s="1"/>
  <c r="G20" i="7" l="1"/>
  <c r="C20" i="7"/>
  <c r="D22" i="8"/>
  <c r="G20" i="8"/>
  <c r="G22" i="8" s="1"/>
  <c r="C22" i="8"/>
  <c r="F12" i="3"/>
  <c r="B13" i="3" s="1"/>
  <c r="G12" i="3"/>
  <c r="D13" i="3" l="1"/>
  <c r="E13" i="3" s="1"/>
  <c r="F13" i="3" s="1"/>
  <c r="B14" i="3" s="1"/>
  <c r="H13" i="3"/>
  <c r="G13" i="3" l="1"/>
  <c r="D14" i="3"/>
  <c r="E14" i="3" s="1"/>
  <c r="G14" i="3" s="1"/>
  <c r="F14" i="3" l="1"/>
  <c r="B15" i="3" s="1"/>
  <c r="D15" i="3" l="1"/>
  <c r="E15" i="3" s="1"/>
  <c r="G15" i="3" s="1"/>
  <c r="F15" i="3" l="1"/>
  <c r="B16" i="3" s="1"/>
  <c r="D16" i="3" s="1"/>
  <c r="E16" i="3" s="1"/>
  <c r="G16" i="3" s="1"/>
  <c r="F16" i="3" l="1"/>
  <c r="B17" i="3" s="1"/>
  <c r="D17" i="3" s="1"/>
  <c r="E17" i="3" s="1"/>
  <c r="G17" i="3" s="1"/>
  <c r="F17" i="3" l="1"/>
  <c r="B18" i="3" s="1"/>
  <c r="D18" i="3" s="1"/>
  <c r="E18" i="3" s="1"/>
  <c r="G18" i="3" s="1"/>
  <c r="F18" i="3" l="1"/>
  <c r="B19" i="3" s="1"/>
  <c r="D19" i="3" l="1"/>
  <c r="E19" i="3" s="1"/>
  <c r="G19" i="3" s="1"/>
  <c r="F19" i="3" l="1"/>
  <c r="B20" i="3" s="1"/>
  <c r="D20" i="3" s="1"/>
  <c r="E20" i="3" s="1"/>
  <c r="G20" i="3" s="1"/>
  <c r="F20" i="3" l="1"/>
  <c r="B21" i="3" s="1"/>
  <c r="D21" i="3" l="1"/>
  <c r="E21" i="3" s="1"/>
  <c r="G21" i="3" s="1"/>
  <c r="F21" i="3" l="1"/>
  <c r="B22" i="3" s="1"/>
  <c r="D22" i="3" l="1"/>
  <c r="E22" i="3" s="1"/>
  <c r="G22" i="3" s="1"/>
  <c r="F22" i="3" l="1"/>
  <c r="B23" i="3" s="1"/>
  <c r="D23" i="3" l="1"/>
  <c r="G23" i="3" s="1"/>
  <c r="B24" i="3" l="1"/>
  <c r="G24" i="3" l="1"/>
</calcChain>
</file>

<file path=xl/sharedStrings.xml><?xml version="1.0" encoding="utf-8"?>
<sst xmlns="http://schemas.openxmlformats.org/spreadsheetml/2006/main" count="135" uniqueCount="53">
  <si>
    <t>So</t>
  </si>
  <si>
    <t>n</t>
  </si>
  <si>
    <t>p</t>
  </si>
  <si>
    <t>q</t>
  </si>
  <si>
    <t>A</t>
  </si>
  <si>
    <t>Jahr</t>
  </si>
  <si>
    <t>Schuld Anfang</t>
  </si>
  <si>
    <t xml:space="preserve">Zinsen </t>
  </si>
  <si>
    <t xml:space="preserve">Annuität </t>
  </si>
  <si>
    <t>Schuld Ende</t>
  </si>
  <si>
    <t>Monatlich nachschüssig</t>
  </si>
  <si>
    <t>m</t>
  </si>
  <si>
    <t>alpha</t>
  </si>
  <si>
    <t>agio</t>
  </si>
  <si>
    <t>Daraus folgt, dass Schuld am Ende noch nicht 0 ist daraus folgt, dass man mit</t>
  </si>
  <si>
    <t>Zielwert suche das A passend sucht</t>
  </si>
  <si>
    <t>Tilgung</t>
  </si>
  <si>
    <t>S0</t>
  </si>
  <si>
    <t>T</t>
  </si>
  <si>
    <t>Annuität</t>
  </si>
  <si>
    <t>Zinsen</t>
  </si>
  <si>
    <t>monatsraten vorschüssig</t>
  </si>
  <si>
    <t>Agio</t>
  </si>
  <si>
    <t>monatliche Raten</t>
  </si>
  <si>
    <t>a</t>
  </si>
  <si>
    <t>Zeit</t>
  </si>
  <si>
    <t>Et</t>
  </si>
  <si>
    <t>At</t>
  </si>
  <si>
    <t>rt</t>
  </si>
  <si>
    <t>KW</t>
  </si>
  <si>
    <t>rt / q^t</t>
  </si>
  <si>
    <t>intere Zinsfuß</t>
  </si>
  <si>
    <t>IK</t>
  </si>
  <si>
    <t>E</t>
  </si>
  <si>
    <t>tstat</t>
  </si>
  <si>
    <t>w</t>
  </si>
  <si>
    <t>i</t>
  </si>
  <si>
    <t>Kw Statisch</t>
  </si>
  <si>
    <t>KW dynamisch</t>
  </si>
  <si>
    <t>KW dyn. + index</t>
  </si>
  <si>
    <t>tdyn</t>
  </si>
  <si>
    <t>tdyn index</t>
  </si>
  <si>
    <t>IK1</t>
  </si>
  <si>
    <t>bk1</t>
  </si>
  <si>
    <t>i1</t>
  </si>
  <si>
    <t>w1</t>
  </si>
  <si>
    <t>Ik2</t>
  </si>
  <si>
    <t>i2</t>
  </si>
  <si>
    <t>w2</t>
  </si>
  <si>
    <t>bk2</t>
  </si>
  <si>
    <t>KW1</t>
  </si>
  <si>
    <t>KW2</t>
  </si>
  <si>
    <t>Die Amortisationszeit einfach Schätzen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</si>
</sst>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0" fillId="0" borderId="0" xfId="0" applyNumberFormat="1"/>
    <xf numFmtId="9" fontId="0" fillId="0" borderId="0" xfId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Amortisation!$B$14</c:f>
              <c:strCache>
                <c:ptCount val="1"/>
                <c:pt idx="0">
                  <c:v>Kw Statisch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Amortisation!$A$15:$A$35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Amortisation!$B$15:$B$35</c:f>
              <c:numCache>
                <c:formatCode>General</c:formatCode>
                <c:ptCount val="21"/>
                <c:pt idx="0">
                  <c:v>-400000</c:v>
                </c:pt>
                <c:pt idx="1">
                  <c:v>-360000</c:v>
                </c:pt>
                <c:pt idx="2">
                  <c:v>-320000</c:v>
                </c:pt>
                <c:pt idx="3">
                  <c:v>-280000</c:v>
                </c:pt>
                <c:pt idx="4">
                  <c:v>-240000</c:v>
                </c:pt>
                <c:pt idx="5">
                  <c:v>-200000</c:v>
                </c:pt>
                <c:pt idx="6">
                  <c:v>-160000</c:v>
                </c:pt>
                <c:pt idx="7">
                  <c:v>-120000</c:v>
                </c:pt>
                <c:pt idx="8">
                  <c:v>-80000</c:v>
                </c:pt>
                <c:pt idx="9">
                  <c:v>-40000</c:v>
                </c:pt>
                <c:pt idx="10">
                  <c:v>0</c:v>
                </c:pt>
                <c:pt idx="11">
                  <c:v>40000</c:v>
                </c:pt>
                <c:pt idx="12">
                  <c:v>80000</c:v>
                </c:pt>
                <c:pt idx="13">
                  <c:v>120000</c:v>
                </c:pt>
                <c:pt idx="14">
                  <c:v>160000</c:v>
                </c:pt>
                <c:pt idx="15">
                  <c:v>200000</c:v>
                </c:pt>
                <c:pt idx="16">
                  <c:v>240000</c:v>
                </c:pt>
                <c:pt idx="17">
                  <c:v>280000</c:v>
                </c:pt>
                <c:pt idx="18">
                  <c:v>320000</c:v>
                </c:pt>
                <c:pt idx="19">
                  <c:v>360000</c:v>
                </c:pt>
                <c:pt idx="20">
                  <c:v>400000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D-43D6-ADD7-7A735631C4AD}"/>
            </c:ext>
          </c:extLst>
        </c:ser>
        <c:ser>
          <c:idx val="1"/>
          <c:order val="1"/>
          <c:tx>
            <c:strRef>
              <c:f>Amortisation!$C$14</c:f>
              <c:strCache>
                <c:ptCount val="1"/>
                <c:pt idx="0">
                  <c:v>KW dynamisch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Amortisation!$A$15:$A$35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Amortisation!$C$15:$C$35</c:f>
              <c:numCache>
                <c:formatCode>0.00</c:formatCode>
                <c:ptCount val="21"/>
                <c:pt idx="0" formatCode="General">
                  <c:v>-400000</c:v>
                </c:pt>
                <c:pt idx="1">
                  <c:v>-361538.46153846156</c:v>
                </c:pt>
                <c:pt idx="2">
                  <c:v>-324556.21301775152</c:v>
                </c:pt>
                <c:pt idx="3">
                  <c:v>-288996.35867091495</c:v>
                </c:pt>
                <c:pt idx="4">
                  <c:v>-254804.19102972592</c:v>
                </c:pt>
                <c:pt idx="5">
                  <c:v>-221927.10675935185</c:v>
                </c:pt>
                <c:pt idx="6">
                  <c:v>-190314.52573014604</c:v>
                </c:pt>
                <c:pt idx="7">
                  <c:v>-159917.81320206349</c:v>
                </c:pt>
                <c:pt idx="8">
                  <c:v>-130690.20500198414</c:v>
                </c:pt>
                <c:pt idx="9">
                  <c:v>-102586.73557883092</c:v>
                </c:pt>
                <c:pt idx="10">
                  <c:v>-75564.168825798988</c:v>
                </c:pt>
                <c:pt idx="11">
                  <c:v>-49580.93156326827</c:v>
                </c:pt>
                <c:pt idx="12">
                  <c:v>-24597.049580065664</c:v>
                </c:pt>
                <c:pt idx="13">
                  <c:v>-574.08613467854593</c:v>
                </c:pt>
                <c:pt idx="14">
                  <c:v>22524.917178193686</c:v>
                </c:pt>
                <c:pt idx="15">
                  <c:v>44735.497286724676</c:v>
                </c:pt>
                <c:pt idx="16">
                  <c:v>66091.824314158323</c:v>
                </c:pt>
                <c:pt idx="17">
                  <c:v>86626.754148229127</c:v>
                </c:pt>
                <c:pt idx="18">
                  <c:v>106371.87898868183</c:v>
                </c:pt>
                <c:pt idx="19">
                  <c:v>125357.57595065558</c:v>
                </c:pt>
                <c:pt idx="20">
                  <c:v>143613.05379870726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D-43D6-ADD7-7A735631C4AD}"/>
            </c:ext>
          </c:extLst>
        </c:ser>
        <c:ser>
          <c:idx val="2"/>
          <c:order val="2"/>
          <c:tx>
            <c:strRef>
              <c:f>Amortisation!$D$14</c:f>
              <c:strCache>
                <c:ptCount val="1"/>
                <c:pt idx="0">
                  <c:v>KW dyn. + index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Amortisation!$A$15:$A$35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Amortisation!$D$15:$D$35</c:f>
              <c:numCache>
                <c:formatCode>0.00</c:formatCode>
                <c:ptCount val="21"/>
                <c:pt idx="0" formatCode="General">
                  <c:v>-400000</c:v>
                </c:pt>
                <c:pt idx="1">
                  <c:v>-361538.46153846156</c:v>
                </c:pt>
                <c:pt idx="2">
                  <c:v>-323816.56804733729</c:v>
                </c:pt>
                <c:pt idx="3">
                  <c:v>-286820.09558488848</c:v>
                </c:pt>
                <c:pt idx="4">
                  <c:v>-250535.09374671755</c:v>
                </c:pt>
                <c:pt idx="5">
                  <c:v>-214947.88040543452</c:v>
                </c:pt>
                <c:pt idx="6">
                  <c:v>-180045.03655148388</c:v>
                </c:pt>
                <c:pt idx="7">
                  <c:v>-145813.40123318613</c:v>
                </c:pt>
                <c:pt idx="8">
                  <c:v>-112240.06659408641</c:v>
                </c:pt>
                <c:pt idx="9">
                  <c:v>-79312.373005738613</c:v>
                </c:pt>
                <c:pt idx="10">
                  <c:v>-47017.904294089807</c:v>
                </c:pt>
                <c:pt idx="11">
                  <c:v>-15344.483057665017</c:v>
                </c:pt>
                <c:pt idx="12">
                  <c:v>15719.83392421313</c:v>
                </c:pt>
                <c:pt idx="13">
                  <c:v>46186.760194901319</c:v>
                </c:pt>
                <c:pt idx="14">
                  <c:v>76067.784037307036</c:v>
                </c:pt>
                <c:pt idx="15">
                  <c:v>105374.17280582034</c:v>
                </c:pt>
                <c:pt idx="16">
                  <c:v>134116.97717493915</c:v>
                </c:pt>
                <c:pt idx="17">
                  <c:v>162307.03530619029</c:v>
                </c:pt>
                <c:pt idx="18">
                  <c:v>189954.97693491736</c:v>
                </c:pt>
                <c:pt idx="19">
                  <c:v>217071.22737847661</c:v>
                </c:pt>
                <c:pt idx="20">
                  <c:v>243666.01146735204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BD-43D6-ADD7-7A735631C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726848"/>
        <c:axId val="243727176"/>
      </c:lineChart>
      <c:catAx>
        <c:axId val="24372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3727176"/>
        <c:crosses val="autoZero"/>
        <c:auto val="1"/>
        <c:lblAlgn val="ctr"/>
        <c:lblOffset val="100"/>
        <c:noMultiLvlLbl val="0"/>
      </c:catAx>
      <c:valAx>
        <c:axId val="24372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372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Anlagenvergleich!$C$17</c:f>
              <c:strCache>
                <c:ptCount val="1"/>
                <c:pt idx="0">
                  <c:v>KW1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Anlagenvergleich!$B$18:$B$38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Anlagenvergleich!$C$18:$C$38</c:f>
              <c:numCache>
                <c:formatCode>0.00</c:formatCode>
                <c:ptCount val="21"/>
                <c:pt idx="0" formatCode="General">
                  <c:v>-60</c:v>
                </c:pt>
                <c:pt idx="1">
                  <c:v>-66.19047619047619</c:v>
                </c:pt>
                <c:pt idx="2">
                  <c:v>-72.145124716553283</c:v>
                </c:pt>
                <c:pt idx="3">
                  <c:v>-77.872929489256009</c:v>
                </c:pt>
                <c:pt idx="4">
                  <c:v>-83.382532175379595</c:v>
                </c:pt>
                <c:pt idx="5">
                  <c:v>-88.68224523536513</c:v>
                </c:pt>
                <c:pt idx="6">
                  <c:v>-93.780064464494075</c:v>
                </c:pt>
                <c:pt idx="7">
                  <c:v>-98.683681056322868</c:v>
                </c:pt>
                <c:pt idx="8">
                  <c:v>-103.40049320655818</c:v>
                </c:pt>
                <c:pt idx="9">
                  <c:v>-107.93761727487977</c:v>
                </c:pt>
                <c:pt idx="10">
                  <c:v>-112.30189852155101</c:v>
                </c:pt>
                <c:pt idx="11">
                  <c:v>-116.49992143501574</c:v>
                </c:pt>
                <c:pt idx="12">
                  <c:v>-120.53801966606275</c:v>
                </c:pt>
                <c:pt idx="13">
                  <c:v>-124.42228558354607</c:v>
                </c:pt>
                <c:pt idx="14">
                  <c:v>-128.15857946607764</c:v>
                </c:pt>
                <c:pt idx="15">
                  <c:v>-131.75253834356039</c:v>
                </c:pt>
                <c:pt idx="16">
                  <c:v>-135.20958450190093</c:v>
                </c:pt>
                <c:pt idx="17">
                  <c:v>-138.53493366373328</c:v>
                </c:pt>
                <c:pt idx="18">
                  <c:v>-141.73360285749581</c:v>
                </c:pt>
                <c:pt idx="19">
                  <c:v>-144.81041798673405</c:v>
                </c:pt>
                <c:pt idx="20">
                  <c:v>-147.77002111104895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03-4C42-BFA9-8D6A498EFB97}"/>
            </c:ext>
          </c:extLst>
        </c:ser>
        <c:ser>
          <c:idx val="1"/>
          <c:order val="1"/>
          <c:tx>
            <c:strRef>
              <c:f>Anlagenvergleich!$D$17</c:f>
              <c:strCache>
                <c:ptCount val="1"/>
                <c:pt idx="0">
                  <c:v>KW2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Anlagenvergleich!$B$18:$B$38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Anlagenvergleich!$D$18:$D$38</c:f>
              <c:numCache>
                <c:formatCode>0.00</c:formatCode>
                <c:ptCount val="21"/>
                <c:pt idx="0" formatCode="General">
                  <c:v>-40</c:v>
                </c:pt>
                <c:pt idx="1">
                  <c:v>-46.998655512847208</c:v>
                </c:pt>
                <c:pt idx="2">
                  <c:v>-53.797349439613065</c:v>
                </c:pt>
                <c:pt idx="3">
                  <c:v>-60.401794968471329</c:v>
                </c:pt>
                <c:pt idx="4">
                  <c:v>-66.817542053647927</c:v>
                </c:pt>
                <c:pt idx="5">
                  <c:v>-73.049982079248053</c:v>
                </c:pt>
                <c:pt idx="6">
                  <c:v>-79.104352389831035</c:v>
                </c:pt>
                <c:pt idx="7">
                  <c:v>-84.985740691540215</c:v>
                </c:pt>
                <c:pt idx="8">
                  <c:v>-90.699089327486277</c:v>
                </c:pt>
                <c:pt idx="9">
                  <c:v>-96.249199430976731</c:v>
                </c:pt>
                <c:pt idx="10">
                  <c:v>-101.64073496008174</c:v>
                </c:pt>
                <c:pt idx="11">
                  <c:v>-106.87822661692661</c:v>
                </c:pt>
                <c:pt idx="12">
                  <c:v>-111.96607565500449</c:v>
                </c:pt>
                <c:pt idx="13">
                  <c:v>-116.90855757770871</c:v>
                </c:pt>
                <c:pt idx="14">
                  <c:v>-121.70982573119281</c:v>
                </c:pt>
                <c:pt idx="15">
                  <c:v>-126.37391479457736</c:v>
                </c:pt>
                <c:pt idx="16">
                  <c:v>-130.90474417043663</c:v>
                </c:pt>
                <c:pt idx="17">
                  <c:v>-135.30612127841422</c:v>
                </c:pt>
                <c:pt idx="18">
                  <c:v>-139.5817447547353</c:v>
                </c:pt>
                <c:pt idx="19">
                  <c:v>-143.73520756030436</c:v>
                </c:pt>
                <c:pt idx="20">
                  <c:v>-147.77000000000001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03-4C42-BFA9-8D6A498EF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767024"/>
        <c:axId val="243765712"/>
      </c:lineChart>
      <c:catAx>
        <c:axId val="24376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3765712"/>
        <c:crosses val="autoZero"/>
        <c:auto val="1"/>
        <c:lblAlgn val="ctr"/>
        <c:lblOffset val="100"/>
        <c:noMultiLvlLbl val="0"/>
      </c:catAx>
      <c:valAx>
        <c:axId val="24376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376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13</xdr:row>
      <xdr:rowOff>176212</xdr:rowOff>
    </xdr:from>
    <xdr:to>
      <xdr:col>10</xdr:col>
      <xdr:colOff>323850</xdr:colOff>
      <xdr:row>28</xdr:row>
      <xdr:rowOff>61912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0E54DC7-92E2-4E21-AFCF-F36A4363E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16</xdr:row>
      <xdr:rowOff>185737</xdr:rowOff>
    </xdr:from>
    <xdr:to>
      <xdr:col>10</xdr:col>
      <xdr:colOff>352425</xdr:colOff>
      <xdr:row>31</xdr:row>
      <xdr:rowOff>71437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6A30130-5C54-4D9E-98E9-5667E964BA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8C699-B60E-473B-B84E-287E1D3278EE}">
  <dimension ref="A3:F19"/>
  <sheetViews>
    <sheetView workbookViewId="0">
      <selection activeCell="E11" sqref="E11"/>
    </sheetView>
  </sheetViews>
  <sheetFormatPr baseColWidth="10" defaultRowHeight="15" x14ac:dyDescent="0.25"/>
  <cols>
    <col min="2" max="2" width="14.140625" customWidth="1"/>
  </cols>
  <sheetData>
    <row r="3" spans="1:6" x14ac:dyDescent="0.25">
      <c r="A3" t="s">
        <v>0</v>
      </c>
      <c r="B3">
        <v>20000</v>
      </c>
    </row>
    <row r="4" spans="1:6" x14ac:dyDescent="0.25">
      <c r="A4" t="s">
        <v>1</v>
      </c>
      <c r="B4">
        <v>8</v>
      </c>
    </row>
    <row r="5" spans="1:6" x14ac:dyDescent="0.25">
      <c r="A5" t="s">
        <v>2</v>
      </c>
      <c r="B5">
        <v>0.05</v>
      </c>
    </row>
    <row r="6" spans="1:6" x14ac:dyDescent="0.25">
      <c r="A6" t="s">
        <v>3</v>
      </c>
      <c r="B6">
        <f>1+B5</f>
        <v>1.05</v>
      </c>
    </row>
    <row r="8" spans="1:6" x14ac:dyDescent="0.25">
      <c r="A8" t="s">
        <v>4</v>
      </c>
      <c r="B8" s="1">
        <f>B3*B6^B4*(B5)/(B6^B4-1)</f>
        <v>3094.436272553623</v>
      </c>
    </row>
    <row r="11" spans="1:6" x14ac:dyDescent="0.25">
      <c r="A11" t="s">
        <v>5</v>
      </c>
      <c r="B11" t="s">
        <v>6</v>
      </c>
      <c r="C11" t="s">
        <v>8</v>
      </c>
      <c r="D11" t="s">
        <v>7</v>
      </c>
      <c r="E11" t="s">
        <v>16</v>
      </c>
      <c r="F11" t="s">
        <v>9</v>
      </c>
    </row>
    <row r="12" spans="1:6" x14ac:dyDescent="0.25">
      <c r="A12">
        <v>1</v>
      </c>
      <c r="B12" s="1">
        <f>B3</f>
        <v>20000</v>
      </c>
      <c r="C12" s="1">
        <f>$B$8</f>
        <v>3094.436272553623</v>
      </c>
      <c r="D12" s="1">
        <f>B12*$B$5</f>
        <v>1000</v>
      </c>
      <c r="E12" s="1">
        <f>C12-D12</f>
        <v>2094.436272553623</v>
      </c>
      <c r="F12" s="1">
        <f>B12-E12</f>
        <v>17905.563727446377</v>
      </c>
    </row>
    <row r="13" spans="1:6" x14ac:dyDescent="0.25">
      <c r="A13">
        <v>2</v>
      </c>
      <c r="B13" s="1">
        <f>F12</f>
        <v>17905.563727446377</v>
      </c>
      <c r="C13" s="1">
        <f t="shared" ref="C13:C19" si="0">$B$8</f>
        <v>3094.436272553623</v>
      </c>
      <c r="D13" s="1">
        <f t="shared" ref="D13:D19" si="1">B13*$B$5</f>
        <v>895.27818637231894</v>
      </c>
      <c r="E13" s="1">
        <f t="shared" ref="E13:E19" si="2">C13-D13</f>
        <v>2199.158086181304</v>
      </c>
      <c r="F13" s="1">
        <f t="shared" ref="F13:F19" si="3">B13-E13</f>
        <v>15706.405641265073</v>
      </c>
    </row>
    <row r="14" spans="1:6" x14ac:dyDescent="0.25">
      <c r="A14">
        <v>3</v>
      </c>
      <c r="B14" s="1">
        <f t="shared" ref="B14:B19" si="4">F13</f>
        <v>15706.405641265073</v>
      </c>
      <c r="C14" s="1">
        <f t="shared" si="0"/>
        <v>3094.436272553623</v>
      </c>
      <c r="D14" s="1">
        <f t="shared" si="1"/>
        <v>785.32028206325367</v>
      </c>
      <c r="E14" s="1">
        <f t="shared" si="2"/>
        <v>2309.1159904903693</v>
      </c>
      <c r="F14" s="1">
        <f t="shared" si="3"/>
        <v>13397.289650774705</v>
      </c>
    </row>
    <row r="15" spans="1:6" x14ac:dyDescent="0.25">
      <c r="A15">
        <v>4</v>
      </c>
      <c r="B15" s="1">
        <f t="shared" si="4"/>
        <v>13397.289650774705</v>
      </c>
      <c r="C15" s="1">
        <f t="shared" si="0"/>
        <v>3094.436272553623</v>
      </c>
      <c r="D15" s="1">
        <f t="shared" si="1"/>
        <v>669.86448253873527</v>
      </c>
      <c r="E15" s="1">
        <f t="shared" si="2"/>
        <v>2424.5717900148875</v>
      </c>
      <c r="F15" s="1">
        <f t="shared" si="3"/>
        <v>10972.717860759818</v>
      </c>
    </row>
    <row r="16" spans="1:6" x14ac:dyDescent="0.25">
      <c r="A16">
        <v>5</v>
      </c>
      <c r="B16" s="1">
        <f t="shared" si="4"/>
        <v>10972.717860759818</v>
      </c>
      <c r="C16" s="1">
        <f t="shared" si="0"/>
        <v>3094.436272553623</v>
      </c>
      <c r="D16" s="1">
        <f t="shared" si="1"/>
        <v>548.63589303799097</v>
      </c>
      <c r="E16" s="1">
        <f t="shared" si="2"/>
        <v>2545.8003795156319</v>
      </c>
      <c r="F16" s="1">
        <f t="shared" si="3"/>
        <v>8426.9174812441852</v>
      </c>
    </row>
    <row r="17" spans="1:6" x14ac:dyDescent="0.25">
      <c r="A17">
        <v>6</v>
      </c>
      <c r="B17" s="1">
        <f t="shared" si="4"/>
        <v>8426.9174812441852</v>
      </c>
      <c r="C17" s="1">
        <f t="shared" si="0"/>
        <v>3094.436272553623</v>
      </c>
      <c r="D17" s="1">
        <f t="shared" si="1"/>
        <v>421.3458740622093</v>
      </c>
      <c r="E17" s="1">
        <f t="shared" si="2"/>
        <v>2673.0903984914139</v>
      </c>
      <c r="F17" s="1">
        <f t="shared" si="3"/>
        <v>5753.8270827527713</v>
      </c>
    </row>
    <row r="18" spans="1:6" x14ac:dyDescent="0.25">
      <c r="A18">
        <v>7</v>
      </c>
      <c r="B18" s="1">
        <f t="shared" si="4"/>
        <v>5753.8270827527713</v>
      </c>
      <c r="C18" s="1">
        <f t="shared" si="0"/>
        <v>3094.436272553623</v>
      </c>
      <c r="D18" s="1">
        <f t="shared" si="1"/>
        <v>287.6913541376386</v>
      </c>
      <c r="E18" s="1">
        <f t="shared" si="2"/>
        <v>2806.7449184159846</v>
      </c>
      <c r="F18" s="1">
        <f t="shared" si="3"/>
        <v>2947.0821643367867</v>
      </c>
    </row>
    <row r="19" spans="1:6" x14ac:dyDescent="0.25">
      <c r="A19">
        <v>8</v>
      </c>
      <c r="B19" s="1">
        <f t="shared" si="4"/>
        <v>2947.0821643367867</v>
      </c>
      <c r="C19" s="1">
        <f t="shared" si="0"/>
        <v>3094.436272553623</v>
      </c>
      <c r="D19" s="1">
        <f t="shared" si="1"/>
        <v>147.35410821683934</v>
      </c>
      <c r="E19" s="1">
        <f t="shared" si="2"/>
        <v>2947.0821643367835</v>
      </c>
      <c r="F19" s="1">
        <f t="shared" si="3"/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6B30F-671A-4C70-86A1-D9F57D7FFDF8}">
  <dimension ref="B4:G39"/>
  <sheetViews>
    <sheetView workbookViewId="0">
      <selection activeCell="G6" sqref="G6"/>
    </sheetView>
  </sheetViews>
  <sheetFormatPr baseColWidth="10" defaultRowHeight="15" x14ac:dyDescent="0.25"/>
  <sheetData>
    <row r="4" spans="2:7" x14ac:dyDescent="0.25">
      <c r="B4" t="s">
        <v>42</v>
      </c>
      <c r="C4">
        <v>60</v>
      </c>
    </row>
    <row r="5" spans="2:7" x14ac:dyDescent="0.25">
      <c r="B5" t="s">
        <v>43</v>
      </c>
      <c r="C5">
        <v>6.5</v>
      </c>
      <c r="G5" t="s">
        <v>52</v>
      </c>
    </row>
    <row r="6" spans="2:7" x14ac:dyDescent="0.25">
      <c r="B6" t="s">
        <v>44</v>
      </c>
      <c r="C6">
        <v>0.01</v>
      </c>
    </row>
    <row r="7" spans="2:7" x14ac:dyDescent="0.25">
      <c r="B7" t="s">
        <v>45</v>
      </c>
      <c r="C7">
        <f>1+C6</f>
        <v>1.01</v>
      </c>
    </row>
    <row r="8" spans="2:7" x14ac:dyDescent="0.25">
      <c r="B8" t="s">
        <v>46</v>
      </c>
      <c r="C8">
        <v>40</v>
      </c>
    </row>
    <row r="9" spans="2:7" x14ac:dyDescent="0.25">
      <c r="B9" t="s">
        <v>49</v>
      </c>
      <c r="C9">
        <v>7.3485882884895686</v>
      </c>
    </row>
    <row r="10" spans="2:7" x14ac:dyDescent="0.25">
      <c r="B10" t="s">
        <v>47</v>
      </c>
      <c r="C10">
        <v>0.02</v>
      </c>
    </row>
    <row r="11" spans="2:7" x14ac:dyDescent="0.25">
      <c r="B11" t="s">
        <v>48</v>
      </c>
      <c r="C11">
        <f>1+C10</f>
        <v>1.02</v>
      </c>
    </row>
    <row r="12" spans="2:7" x14ac:dyDescent="0.25">
      <c r="B12" t="s">
        <v>2</v>
      </c>
      <c r="C12">
        <v>0.05</v>
      </c>
    </row>
    <row r="13" spans="2:7" x14ac:dyDescent="0.25">
      <c r="B13" t="s">
        <v>3</v>
      </c>
      <c r="C13">
        <f>1+C12</f>
        <v>1.05</v>
      </c>
    </row>
    <row r="17" spans="2:6" x14ac:dyDescent="0.25">
      <c r="B17" t="s">
        <v>25</v>
      </c>
      <c r="C17" t="s">
        <v>50</v>
      </c>
      <c r="D17" t="s">
        <v>51</v>
      </c>
    </row>
    <row r="18" spans="2:6" x14ac:dyDescent="0.25">
      <c r="B18">
        <v>0</v>
      </c>
      <c r="C18">
        <f>-C4</f>
        <v>-60</v>
      </c>
      <c r="D18">
        <f>-C8</f>
        <v>-40</v>
      </c>
    </row>
    <row r="19" spans="2:6" x14ac:dyDescent="0.25">
      <c r="B19">
        <v>1</v>
      </c>
      <c r="C19" s="1">
        <f>C18-$C$5*$C$7^(B19-1)/$C$13^B19</f>
        <v>-66.19047619047619</v>
      </c>
      <c r="D19" s="1">
        <f>D18-$C$9*$C$11^(B19-1)/$C$13^B19</f>
        <v>-46.998655512847208</v>
      </c>
      <c r="F19" s="1"/>
    </row>
    <row r="20" spans="2:6" x14ac:dyDescent="0.25">
      <c r="B20">
        <v>2</v>
      </c>
      <c r="C20" s="1">
        <f t="shared" ref="C20:C38" si="0">C19-$C$5*$C$7^(B20-1)/$C$13^B20</f>
        <v>-72.145124716553283</v>
      </c>
      <c r="D20" s="1">
        <f t="shared" ref="D20:D38" si="1">D19-$C$9*$C$11^(B20-1)/$C$13^B20</f>
        <v>-53.797349439613065</v>
      </c>
      <c r="F20" s="1"/>
    </row>
    <row r="21" spans="2:6" x14ac:dyDescent="0.25">
      <c r="B21">
        <v>3</v>
      </c>
      <c r="C21" s="1">
        <f t="shared" si="0"/>
        <v>-77.872929489256009</v>
      </c>
      <c r="D21" s="1">
        <f t="shared" si="1"/>
        <v>-60.401794968471329</v>
      </c>
      <c r="F21" s="1"/>
    </row>
    <row r="22" spans="2:6" x14ac:dyDescent="0.25">
      <c r="B22">
        <v>4</v>
      </c>
      <c r="C22" s="1">
        <f t="shared" si="0"/>
        <v>-83.382532175379595</v>
      </c>
      <c r="D22" s="1">
        <f t="shared" si="1"/>
        <v>-66.817542053647927</v>
      </c>
      <c r="F22" s="1"/>
    </row>
    <row r="23" spans="2:6" x14ac:dyDescent="0.25">
      <c r="B23">
        <v>5</v>
      </c>
      <c r="C23" s="1">
        <f t="shared" si="0"/>
        <v>-88.68224523536513</v>
      </c>
      <c r="D23" s="1">
        <f t="shared" si="1"/>
        <v>-73.049982079248053</v>
      </c>
      <c r="F23" s="1"/>
    </row>
    <row r="24" spans="2:6" x14ac:dyDescent="0.25">
      <c r="B24">
        <v>6</v>
      </c>
      <c r="C24" s="1">
        <f t="shared" si="0"/>
        <v>-93.780064464494075</v>
      </c>
      <c r="D24" s="1">
        <f t="shared" si="1"/>
        <v>-79.104352389831035</v>
      </c>
      <c r="F24" s="1"/>
    </row>
    <row r="25" spans="2:6" x14ac:dyDescent="0.25">
      <c r="B25">
        <v>7</v>
      </c>
      <c r="C25" s="1">
        <f t="shared" si="0"/>
        <v>-98.683681056322868</v>
      </c>
      <c r="D25" s="1">
        <f t="shared" si="1"/>
        <v>-84.985740691540215</v>
      </c>
      <c r="F25" s="1"/>
    </row>
    <row r="26" spans="2:6" x14ac:dyDescent="0.25">
      <c r="B26">
        <v>8</v>
      </c>
      <c r="C26" s="1">
        <f t="shared" si="0"/>
        <v>-103.40049320655818</v>
      </c>
      <c r="D26" s="1">
        <f t="shared" si="1"/>
        <v>-90.699089327486277</v>
      </c>
      <c r="F26" s="1"/>
    </row>
    <row r="27" spans="2:6" x14ac:dyDescent="0.25">
      <c r="B27">
        <v>9</v>
      </c>
      <c r="C27" s="1">
        <f t="shared" si="0"/>
        <v>-107.93761727487977</v>
      </c>
      <c r="D27" s="1">
        <f t="shared" si="1"/>
        <v>-96.249199430976731</v>
      </c>
      <c r="F27" s="1"/>
    </row>
    <row r="28" spans="2:6" x14ac:dyDescent="0.25">
      <c r="B28">
        <v>10</v>
      </c>
      <c r="C28" s="1">
        <f t="shared" si="0"/>
        <v>-112.30189852155101</v>
      </c>
      <c r="D28" s="1">
        <f t="shared" si="1"/>
        <v>-101.64073496008174</v>
      </c>
      <c r="F28" s="1"/>
    </row>
    <row r="29" spans="2:6" x14ac:dyDescent="0.25">
      <c r="B29">
        <v>11</v>
      </c>
      <c r="C29" s="1">
        <f t="shared" si="0"/>
        <v>-116.49992143501574</v>
      </c>
      <c r="D29" s="1">
        <f t="shared" si="1"/>
        <v>-106.87822661692661</v>
      </c>
      <c r="F29" s="1"/>
    </row>
    <row r="30" spans="2:6" x14ac:dyDescent="0.25">
      <c r="B30">
        <v>12</v>
      </c>
      <c r="C30" s="1">
        <f t="shared" si="0"/>
        <v>-120.53801966606275</v>
      </c>
      <c r="D30" s="1">
        <f t="shared" si="1"/>
        <v>-111.96607565500449</v>
      </c>
      <c r="F30" s="1"/>
    </row>
    <row r="31" spans="2:6" x14ac:dyDescent="0.25">
      <c r="B31">
        <v>13</v>
      </c>
      <c r="C31" s="1">
        <f t="shared" si="0"/>
        <v>-124.42228558354607</v>
      </c>
      <c r="D31" s="1">
        <f t="shared" si="1"/>
        <v>-116.90855757770871</v>
      </c>
      <c r="F31" s="1"/>
    </row>
    <row r="32" spans="2:6" x14ac:dyDescent="0.25">
      <c r="B32">
        <v>14</v>
      </c>
      <c r="C32" s="1">
        <f t="shared" si="0"/>
        <v>-128.15857946607764</v>
      </c>
      <c r="D32" s="1">
        <f t="shared" si="1"/>
        <v>-121.70982573119281</v>
      </c>
      <c r="F32" s="1"/>
    </row>
    <row r="33" spans="2:6" x14ac:dyDescent="0.25">
      <c r="B33">
        <v>15</v>
      </c>
      <c r="C33" s="1">
        <f t="shared" si="0"/>
        <v>-131.75253834356039</v>
      </c>
      <c r="D33" s="1">
        <f t="shared" si="1"/>
        <v>-126.37391479457736</v>
      </c>
      <c r="F33" s="1"/>
    </row>
    <row r="34" spans="2:6" x14ac:dyDescent="0.25">
      <c r="B34">
        <v>16</v>
      </c>
      <c r="C34" s="1">
        <f t="shared" si="0"/>
        <v>-135.20958450190093</v>
      </c>
      <c r="D34" s="1">
        <f t="shared" si="1"/>
        <v>-130.90474417043663</v>
      </c>
      <c r="F34" s="1"/>
    </row>
    <row r="35" spans="2:6" x14ac:dyDescent="0.25">
      <c r="B35">
        <v>17</v>
      </c>
      <c r="C35" s="1">
        <f t="shared" si="0"/>
        <v>-138.53493366373328</v>
      </c>
      <c r="D35" s="1">
        <f t="shared" si="1"/>
        <v>-135.30612127841422</v>
      </c>
      <c r="F35" s="1"/>
    </row>
    <row r="36" spans="2:6" x14ac:dyDescent="0.25">
      <c r="B36">
        <v>18</v>
      </c>
      <c r="C36" s="1">
        <f t="shared" si="0"/>
        <v>-141.73360285749581</v>
      </c>
      <c r="D36" s="1">
        <f t="shared" si="1"/>
        <v>-139.5817447547353</v>
      </c>
      <c r="F36" s="1"/>
    </row>
    <row r="37" spans="2:6" x14ac:dyDescent="0.25">
      <c r="B37">
        <v>19</v>
      </c>
      <c r="C37" s="1">
        <f t="shared" si="0"/>
        <v>-144.81041798673405</v>
      </c>
      <c r="D37" s="1">
        <f t="shared" si="1"/>
        <v>-143.73520756030436</v>
      </c>
      <c r="F37" s="1"/>
    </row>
    <row r="38" spans="2:6" x14ac:dyDescent="0.25">
      <c r="B38">
        <v>20</v>
      </c>
      <c r="C38" s="1">
        <f t="shared" si="0"/>
        <v>-147.77002111104895</v>
      </c>
      <c r="D38" s="1">
        <f t="shared" si="1"/>
        <v>-147.77000000000001</v>
      </c>
      <c r="F38" s="1"/>
    </row>
    <row r="39" spans="2:6" x14ac:dyDescent="0.25">
      <c r="F39" s="1"/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57B9D-32F9-4B2D-9501-05A9B00A32AC}">
  <dimension ref="A3:G19"/>
  <sheetViews>
    <sheetView workbookViewId="0">
      <selection activeCell="G12" sqref="G12"/>
    </sheetView>
  </sheetViews>
  <sheetFormatPr baseColWidth="10" defaultRowHeight="15" x14ac:dyDescent="0.25"/>
  <cols>
    <col min="2" max="2" width="14.140625" customWidth="1"/>
    <col min="7" max="7" width="22" bestFit="1" customWidth="1"/>
  </cols>
  <sheetData>
    <row r="3" spans="1:7" x14ac:dyDescent="0.25">
      <c r="A3" t="s">
        <v>0</v>
      </c>
      <c r="B3">
        <v>200000</v>
      </c>
    </row>
    <row r="4" spans="1:7" x14ac:dyDescent="0.25">
      <c r="A4" t="s">
        <v>1</v>
      </c>
      <c r="B4">
        <v>8</v>
      </c>
    </row>
    <row r="5" spans="1:7" x14ac:dyDescent="0.25">
      <c r="A5" t="s">
        <v>2</v>
      </c>
      <c r="B5">
        <v>0.05</v>
      </c>
    </row>
    <row r="6" spans="1:7" x14ac:dyDescent="0.25">
      <c r="A6" t="s">
        <v>3</v>
      </c>
      <c r="B6">
        <f>1+B5</f>
        <v>1.05</v>
      </c>
    </row>
    <row r="7" spans="1:7" x14ac:dyDescent="0.25">
      <c r="A7" t="s">
        <v>11</v>
      </c>
      <c r="B7">
        <v>12</v>
      </c>
    </row>
    <row r="8" spans="1:7" x14ac:dyDescent="0.25">
      <c r="A8" t="s">
        <v>4</v>
      </c>
      <c r="B8" s="1">
        <f>B3*B6^B4*(B5)/(B6^B4-1)</f>
        <v>30944.36272553623</v>
      </c>
    </row>
    <row r="11" spans="1:7" x14ac:dyDescent="0.25">
      <c r="A11" t="s">
        <v>5</v>
      </c>
      <c r="B11" t="s">
        <v>6</v>
      </c>
      <c r="C11" t="s">
        <v>8</v>
      </c>
      <c r="D11" t="s">
        <v>7</v>
      </c>
      <c r="E11" t="s">
        <v>16</v>
      </c>
      <c r="F11" t="s">
        <v>9</v>
      </c>
      <c r="G11" t="s">
        <v>10</v>
      </c>
    </row>
    <row r="12" spans="1:7" x14ac:dyDescent="0.25">
      <c r="A12">
        <v>1</v>
      </c>
      <c r="B12" s="1">
        <f>B3</f>
        <v>200000</v>
      </c>
      <c r="C12" s="1">
        <f>$B$8</f>
        <v>30944.36272553623</v>
      </c>
      <c r="D12" s="1">
        <f>B12*$B$5</f>
        <v>10000</v>
      </c>
      <c r="E12" s="1">
        <f>C12-D12</f>
        <v>20944.36272553623</v>
      </c>
      <c r="F12" s="1">
        <f>B12-E12</f>
        <v>179055.63727446378</v>
      </c>
      <c r="G12" s="1">
        <f>C12/($B$7+$B$5/2*($B$7-1))</f>
        <v>2520.9256802880836</v>
      </c>
    </row>
    <row r="13" spans="1:7" x14ac:dyDescent="0.25">
      <c r="A13">
        <v>2</v>
      </c>
      <c r="B13" s="1">
        <f>F12</f>
        <v>179055.63727446378</v>
      </c>
      <c r="C13" s="1">
        <f t="shared" ref="C13:C19" si="0">$B$8</f>
        <v>30944.36272553623</v>
      </c>
      <c r="D13" s="1">
        <f t="shared" ref="D13:D19" si="1">B13*$B$5</f>
        <v>8952.7818637231885</v>
      </c>
      <c r="E13" s="1">
        <f t="shared" ref="E13:E19" si="2">C13-D13</f>
        <v>21991.58086181304</v>
      </c>
      <c r="F13" s="1">
        <f t="shared" ref="F13:F19" si="3">B13-E13</f>
        <v>157064.05641265074</v>
      </c>
      <c r="G13" s="1">
        <f t="shared" ref="G13:G19" si="4">C13/($B$7+$B$5/2*($B$7-1))</f>
        <v>2520.9256802880836</v>
      </c>
    </row>
    <row r="14" spans="1:7" x14ac:dyDescent="0.25">
      <c r="A14">
        <v>3</v>
      </c>
      <c r="B14" s="1">
        <f t="shared" ref="B14:B19" si="5">F13</f>
        <v>157064.05641265074</v>
      </c>
      <c r="C14" s="1">
        <f t="shared" si="0"/>
        <v>30944.36272553623</v>
      </c>
      <c r="D14" s="1">
        <f t="shared" si="1"/>
        <v>7853.2028206325376</v>
      </c>
      <c r="E14" s="1">
        <f t="shared" si="2"/>
        <v>23091.159904903692</v>
      </c>
      <c r="F14" s="1">
        <f t="shared" si="3"/>
        <v>133972.89650774703</v>
      </c>
      <c r="G14" s="1">
        <f t="shared" si="4"/>
        <v>2520.9256802880836</v>
      </c>
    </row>
    <row r="15" spans="1:7" x14ac:dyDescent="0.25">
      <c r="A15">
        <v>4</v>
      </c>
      <c r="B15" s="1">
        <f t="shared" si="5"/>
        <v>133972.89650774703</v>
      </c>
      <c r="C15" s="1">
        <f t="shared" si="0"/>
        <v>30944.36272553623</v>
      </c>
      <c r="D15" s="1">
        <f t="shared" si="1"/>
        <v>6698.6448253873523</v>
      </c>
      <c r="E15" s="1">
        <f t="shared" si="2"/>
        <v>24245.717900148877</v>
      </c>
      <c r="F15" s="1">
        <f t="shared" si="3"/>
        <v>109727.17860759815</v>
      </c>
      <c r="G15" s="1">
        <f t="shared" si="4"/>
        <v>2520.9256802880836</v>
      </c>
    </row>
    <row r="16" spans="1:7" x14ac:dyDescent="0.25">
      <c r="A16">
        <v>5</v>
      </c>
      <c r="B16" s="1">
        <f t="shared" si="5"/>
        <v>109727.17860759815</v>
      </c>
      <c r="C16" s="1">
        <f t="shared" si="0"/>
        <v>30944.36272553623</v>
      </c>
      <c r="D16" s="1">
        <f t="shared" si="1"/>
        <v>5486.3589303799081</v>
      </c>
      <c r="E16" s="1">
        <f t="shared" si="2"/>
        <v>25458.003795156321</v>
      </c>
      <c r="F16" s="1">
        <f t="shared" si="3"/>
        <v>84269.174812441837</v>
      </c>
      <c r="G16" s="1">
        <f t="shared" si="4"/>
        <v>2520.9256802880836</v>
      </c>
    </row>
    <row r="17" spans="1:7" x14ac:dyDescent="0.25">
      <c r="A17">
        <v>6</v>
      </c>
      <c r="B17" s="1">
        <f t="shared" si="5"/>
        <v>84269.174812441837</v>
      </c>
      <c r="C17" s="1">
        <f t="shared" si="0"/>
        <v>30944.36272553623</v>
      </c>
      <c r="D17" s="1">
        <f t="shared" si="1"/>
        <v>4213.4587406220917</v>
      </c>
      <c r="E17" s="1">
        <f t="shared" si="2"/>
        <v>26730.903984914137</v>
      </c>
      <c r="F17" s="1">
        <f t="shared" si="3"/>
        <v>57538.270827527696</v>
      </c>
      <c r="G17" s="1">
        <f t="shared" si="4"/>
        <v>2520.9256802880836</v>
      </c>
    </row>
    <row r="18" spans="1:7" x14ac:dyDescent="0.25">
      <c r="A18">
        <v>7</v>
      </c>
      <c r="B18" s="1">
        <f t="shared" si="5"/>
        <v>57538.270827527696</v>
      </c>
      <c r="C18" s="1">
        <f t="shared" si="0"/>
        <v>30944.36272553623</v>
      </c>
      <c r="D18" s="1">
        <f t="shared" si="1"/>
        <v>2876.9135413763852</v>
      </c>
      <c r="E18" s="1">
        <f t="shared" si="2"/>
        <v>28067.449184159843</v>
      </c>
      <c r="F18" s="1">
        <f t="shared" si="3"/>
        <v>29470.821643367854</v>
      </c>
      <c r="G18" s="1">
        <f t="shared" si="4"/>
        <v>2520.9256802880836</v>
      </c>
    </row>
    <row r="19" spans="1:7" x14ac:dyDescent="0.25">
      <c r="A19">
        <v>8</v>
      </c>
      <c r="B19" s="1">
        <f t="shared" si="5"/>
        <v>29470.821643367854</v>
      </c>
      <c r="C19" s="1">
        <f t="shared" si="0"/>
        <v>30944.36272553623</v>
      </c>
      <c r="D19" s="1">
        <f t="shared" si="1"/>
        <v>1473.5410821683927</v>
      </c>
      <c r="E19" s="1">
        <f t="shared" si="2"/>
        <v>29470.821643367839</v>
      </c>
      <c r="F19" s="1">
        <f t="shared" si="3"/>
        <v>0</v>
      </c>
      <c r="G19" s="1">
        <f t="shared" si="4"/>
        <v>2520.9256802880836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3F174-B01D-4B43-8641-A173D423E11F}">
  <dimension ref="A3:H35"/>
  <sheetViews>
    <sheetView tabSelected="1" workbookViewId="0">
      <selection activeCell="D27" sqref="D27"/>
    </sheetView>
  </sheetViews>
  <sheetFormatPr baseColWidth="10" defaultRowHeight="15" x14ac:dyDescent="0.25"/>
  <cols>
    <col min="2" max="2" width="14.140625" customWidth="1"/>
    <col min="8" max="8" width="16.7109375" bestFit="1" customWidth="1"/>
  </cols>
  <sheetData>
    <row r="3" spans="1:8" x14ac:dyDescent="0.25">
      <c r="A3" t="s">
        <v>0</v>
      </c>
      <c r="B3">
        <v>20000</v>
      </c>
      <c r="E3" t="s">
        <v>24</v>
      </c>
      <c r="F3">
        <v>170</v>
      </c>
    </row>
    <row r="4" spans="1:8" x14ac:dyDescent="0.25">
      <c r="A4" t="s">
        <v>1</v>
      </c>
      <c r="B4">
        <v>20</v>
      </c>
    </row>
    <row r="5" spans="1:8" x14ac:dyDescent="0.25">
      <c r="A5" t="s">
        <v>2</v>
      </c>
      <c r="B5">
        <v>3.5000000000000003E-2</v>
      </c>
    </row>
    <row r="6" spans="1:8" x14ac:dyDescent="0.25">
      <c r="A6" t="s">
        <v>3</v>
      </c>
      <c r="B6">
        <f>1+B5</f>
        <v>1.0349999999999999</v>
      </c>
    </row>
    <row r="7" spans="1:8" x14ac:dyDescent="0.25">
      <c r="A7" t="s">
        <v>12</v>
      </c>
      <c r="B7">
        <v>0.02</v>
      </c>
      <c r="E7" t="s">
        <v>14</v>
      </c>
    </row>
    <row r="8" spans="1:8" x14ac:dyDescent="0.25">
      <c r="A8" t="s">
        <v>4</v>
      </c>
      <c r="B8" s="1">
        <v>3307.53363197931</v>
      </c>
      <c r="C8">
        <f>F3*(B9+(B5/2)*(B9+1))</f>
        <v>2078.6749999999997</v>
      </c>
      <c r="E8" t="s">
        <v>15</v>
      </c>
    </row>
    <row r="9" spans="1:8" x14ac:dyDescent="0.25">
      <c r="A9" t="s">
        <v>11</v>
      </c>
      <c r="B9">
        <v>12</v>
      </c>
    </row>
    <row r="11" spans="1:8" x14ac:dyDescent="0.25">
      <c r="A11" t="s">
        <v>5</v>
      </c>
      <c r="B11" t="s">
        <v>6</v>
      </c>
      <c r="C11" t="s">
        <v>8</v>
      </c>
      <c r="D11" t="s">
        <v>7</v>
      </c>
      <c r="E11" t="s">
        <v>16</v>
      </c>
      <c r="F11" t="s">
        <v>9</v>
      </c>
      <c r="G11" t="s">
        <v>13</v>
      </c>
      <c r="H11" t="s">
        <v>23</v>
      </c>
    </row>
    <row r="12" spans="1:8" x14ac:dyDescent="0.25">
      <c r="A12">
        <v>1</v>
      </c>
      <c r="B12" s="1">
        <f>B3</f>
        <v>20000</v>
      </c>
      <c r="C12" s="1">
        <f>$C$8</f>
        <v>2078.6749999999997</v>
      </c>
      <c r="D12" s="1">
        <f>B12*$B$5</f>
        <v>700.00000000000011</v>
      </c>
      <c r="E12" s="1">
        <f>(C12-D12)/(1+$B$7)</f>
        <v>1351.6421568627447</v>
      </c>
      <c r="F12" s="1">
        <f>B12-E12</f>
        <v>18648.357843137255</v>
      </c>
      <c r="G12" s="1">
        <f>$B$7*E12</f>
        <v>27.032843137254897</v>
      </c>
      <c r="H12" s="1">
        <f>C12/($B$9+$B$5/2*($B$9-1))</f>
        <v>170.48800492105801</v>
      </c>
    </row>
    <row r="13" spans="1:8" x14ac:dyDescent="0.25">
      <c r="A13">
        <v>2</v>
      </c>
      <c r="B13" s="1">
        <f>F12</f>
        <v>18648.357843137255</v>
      </c>
      <c r="C13" s="1">
        <f t="shared" ref="C13:C35" si="0">$C$8</f>
        <v>2078.6749999999997</v>
      </c>
      <c r="D13" s="1">
        <f t="shared" ref="D13:D21" si="1">B13*$B$5</f>
        <v>652.692524509804</v>
      </c>
      <c r="E13" s="1">
        <f t="shared" ref="E13:E21" si="2">(C13-D13)/(1+$B$7)</f>
        <v>1398.0220347943093</v>
      </c>
      <c r="F13" s="1">
        <f t="shared" ref="F13:F21" si="3">B13-E13</f>
        <v>17250.335808342945</v>
      </c>
      <c r="G13" s="1">
        <f t="shared" ref="G13:G21" si="4">$B$7*E13</f>
        <v>27.960440695886188</v>
      </c>
      <c r="H13" s="1">
        <f t="shared" ref="H13:H21" si="5">C13/($B$9+$B$5/2*($B$9-1))</f>
        <v>170.48800492105801</v>
      </c>
    </row>
    <row r="14" spans="1:8" x14ac:dyDescent="0.25">
      <c r="A14">
        <v>3</v>
      </c>
      <c r="B14" s="1">
        <f t="shared" ref="B14:B21" si="6">F13</f>
        <v>17250.335808342945</v>
      </c>
      <c r="C14" s="1">
        <f t="shared" si="0"/>
        <v>2078.6749999999997</v>
      </c>
      <c r="D14" s="1">
        <f t="shared" si="1"/>
        <v>603.76175329200316</v>
      </c>
      <c r="E14" s="1">
        <f t="shared" si="2"/>
        <v>1445.9933791254869</v>
      </c>
      <c r="F14" s="1">
        <f t="shared" si="3"/>
        <v>15804.342429217459</v>
      </c>
      <c r="G14" s="1">
        <f t="shared" si="4"/>
        <v>28.919867582509738</v>
      </c>
      <c r="H14" s="1">
        <f t="shared" si="5"/>
        <v>170.48800492105801</v>
      </c>
    </row>
    <row r="15" spans="1:8" x14ac:dyDescent="0.25">
      <c r="A15">
        <v>4</v>
      </c>
      <c r="B15" s="1">
        <f t="shared" si="6"/>
        <v>15804.342429217459</v>
      </c>
      <c r="C15" s="1">
        <f t="shared" si="0"/>
        <v>2078.6749999999997</v>
      </c>
      <c r="D15" s="1">
        <f t="shared" si="1"/>
        <v>553.15198502261114</v>
      </c>
      <c r="E15" s="1">
        <f t="shared" si="2"/>
        <v>1495.6107989974398</v>
      </c>
      <c r="F15" s="1">
        <f t="shared" si="3"/>
        <v>14308.73163022002</v>
      </c>
      <c r="G15" s="1">
        <f t="shared" si="4"/>
        <v>29.912215979948797</v>
      </c>
      <c r="H15" s="1">
        <f t="shared" si="5"/>
        <v>170.48800492105801</v>
      </c>
    </row>
    <row r="16" spans="1:8" x14ac:dyDescent="0.25">
      <c r="A16">
        <v>5</v>
      </c>
      <c r="B16" s="1">
        <f t="shared" si="6"/>
        <v>14308.73163022002</v>
      </c>
      <c r="C16" s="1">
        <f t="shared" si="0"/>
        <v>2078.6749999999997</v>
      </c>
      <c r="D16" s="1">
        <f t="shared" si="1"/>
        <v>500.80560705770074</v>
      </c>
      <c r="E16" s="1">
        <f t="shared" si="2"/>
        <v>1546.9307773944106</v>
      </c>
      <c r="F16" s="1">
        <f t="shared" si="3"/>
        <v>12761.800852825609</v>
      </c>
      <c r="G16" s="1">
        <f t="shared" si="4"/>
        <v>30.938615547888212</v>
      </c>
      <c r="H16" s="1">
        <f t="shared" si="5"/>
        <v>170.48800492105801</v>
      </c>
    </row>
    <row r="17" spans="1:8" x14ac:dyDescent="0.25">
      <c r="A17">
        <v>6</v>
      </c>
      <c r="B17" s="1">
        <f t="shared" si="6"/>
        <v>12761.800852825609</v>
      </c>
      <c r="C17" s="1">
        <f t="shared" si="0"/>
        <v>2078.6749999999997</v>
      </c>
      <c r="D17" s="1">
        <f t="shared" si="1"/>
        <v>446.66302984889637</v>
      </c>
      <c r="E17" s="1">
        <f t="shared" si="2"/>
        <v>1600.0117354422582</v>
      </c>
      <c r="F17" s="1">
        <f t="shared" si="3"/>
        <v>11161.78911738335</v>
      </c>
      <c r="G17" s="1">
        <f t="shared" si="4"/>
        <v>32.000234708845163</v>
      </c>
      <c r="H17" s="1">
        <f t="shared" si="5"/>
        <v>170.48800492105801</v>
      </c>
    </row>
    <row r="18" spans="1:8" x14ac:dyDescent="0.25">
      <c r="A18">
        <v>7</v>
      </c>
      <c r="B18" s="1">
        <f t="shared" si="6"/>
        <v>11161.78911738335</v>
      </c>
      <c r="C18" s="1">
        <f t="shared" si="0"/>
        <v>2078.6749999999997</v>
      </c>
      <c r="D18" s="1">
        <f t="shared" si="1"/>
        <v>390.66261910841729</v>
      </c>
      <c r="E18" s="1">
        <f t="shared" si="2"/>
        <v>1654.9140989133159</v>
      </c>
      <c r="F18" s="1">
        <f t="shared" si="3"/>
        <v>9506.8750184700348</v>
      </c>
      <c r="G18" s="1">
        <f t="shared" si="4"/>
        <v>33.098281978266321</v>
      </c>
      <c r="H18" s="1">
        <f t="shared" si="5"/>
        <v>170.48800492105801</v>
      </c>
    </row>
    <row r="19" spans="1:8" x14ac:dyDescent="0.25">
      <c r="A19">
        <v>8</v>
      </c>
      <c r="B19" s="1">
        <f t="shared" si="6"/>
        <v>9506.8750184700348</v>
      </c>
      <c r="C19" s="1">
        <f t="shared" si="0"/>
        <v>2078.6749999999997</v>
      </c>
      <c r="D19" s="1">
        <f t="shared" si="1"/>
        <v>332.74062564645124</v>
      </c>
      <c r="E19" s="1">
        <f t="shared" si="2"/>
        <v>1711.7003670132829</v>
      </c>
      <c r="F19" s="1">
        <f t="shared" si="3"/>
        <v>7795.1746514567521</v>
      </c>
      <c r="G19" s="1">
        <f t="shared" si="4"/>
        <v>34.234007340265656</v>
      </c>
      <c r="H19" s="1">
        <f t="shared" si="5"/>
        <v>170.48800492105801</v>
      </c>
    </row>
    <row r="20" spans="1:8" x14ac:dyDescent="0.25">
      <c r="A20">
        <v>9</v>
      </c>
      <c r="B20" s="1">
        <f t="shared" si="6"/>
        <v>7795.1746514567521</v>
      </c>
      <c r="C20" s="1">
        <f t="shared" si="0"/>
        <v>2078.6749999999997</v>
      </c>
      <c r="D20" s="1">
        <f t="shared" si="1"/>
        <v>272.83111280098638</v>
      </c>
      <c r="E20" s="1">
        <f t="shared" si="2"/>
        <v>1770.4351835284444</v>
      </c>
      <c r="F20" s="1">
        <f t="shared" si="3"/>
        <v>6024.7394679283079</v>
      </c>
      <c r="G20" s="1">
        <f t="shared" si="4"/>
        <v>35.40870367056889</v>
      </c>
      <c r="H20" s="1">
        <f t="shared" si="5"/>
        <v>170.48800492105801</v>
      </c>
    </row>
    <row r="21" spans="1:8" x14ac:dyDescent="0.25">
      <c r="A21">
        <v>10</v>
      </c>
      <c r="B21" s="1">
        <f t="shared" si="6"/>
        <v>6024.7394679283079</v>
      </c>
      <c r="C21" s="1">
        <f t="shared" si="0"/>
        <v>2078.6749999999997</v>
      </c>
      <c r="D21" s="1">
        <f t="shared" si="1"/>
        <v>210.86588137749081</v>
      </c>
      <c r="E21" s="1">
        <f t="shared" si="2"/>
        <v>1831.1854104142244</v>
      </c>
      <c r="F21" s="1">
        <f t="shared" si="3"/>
        <v>4193.554057514084</v>
      </c>
      <c r="G21" s="1">
        <f t="shared" si="4"/>
        <v>36.623708208284491</v>
      </c>
      <c r="H21" s="1">
        <f t="shared" si="5"/>
        <v>170.48800492105801</v>
      </c>
    </row>
    <row r="22" spans="1:8" x14ac:dyDescent="0.25">
      <c r="A22">
        <v>11</v>
      </c>
      <c r="B22" s="1">
        <f t="shared" ref="B22:B24" si="7">F21</f>
        <v>4193.554057514084</v>
      </c>
      <c r="C22" s="1">
        <f t="shared" si="0"/>
        <v>2078.6749999999997</v>
      </c>
      <c r="D22" s="1">
        <f t="shared" ref="D22:D24" si="8">B22*$B$5</f>
        <v>146.77439201299296</v>
      </c>
      <c r="E22" s="1">
        <f t="shared" ref="E22:E24" si="9">(C22-D22)/(1+$B$7)</f>
        <v>1894.0202039088304</v>
      </c>
      <c r="F22" s="1">
        <f t="shared" ref="F22:F24" si="10">B22-E22</f>
        <v>2299.5338536052536</v>
      </c>
      <c r="G22" s="1">
        <f t="shared" ref="G22:G24" si="11">$B$7*E22</f>
        <v>37.88040407817661</v>
      </c>
      <c r="H22" s="1">
        <f t="shared" ref="H22:H24" si="12">C22/($B$9+$B$5/2*($B$9-1))</f>
        <v>170.48800492105801</v>
      </c>
    </row>
    <row r="23" spans="1:8" x14ac:dyDescent="0.25">
      <c r="A23">
        <v>12</v>
      </c>
      <c r="B23" s="1">
        <f t="shared" si="7"/>
        <v>2299.5338536052536</v>
      </c>
      <c r="C23" s="1">
        <f>$C$8</f>
        <v>2078.6749999999997</v>
      </c>
      <c r="D23" s="1">
        <f t="shared" si="8"/>
        <v>80.483684876183887</v>
      </c>
      <c r="E23" s="1">
        <f>(C23-D23)/(1+$B$7)</f>
        <v>1959.0110932586431</v>
      </c>
      <c r="F23" s="1">
        <f>B23-E23</f>
        <v>340.52276034661054</v>
      </c>
      <c r="G23" s="1">
        <f t="shared" si="11"/>
        <v>39.180221865172861</v>
      </c>
      <c r="H23" s="1">
        <f t="shared" si="12"/>
        <v>170.48800492105801</v>
      </c>
    </row>
    <row r="24" spans="1:8" x14ac:dyDescent="0.25">
      <c r="A24">
        <v>13</v>
      </c>
      <c r="B24" s="1">
        <f t="shared" si="7"/>
        <v>340.52276034661054</v>
      </c>
      <c r="C24" s="1">
        <f>$C$8</f>
        <v>2078.6749999999997</v>
      </c>
      <c r="D24" s="1">
        <f>B24*$B$5</f>
        <v>11.918296612131369</v>
      </c>
      <c r="E24" s="1">
        <f>(C24-D24)/(1+$B$7)</f>
        <v>2026.2320621449692</v>
      </c>
      <c r="F24" s="1">
        <f>B24-E24</f>
        <v>-1685.7093017983586</v>
      </c>
      <c r="G24" s="1">
        <f t="shared" si="11"/>
        <v>40.524641242899385</v>
      </c>
      <c r="H24" s="1">
        <f t="shared" si="12"/>
        <v>170.48800492105801</v>
      </c>
    </row>
    <row r="25" spans="1:8" x14ac:dyDescent="0.25">
      <c r="B25" s="1"/>
      <c r="C25" s="1"/>
      <c r="D25" s="1"/>
      <c r="E25" s="1"/>
      <c r="F25" s="1"/>
      <c r="G25" s="1"/>
      <c r="H25" s="1"/>
    </row>
    <row r="26" spans="1:8" x14ac:dyDescent="0.25">
      <c r="B26" s="1"/>
      <c r="C26" s="1"/>
      <c r="D26" s="1"/>
      <c r="E26" s="1"/>
      <c r="F26" s="1"/>
      <c r="G26" s="1"/>
      <c r="H26" s="1"/>
    </row>
    <row r="27" spans="1:8" x14ac:dyDescent="0.25">
      <c r="B27" s="1"/>
      <c r="C27" s="1"/>
      <c r="D27" s="1"/>
      <c r="E27" s="1"/>
      <c r="F27" s="1"/>
      <c r="G27" s="1"/>
      <c r="H27" s="1"/>
    </row>
    <row r="28" spans="1:8" x14ac:dyDescent="0.25">
      <c r="B28" s="1"/>
      <c r="C28" s="1"/>
      <c r="D28" s="1"/>
      <c r="E28" s="1"/>
      <c r="F28" s="1"/>
      <c r="G28" s="1"/>
      <c r="H28" s="1"/>
    </row>
    <row r="29" spans="1:8" x14ac:dyDescent="0.25">
      <c r="B29" s="1"/>
      <c r="C29" s="1"/>
      <c r="D29" s="1"/>
      <c r="E29" s="1"/>
      <c r="F29" s="1"/>
      <c r="G29" s="1"/>
      <c r="H29" s="1"/>
    </row>
    <row r="30" spans="1:8" x14ac:dyDescent="0.25">
      <c r="B30" s="1"/>
      <c r="C30" s="1"/>
      <c r="D30" s="1"/>
      <c r="E30" s="1"/>
      <c r="F30" s="1"/>
      <c r="G30" s="1"/>
      <c r="H30" s="1"/>
    </row>
    <row r="31" spans="1:8" x14ac:dyDescent="0.25">
      <c r="B31" s="1"/>
      <c r="C31" s="1"/>
      <c r="D31" s="1"/>
      <c r="E31" s="1"/>
      <c r="F31" s="1"/>
      <c r="G31" s="1"/>
      <c r="H31" s="1"/>
    </row>
    <row r="32" spans="1:8" x14ac:dyDescent="0.25">
      <c r="B32" s="1"/>
      <c r="C32" s="1"/>
      <c r="D32" s="1"/>
      <c r="E32" s="1"/>
      <c r="F32" s="1"/>
      <c r="G32" s="1"/>
      <c r="H32" s="1"/>
    </row>
    <row r="33" spans="2:8" x14ac:dyDescent="0.25">
      <c r="B33" s="1"/>
      <c r="C33" s="1"/>
      <c r="D33" s="1"/>
      <c r="E33" s="1"/>
      <c r="F33" s="1"/>
      <c r="G33" s="1"/>
      <c r="H33" s="1"/>
    </row>
    <row r="34" spans="2:8" x14ac:dyDescent="0.25">
      <c r="B34" s="1"/>
      <c r="C34" s="1"/>
      <c r="D34" s="1"/>
      <c r="E34" s="1"/>
      <c r="F34" s="1"/>
      <c r="G34" s="1"/>
      <c r="H34" s="1"/>
    </row>
    <row r="35" spans="2:8" x14ac:dyDescent="0.25">
      <c r="B35" s="1"/>
      <c r="C35" s="1"/>
      <c r="D35" s="1"/>
      <c r="E35" s="1"/>
      <c r="F35" s="1"/>
      <c r="G35" s="1"/>
      <c r="H35" s="1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B54E4-2C07-44A9-96DF-C7DB120E289C}">
  <dimension ref="A2:F17"/>
  <sheetViews>
    <sheetView workbookViewId="0">
      <selection activeCell="A2" sqref="A2:B6"/>
    </sheetView>
  </sheetViews>
  <sheetFormatPr baseColWidth="10" defaultRowHeight="15" x14ac:dyDescent="0.25"/>
  <sheetData>
    <row r="2" spans="1:6" x14ac:dyDescent="0.25">
      <c r="A2" t="s">
        <v>17</v>
      </c>
      <c r="B2">
        <v>400000</v>
      </c>
    </row>
    <row r="3" spans="1:6" x14ac:dyDescent="0.25">
      <c r="A3" t="s">
        <v>1</v>
      </c>
      <c r="B3">
        <v>5</v>
      </c>
    </row>
    <row r="4" spans="1:6" x14ac:dyDescent="0.25">
      <c r="A4" t="s">
        <v>2</v>
      </c>
      <c r="B4">
        <v>0.04</v>
      </c>
    </row>
    <row r="5" spans="1:6" x14ac:dyDescent="0.25">
      <c r="A5" t="s">
        <v>3</v>
      </c>
      <c r="B5">
        <f>1+B4</f>
        <v>1.04</v>
      </c>
    </row>
    <row r="6" spans="1:6" x14ac:dyDescent="0.25">
      <c r="A6" t="s">
        <v>18</v>
      </c>
      <c r="B6">
        <f>B2/B3</f>
        <v>80000</v>
      </c>
    </row>
    <row r="11" spans="1:6" x14ac:dyDescent="0.25">
      <c r="A11" t="s">
        <v>5</v>
      </c>
      <c r="B11" t="s">
        <v>6</v>
      </c>
      <c r="C11" t="s">
        <v>19</v>
      </c>
      <c r="D11" t="s">
        <v>20</v>
      </c>
      <c r="E11" t="s">
        <v>16</v>
      </c>
      <c r="F11" t="s">
        <v>9</v>
      </c>
    </row>
    <row r="12" spans="1:6" x14ac:dyDescent="0.25">
      <c r="A12">
        <v>1</v>
      </c>
      <c r="B12">
        <f>B2</f>
        <v>400000</v>
      </c>
      <c r="C12">
        <f>D12+E12</f>
        <v>96000</v>
      </c>
      <c r="D12">
        <f>B12*$B$4</f>
        <v>16000</v>
      </c>
      <c r="E12">
        <f>$B$6</f>
        <v>80000</v>
      </c>
      <c r="F12">
        <f>B12-E12</f>
        <v>320000</v>
      </c>
    </row>
    <row r="13" spans="1:6" x14ac:dyDescent="0.25">
      <c r="A13">
        <v>2</v>
      </c>
      <c r="B13">
        <f>F12</f>
        <v>320000</v>
      </c>
      <c r="C13">
        <f t="shared" ref="C13:C16" si="0">D13+E13</f>
        <v>92800</v>
      </c>
      <c r="D13">
        <f t="shared" ref="D13:D16" si="1">B13*$B$4</f>
        <v>12800</v>
      </c>
      <c r="E13">
        <f t="shared" ref="E13:E16" si="2">$B$6</f>
        <v>80000</v>
      </c>
      <c r="F13">
        <f t="shared" ref="F13:F16" si="3">B13-E13</f>
        <v>240000</v>
      </c>
    </row>
    <row r="14" spans="1:6" x14ac:dyDescent="0.25">
      <c r="A14">
        <v>3</v>
      </c>
      <c r="B14">
        <f t="shared" ref="B14:B16" si="4">F13</f>
        <v>240000</v>
      </c>
      <c r="C14">
        <f t="shared" si="0"/>
        <v>89600</v>
      </c>
      <c r="D14">
        <f t="shared" si="1"/>
        <v>9600</v>
      </c>
      <c r="E14">
        <f t="shared" si="2"/>
        <v>80000</v>
      </c>
      <c r="F14">
        <f t="shared" si="3"/>
        <v>160000</v>
      </c>
    </row>
    <row r="15" spans="1:6" x14ac:dyDescent="0.25">
      <c r="A15">
        <v>4</v>
      </c>
      <c r="B15">
        <f t="shared" si="4"/>
        <v>160000</v>
      </c>
      <c r="C15">
        <f t="shared" si="0"/>
        <v>86400</v>
      </c>
      <c r="D15">
        <f t="shared" si="1"/>
        <v>6400</v>
      </c>
      <c r="E15">
        <f t="shared" si="2"/>
        <v>80000</v>
      </c>
      <c r="F15">
        <f t="shared" si="3"/>
        <v>80000</v>
      </c>
    </row>
    <row r="16" spans="1:6" x14ac:dyDescent="0.25">
      <c r="A16">
        <v>5</v>
      </c>
      <c r="B16">
        <f t="shared" si="4"/>
        <v>80000</v>
      </c>
      <c r="C16">
        <f t="shared" si="0"/>
        <v>83200</v>
      </c>
      <c r="D16">
        <f t="shared" si="1"/>
        <v>3200</v>
      </c>
      <c r="E16">
        <f t="shared" si="2"/>
        <v>80000</v>
      </c>
      <c r="F16">
        <f t="shared" si="3"/>
        <v>0</v>
      </c>
    </row>
    <row r="17" spans="2:6" x14ac:dyDescent="0.25">
      <c r="B17">
        <f>SUM(B12:B16)</f>
        <v>1200000</v>
      </c>
      <c r="D17">
        <f>SUM(D12:D16)</f>
        <v>48000</v>
      </c>
      <c r="F17">
        <f>SUM(F12:F16)</f>
        <v>800000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370A5-C72A-4690-91CE-31EAFFF5B076}">
  <dimension ref="A2:G16"/>
  <sheetViews>
    <sheetView workbookViewId="0">
      <selection activeCell="B2" sqref="B2:B6"/>
    </sheetView>
  </sheetViews>
  <sheetFormatPr baseColWidth="10" defaultRowHeight="15" x14ac:dyDescent="0.25"/>
  <cols>
    <col min="1" max="6" width="11.42578125" style="1"/>
    <col min="7" max="7" width="23.140625" style="1" bestFit="1" customWidth="1"/>
    <col min="8" max="16384" width="11.42578125" style="1"/>
  </cols>
  <sheetData>
    <row r="2" spans="1:7" x14ac:dyDescent="0.25">
      <c r="A2" t="s">
        <v>17</v>
      </c>
      <c r="B2">
        <v>400000</v>
      </c>
    </row>
    <row r="3" spans="1:7" x14ac:dyDescent="0.25">
      <c r="A3" t="s">
        <v>1</v>
      </c>
      <c r="B3">
        <v>5</v>
      </c>
    </row>
    <row r="4" spans="1:7" x14ac:dyDescent="0.25">
      <c r="A4" t="s">
        <v>2</v>
      </c>
      <c r="B4">
        <v>0.04</v>
      </c>
    </row>
    <row r="5" spans="1:7" x14ac:dyDescent="0.25">
      <c r="A5" t="s">
        <v>3</v>
      </c>
      <c r="B5">
        <f>1+B4</f>
        <v>1.04</v>
      </c>
    </row>
    <row r="6" spans="1:7" x14ac:dyDescent="0.25">
      <c r="A6" t="s">
        <v>18</v>
      </c>
      <c r="B6">
        <f>B2/B3</f>
        <v>80000</v>
      </c>
    </row>
    <row r="7" spans="1:7" x14ac:dyDescent="0.25">
      <c r="A7" s="1" t="s">
        <v>11</v>
      </c>
      <c r="B7" s="2">
        <v>12</v>
      </c>
    </row>
    <row r="11" spans="1:7" x14ac:dyDescent="0.25">
      <c r="A11" s="1" t="s">
        <v>5</v>
      </c>
      <c r="B11" s="1" t="s">
        <v>6</v>
      </c>
      <c r="C11" s="1" t="s">
        <v>19</v>
      </c>
      <c r="D11" s="1" t="s">
        <v>20</v>
      </c>
      <c r="E11" s="1" t="s">
        <v>16</v>
      </c>
      <c r="F11" s="1" t="s">
        <v>9</v>
      </c>
      <c r="G11" s="1" t="s">
        <v>21</v>
      </c>
    </row>
    <row r="12" spans="1:7" x14ac:dyDescent="0.25">
      <c r="A12" s="2">
        <v>1</v>
      </c>
      <c r="B12" s="1">
        <f>B2</f>
        <v>400000</v>
      </c>
      <c r="C12" s="1">
        <f>D12+E12</f>
        <v>96000</v>
      </c>
      <c r="D12" s="1">
        <f>B12*$B$4</f>
        <v>16000</v>
      </c>
      <c r="E12" s="1">
        <f>$B$6</f>
        <v>80000</v>
      </c>
      <c r="F12" s="1">
        <f>B12-E12</f>
        <v>320000</v>
      </c>
      <c r="G12" s="1">
        <f>C12/($B$7+$B$4/2*($B$7+1))</f>
        <v>7830.3425774877651</v>
      </c>
    </row>
    <row r="13" spans="1:7" x14ac:dyDescent="0.25">
      <c r="A13" s="2">
        <v>2</v>
      </c>
      <c r="B13" s="1">
        <f>F12</f>
        <v>320000</v>
      </c>
      <c r="C13" s="1">
        <f t="shared" ref="C13:C16" si="0">D13+E13</f>
        <v>92800</v>
      </c>
      <c r="D13" s="1">
        <f t="shared" ref="D13:D16" si="1">B13*$B$4</f>
        <v>12800</v>
      </c>
      <c r="E13" s="1">
        <f t="shared" ref="E13:E16" si="2">$B$6</f>
        <v>80000</v>
      </c>
      <c r="F13" s="1">
        <f t="shared" ref="F13:F16" si="3">B13-E13</f>
        <v>240000</v>
      </c>
      <c r="G13" s="1">
        <f t="shared" ref="G13:G16" si="4">C13/($B$7+$B$4/2*($B$7+1))</f>
        <v>7569.331158238173</v>
      </c>
    </row>
    <row r="14" spans="1:7" x14ac:dyDescent="0.25">
      <c r="A14" s="2">
        <v>3</v>
      </c>
      <c r="B14" s="1">
        <f t="shared" ref="B14:B16" si="5">F13</f>
        <v>240000</v>
      </c>
      <c r="C14" s="1">
        <f t="shared" si="0"/>
        <v>89600</v>
      </c>
      <c r="D14" s="1">
        <f t="shared" si="1"/>
        <v>9600</v>
      </c>
      <c r="E14" s="1">
        <f t="shared" si="2"/>
        <v>80000</v>
      </c>
      <c r="F14" s="1">
        <f t="shared" si="3"/>
        <v>160000</v>
      </c>
      <c r="G14" s="1">
        <f t="shared" si="4"/>
        <v>7308.3197389885809</v>
      </c>
    </row>
    <row r="15" spans="1:7" x14ac:dyDescent="0.25">
      <c r="A15" s="2">
        <v>4</v>
      </c>
      <c r="B15" s="1">
        <f t="shared" si="5"/>
        <v>160000</v>
      </c>
      <c r="C15" s="1">
        <f t="shared" si="0"/>
        <v>86400</v>
      </c>
      <c r="D15" s="1">
        <f t="shared" si="1"/>
        <v>6400</v>
      </c>
      <c r="E15" s="1">
        <f t="shared" si="2"/>
        <v>80000</v>
      </c>
      <c r="F15" s="1">
        <f t="shared" si="3"/>
        <v>80000</v>
      </c>
      <c r="G15" s="1">
        <f t="shared" si="4"/>
        <v>7047.3083197389888</v>
      </c>
    </row>
    <row r="16" spans="1:7" x14ac:dyDescent="0.25">
      <c r="A16" s="2">
        <v>5</v>
      </c>
      <c r="B16" s="1">
        <f t="shared" si="5"/>
        <v>80000</v>
      </c>
      <c r="C16" s="1">
        <f t="shared" si="0"/>
        <v>83200</v>
      </c>
      <c r="D16" s="1">
        <f t="shared" si="1"/>
        <v>3200</v>
      </c>
      <c r="E16" s="1">
        <f t="shared" si="2"/>
        <v>80000</v>
      </c>
      <c r="F16" s="1">
        <f t="shared" si="3"/>
        <v>0</v>
      </c>
      <c r="G16" s="1">
        <f t="shared" si="4"/>
        <v>6786.2969004893966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2E258-1B6D-4DC7-95A4-65B89931082D}">
  <dimension ref="A2:H20"/>
  <sheetViews>
    <sheetView workbookViewId="0">
      <selection activeCell="G21" sqref="G21"/>
    </sheetView>
  </sheetViews>
  <sheetFormatPr baseColWidth="10" defaultRowHeight="15" x14ac:dyDescent="0.25"/>
  <cols>
    <col min="1" max="6" width="11.42578125" style="1"/>
    <col min="7" max="7" width="23.140625" style="1" bestFit="1" customWidth="1"/>
    <col min="8" max="16384" width="11.42578125" style="1"/>
  </cols>
  <sheetData>
    <row r="2" spans="1:8" x14ac:dyDescent="0.25">
      <c r="A2" s="1" t="s">
        <v>17</v>
      </c>
      <c r="B2">
        <v>400000</v>
      </c>
    </row>
    <row r="3" spans="1:8" x14ac:dyDescent="0.25">
      <c r="A3" s="1" t="s">
        <v>1</v>
      </c>
      <c r="B3">
        <v>5</v>
      </c>
    </row>
    <row r="4" spans="1:8" x14ac:dyDescent="0.25">
      <c r="A4" s="1" t="s">
        <v>2</v>
      </c>
      <c r="B4">
        <v>0.04</v>
      </c>
    </row>
    <row r="5" spans="1:8" x14ac:dyDescent="0.25">
      <c r="A5" s="1" t="s">
        <v>3</v>
      </c>
      <c r="B5">
        <f>1+B4</f>
        <v>1.04</v>
      </c>
    </row>
    <row r="6" spans="1:8" x14ac:dyDescent="0.25">
      <c r="A6" s="1" t="s">
        <v>18</v>
      </c>
      <c r="B6">
        <f>B2/B3</f>
        <v>80000</v>
      </c>
    </row>
    <row r="7" spans="1:8" x14ac:dyDescent="0.25">
      <c r="A7" s="1" t="s">
        <v>12</v>
      </c>
      <c r="B7" s="1">
        <v>0.02</v>
      </c>
    </row>
    <row r="8" spans="1:8" x14ac:dyDescent="0.25">
      <c r="A8" s="1" t="s">
        <v>11</v>
      </c>
      <c r="B8" s="1">
        <v>12</v>
      </c>
    </row>
    <row r="11" spans="1:8" x14ac:dyDescent="0.25">
      <c r="A11" s="1" t="s">
        <v>5</v>
      </c>
      <c r="B11" s="1" t="s">
        <v>6</v>
      </c>
      <c r="C11" s="1" t="s">
        <v>19</v>
      </c>
      <c r="D11" s="1" t="s">
        <v>20</v>
      </c>
      <c r="E11" s="1" t="s">
        <v>16</v>
      </c>
      <c r="F11" s="1" t="s">
        <v>9</v>
      </c>
      <c r="G11" s="1" t="s">
        <v>21</v>
      </c>
      <c r="H11" s="1" t="s">
        <v>22</v>
      </c>
    </row>
    <row r="12" spans="1:8" x14ac:dyDescent="0.25">
      <c r="A12" s="2">
        <v>1</v>
      </c>
      <c r="B12" s="1">
        <f>B2</f>
        <v>400000</v>
      </c>
      <c r="C12" s="1">
        <f>D12+E12+H12</f>
        <v>97600</v>
      </c>
      <c r="D12" s="1">
        <f>B12*$B$4</f>
        <v>16000</v>
      </c>
      <c r="E12" s="1">
        <f>$B$6</f>
        <v>80000</v>
      </c>
      <c r="F12" s="1">
        <f>B12-E12</f>
        <v>320000</v>
      </c>
      <c r="G12" s="1">
        <f>C12/($B$8+$B$4/2*($B$8+1))</f>
        <v>7960.8482871125616</v>
      </c>
      <c r="H12" s="1">
        <f>E12*$B$7</f>
        <v>1600</v>
      </c>
    </row>
    <row r="13" spans="1:8" x14ac:dyDescent="0.25">
      <c r="A13" s="2">
        <v>2</v>
      </c>
      <c r="B13" s="1">
        <f>F12</f>
        <v>320000</v>
      </c>
      <c r="C13" s="1">
        <f t="shared" ref="C13:C16" si="0">D13+E13+H13</f>
        <v>94400</v>
      </c>
      <c r="D13" s="1">
        <f t="shared" ref="D13:D16" si="1">B13*$B$4</f>
        <v>12800</v>
      </c>
      <c r="E13" s="1">
        <f t="shared" ref="E13:E16" si="2">$B$6</f>
        <v>80000</v>
      </c>
      <c r="F13" s="1">
        <f t="shared" ref="F13:F16" si="3">B13-E13</f>
        <v>240000</v>
      </c>
      <c r="G13" s="1">
        <f t="shared" ref="G13:G16" si="4">C13/($B$8+$B$4/2*($B$8+1))</f>
        <v>7699.8368678629695</v>
      </c>
      <c r="H13" s="1">
        <f t="shared" ref="H13:H16" si="5">E13*$B$7</f>
        <v>1600</v>
      </c>
    </row>
    <row r="14" spans="1:8" x14ac:dyDescent="0.25">
      <c r="A14" s="2">
        <v>3</v>
      </c>
      <c r="B14" s="1">
        <f t="shared" ref="B14:B16" si="6">F13</f>
        <v>240000</v>
      </c>
      <c r="C14" s="1">
        <f t="shared" si="0"/>
        <v>91200</v>
      </c>
      <c r="D14" s="1">
        <f t="shared" si="1"/>
        <v>9600</v>
      </c>
      <c r="E14" s="1">
        <f t="shared" si="2"/>
        <v>80000</v>
      </c>
      <c r="F14" s="1">
        <f t="shared" si="3"/>
        <v>160000</v>
      </c>
      <c r="G14" s="1">
        <f t="shared" si="4"/>
        <v>7438.8254486133774</v>
      </c>
      <c r="H14" s="1">
        <f t="shared" si="5"/>
        <v>1600</v>
      </c>
    </row>
    <row r="15" spans="1:8" x14ac:dyDescent="0.25">
      <c r="A15" s="2">
        <v>4</v>
      </c>
      <c r="B15" s="1">
        <f t="shared" si="6"/>
        <v>160000</v>
      </c>
      <c r="C15" s="1">
        <f t="shared" si="0"/>
        <v>88000</v>
      </c>
      <c r="D15" s="1">
        <f t="shared" si="1"/>
        <v>6400</v>
      </c>
      <c r="E15" s="1">
        <f t="shared" si="2"/>
        <v>80000</v>
      </c>
      <c r="F15" s="1">
        <f t="shared" si="3"/>
        <v>80000</v>
      </c>
      <c r="G15" s="1">
        <f t="shared" si="4"/>
        <v>7177.8140293637844</v>
      </c>
      <c r="H15" s="1">
        <f t="shared" si="5"/>
        <v>1600</v>
      </c>
    </row>
    <row r="16" spans="1:8" x14ac:dyDescent="0.25">
      <c r="A16" s="2">
        <v>5</v>
      </c>
      <c r="B16" s="1">
        <f t="shared" si="6"/>
        <v>80000</v>
      </c>
      <c r="C16" s="1">
        <f t="shared" si="0"/>
        <v>84800</v>
      </c>
      <c r="D16" s="1">
        <f t="shared" si="1"/>
        <v>3200</v>
      </c>
      <c r="E16" s="1">
        <f t="shared" si="2"/>
        <v>80000</v>
      </c>
      <c r="F16" s="1">
        <f t="shared" si="3"/>
        <v>0</v>
      </c>
      <c r="G16" s="1">
        <f t="shared" si="4"/>
        <v>6916.8026101141922</v>
      </c>
      <c r="H16" s="1">
        <f t="shared" si="5"/>
        <v>1600</v>
      </c>
    </row>
    <row r="17" spans="1:7" x14ac:dyDescent="0.25">
      <c r="A17" s="2"/>
    </row>
    <row r="18" spans="1:7" x14ac:dyDescent="0.25">
      <c r="A18" s="2"/>
    </row>
    <row r="19" spans="1:7" x14ac:dyDescent="0.25">
      <c r="A19" s="2"/>
    </row>
    <row r="20" spans="1:7" x14ac:dyDescent="0.25">
      <c r="C20" s="1">
        <f>SUM(C12:C19)</f>
        <v>456000</v>
      </c>
      <c r="D20" s="1">
        <f t="shared" ref="D20:E20" si="7">SUM(D12:D19)</f>
        <v>48000</v>
      </c>
      <c r="E20" s="1">
        <f t="shared" si="7"/>
        <v>400000</v>
      </c>
      <c r="G20" s="1">
        <f>SUM(G12:G19)</f>
        <v>37194.127243066883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31F42-1D46-45A0-A0F7-3298891A831E}">
  <dimension ref="A2:H22"/>
  <sheetViews>
    <sheetView workbookViewId="0">
      <selection activeCell="G9" sqref="G9"/>
    </sheetView>
  </sheetViews>
  <sheetFormatPr baseColWidth="10" defaultRowHeight="15" x14ac:dyDescent="0.25"/>
  <cols>
    <col min="1" max="6" width="11.42578125" style="1"/>
    <col min="7" max="7" width="23.140625" style="1" bestFit="1" customWidth="1"/>
    <col min="8" max="16384" width="11.42578125" style="1"/>
  </cols>
  <sheetData>
    <row r="2" spans="1:8" x14ac:dyDescent="0.25">
      <c r="A2" s="1" t="s">
        <v>17</v>
      </c>
      <c r="B2" s="1">
        <v>200000</v>
      </c>
    </row>
    <row r="3" spans="1:8" x14ac:dyDescent="0.25">
      <c r="A3" s="1" t="s">
        <v>1</v>
      </c>
      <c r="B3" s="1">
        <v>8</v>
      </c>
    </row>
    <row r="4" spans="1:8" x14ac:dyDescent="0.25">
      <c r="A4" s="1" t="s">
        <v>2</v>
      </c>
      <c r="B4" s="1">
        <v>0.05</v>
      </c>
    </row>
    <row r="5" spans="1:8" x14ac:dyDescent="0.25">
      <c r="A5" s="1" t="s">
        <v>3</v>
      </c>
      <c r="B5" s="1">
        <f>1+B4</f>
        <v>1.05</v>
      </c>
    </row>
    <row r="6" spans="1:8" x14ac:dyDescent="0.25">
      <c r="A6" s="1" t="s">
        <v>18</v>
      </c>
      <c r="B6" s="1">
        <f>B2/B3</f>
        <v>25000</v>
      </c>
    </row>
    <row r="7" spans="1:8" x14ac:dyDescent="0.25">
      <c r="A7" s="1" t="s">
        <v>12</v>
      </c>
      <c r="B7" s="1">
        <v>0.02</v>
      </c>
    </row>
    <row r="8" spans="1:8" x14ac:dyDescent="0.25">
      <c r="A8" s="1" t="s">
        <v>11</v>
      </c>
      <c r="B8" s="1">
        <v>12</v>
      </c>
    </row>
    <row r="11" spans="1:8" x14ac:dyDescent="0.25">
      <c r="A11" s="1" t="s">
        <v>5</v>
      </c>
      <c r="B11" s="1" t="s">
        <v>6</v>
      </c>
      <c r="C11" s="1" t="s">
        <v>19</v>
      </c>
      <c r="D11" s="1" t="s">
        <v>20</v>
      </c>
      <c r="E11" s="1" t="s">
        <v>16</v>
      </c>
      <c r="F11" s="1" t="s">
        <v>9</v>
      </c>
      <c r="G11" s="1" t="s">
        <v>21</v>
      </c>
      <c r="H11" s="1" t="s">
        <v>22</v>
      </c>
    </row>
    <row r="12" spans="1:8" x14ac:dyDescent="0.25">
      <c r="A12" s="1">
        <v>1</v>
      </c>
      <c r="B12" s="1">
        <f>B2</f>
        <v>200000</v>
      </c>
      <c r="C12" s="1">
        <f t="shared" ref="C12:C13" si="0">D12+E12+H12</f>
        <v>10000</v>
      </c>
      <c r="D12" s="1">
        <f t="shared" ref="D12:D13" si="1">B12*$B$4</f>
        <v>10000</v>
      </c>
      <c r="E12" s="1">
        <v>0</v>
      </c>
      <c r="F12" s="1">
        <f t="shared" ref="F12:F13" si="2">B12-E12</f>
        <v>200000</v>
      </c>
      <c r="G12" s="1">
        <f t="shared" ref="G12:G13" si="3">C12/($B$8+$B$4/2*($B$8+1))</f>
        <v>811.35902636916842</v>
      </c>
      <c r="H12" s="1">
        <f t="shared" ref="H12:H13" si="4">E12*$B$7</f>
        <v>0</v>
      </c>
    </row>
    <row r="13" spans="1:8" x14ac:dyDescent="0.25">
      <c r="A13" s="1">
        <v>2</v>
      </c>
      <c r="B13" s="1">
        <f t="shared" ref="B13:B14" si="5">F12</f>
        <v>200000</v>
      </c>
      <c r="C13" s="1">
        <f t="shared" si="0"/>
        <v>10000</v>
      </c>
      <c r="D13" s="1">
        <f t="shared" si="1"/>
        <v>10000</v>
      </c>
      <c r="E13" s="1">
        <v>0</v>
      </c>
      <c r="F13" s="1">
        <f t="shared" si="2"/>
        <v>200000</v>
      </c>
      <c r="G13" s="1">
        <f t="shared" si="3"/>
        <v>811.35902636916842</v>
      </c>
      <c r="H13" s="1">
        <f t="shared" si="4"/>
        <v>0</v>
      </c>
    </row>
    <row r="14" spans="1:8" x14ac:dyDescent="0.25">
      <c r="A14" s="1">
        <v>3</v>
      </c>
      <c r="B14" s="1">
        <f t="shared" si="5"/>
        <v>200000</v>
      </c>
      <c r="C14" s="1">
        <f>D14+E14+H14</f>
        <v>35500</v>
      </c>
      <c r="D14" s="1">
        <f>B14*$B$4</f>
        <v>10000</v>
      </c>
      <c r="E14" s="1">
        <f>$B$6</f>
        <v>25000</v>
      </c>
      <c r="F14" s="1">
        <f>B14-E14</f>
        <v>175000</v>
      </c>
      <c r="G14" s="1">
        <f>C14/($B$8+$B$4/2*($B$8+1))</f>
        <v>2880.3245436105476</v>
      </c>
      <c r="H14" s="1">
        <f>E14*$B$7</f>
        <v>500</v>
      </c>
    </row>
    <row r="15" spans="1:8" x14ac:dyDescent="0.25">
      <c r="A15" s="1">
        <v>4</v>
      </c>
      <c r="B15" s="1">
        <f>F14</f>
        <v>175000</v>
      </c>
      <c r="C15" s="1">
        <f t="shared" ref="C15:C21" si="6">D15+E15+H15</f>
        <v>34250</v>
      </c>
      <c r="D15" s="1">
        <f t="shared" ref="D15:D21" si="7">B15*$B$4</f>
        <v>8750</v>
      </c>
      <c r="E15" s="1">
        <f t="shared" ref="E15:E21" si="8">$B$6</f>
        <v>25000</v>
      </c>
      <c r="F15" s="1">
        <f t="shared" ref="F15:F21" si="9">B15-E15</f>
        <v>150000</v>
      </c>
      <c r="G15" s="1">
        <f t="shared" ref="G15:G21" si="10">C15/($B$8+$B$4/2*($B$8+1))</f>
        <v>2778.9046653144019</v>
      </c>
      <c r="H15" s="1">
        <f t="shared" ref="H15:H21" si="11">E15*$B$7</f>
        <v>500</v>
      </c>
    </row>
    <row r="16" spans="1:8" x14ac:dyDescent="0.25">
      <c r="A16" s="1">
        <v>5</v>
      </c>
      <c r="B16" s="1">
        <f t="shared" ref="B16:B21" si="12">F15</f>
        <v>150000</v>
      </c>
      <c r="C16" s="1">
        <f t="shared" si="6"/>
        <v>33000</v>
      </c>
      <c r="D16" s="1">
        <f t="shared" si="7"/>
        <v>7500</v>
      </c>
      <c r="E16" s="1">
        <f t="shared" si="8"/>
        <v>25000</v>
      </c>
      <c r="F16" s="1">
        <f t="shared" si="9"/>
        <v>125000</v>
      </c>
      <c r="G16" s="1">
        <f t="shared" si="10"/>
        <v>2677.4847870182557</v>
      </c>
      <c r="H16" s="1">
        <f t="shared" si="11"/>
        <v>500</v>
      </c>
    </row>
    <row r="17" spans="1:8" x14ac:dyDescent="0.25">
      <c r="A17" s="1">
        <v>6</v>
      </c>
      <c r="B17" s="1">
        <f t="shared" si="12"/>
        <v>125000</v>
      </c>
      <c r="C17" s="1">
        <f t="shared" si="6"/>
        <v>31750</v>
      </c>
      <c r="D17" s="1">
        <f t="shared" si="7"/>
        <v>6250</v>
      </c>
      <c r="E17" s="1">
        <f t="shared" si="8"/>
        <v>25000</v>
      </c>
      <c r="F17" s="1">
        <f t="shared" si="9"/>
        <v>100000</v>
      </c>
      <c r="G17" s="1">
        <f t="shared" si="10"/>
        <v>2576.0649087221095</v>
      </c>
      <c r="H17" s="1">
        <f t="shared" si="11"/>
        <v>500</v>
      </c>
    </row>
    <row r="18" spans="1:8" x14ac:dyDescent="0.25">
      <c r="A18" s="1">
        <v>7</v>
      </c>
      <c r="B18" s="1">
        <f t="shared" si="12"/>
        <v>100000</v>
      </c>
      <c r="C18" s="1">
        <f t="shared" si="6"/>
        <v>30500</v>
      </c>
      <c r="D18" s="1">
        <f t="shared" si="7"/>
        <v>5000</v>
      </c>
      <c r="E18" s="1">
        <f t="shared" si="8"/>
        <v>25000</v>
      </c>
      <c r="F18" s="1">
        <f t="shared" si="9"/>
        <v>75000</v>
      </c>
      <c r="G18" s="1">
        <f t="shared" si="10"/>
        <v>2474.6450304259638</v>
      </c>
      <c r="H18" s="1">
        <f t="shared" si="11"/>
        <v>500</v>
      </c>
    </row>
    <row r="19" spans="1:8" x14ac:dyDescent="0.25">
      <c r="A19" s="1">
        <v>8</v>
      </c>
      <c r="B19" s="1">
        <f t="shared" si="12"/>
        <v>75000</v>
      </c>
      <c r="C19" s="1">
        <f t="shared" si="6"/>
        <v>29250</v>
      </c>
      <c r="D19" s="1">
        <f t="shared" si="7"/>
        <v>3750</v>
      </c>
      <c r="E19" s="1">
        <f t="shared" si="8"/>
        <v>25000</v>
      </c>
      <c r="F19" s="1">
        <f t="shared" si="9"/>
        <v>50000</v>
      </c>
      <c r="G19" s="1">
        <f t="shared" si="10"/>
        <v>2373.2251521298176</v>
      </c>
      <c r="H19" s="1">
        <f t="shared" si="11"/>
        <v>500</v>
      </c>
    </row>
    <row r="20" spans="1:8" x14ac:dyDescent="0.25">
      <c r="A20" s="1">
        <v>9</v>
      </c>
      <c r="B20" s="1">
        <f t="shared" si="12"/>
        <v>50000</v>
      </c>
      <c r="C20" s="1">
        <f t="shared" si="6"/>
        <v>28000</v>
      </c>
      <c r="D20" s="1">
        <f t="shared" si="7"/>
        <v>2500</v>
      </c>
      <c r="E20" s="1">
        <f t="shared" si="8"/>
        <v>25000</v>
      </c>
      <c r="F20" s="1">
        <f t="shared" si="9"/>
        <v>25000</v>
      </c>
      <c r="G20" s="1">
        <f t="shared" si="10"/>
        <v>2271.8052738336714</v>
      </c>
      <c r="H20" s="1">
        <f t="shared" si="11"/>
        <v>500</v>
      </c>
    </row>
    <row r="21" spans="1:8" x14ac:dyDescent="0.25">
      <c r="A21" s="1">
        <v>10</v>
      </c>
      <c r="B21" s="1">
        <f t="shared" si="12"/>
        <v>25000</v>
      </c>
      <c r="C21" s="1">
        <f t="shared" si="6"/>
        <v>26750</v>
      </c>
      <c r="D21" s="1">
        <f t="shared" si="7"/>
        <v>1250</v>
      </c>
      <c r="E21" s="1">
        <f t="shared" si="8"/>
        <v>25000</v>
      </c>
      <c r="F21" s="1">
        <f t="shared" si="9"/>
        <v>0</v>
      </c>
      <c r="G21" s="1">
        <f t="shared" si="10"/>
        <v>2170.3853955375253</v>
      </c>
      <c r="H21" s="1">
        <f t="shared" si="11"/>
        <v>500</v>
      </c>
    </row>
    <row r="22" spans="1:8" x14ac:dyDescent="0.25">
      <c r="C22" s="1">
        <f>SUM(C14:C21)</f>
        <v>249000</v>
      </c>
      <c r="D22" s="1">
        <f t="shared" ref="D22:E22" si="13">SUM(D14:D21)</f>
        <v>45000</v>
      </c>
      <c r="E22" s="1">
        <f t="shared" si="13"/>
        <v>200000</v>
      </c>
      <c r="G22" s="1">
        <f>SUM(G14:G21)</f>
        <v>20202.839756592293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3EE0B-636E-4D77-978C-F781EDA5D402}">
  <dimension ref="A1:J37"/>
  <sheetViews>
    <sheetView workbookViewId="0">
      <selection activeCell="C16" sqref="C16"/>
    </sheetView>
  </sheetViews>
  <sheetFormatPr baseColWidth="10" defaultRowHeight="15" x14ac:dyDescent="0.25"/>
  <cols>
    <col min="7" max="7" width="13.42578125" bestFit="1" customWidth="1"/>
  </cols>
  <sheetData>
    <row r="1" spans="1:10" x14ac:dyDescent="0.25">
      <c r="G1" t="s">
        <v>31</v>
      </c>
    </row>
    <row r="2" spans="1:10" x14ac:dyDescent="0.25">
      <c r="A2" t="s">
        <v>2</v>
      </c>
      <c r="D2">
        <v>0</v>
      </c>
      <c r="E2">
        <v>9.5000000000000001E-2</v>
      </c>
      <c r="F2">
        <v>0.11</v>
      </c>
      <c r="G2">
        <v>0.10398399473693712</v>
      </c>
    </row>
    <row r="3" spans="1:10" x14ac:dyDescent="0.25">
      <c r="A3" t="s">
        <v>3</v>
      </c>
      <c r="D3">
        <f>1+D2</f>
        <v>1</v>
      </c>
      <c r="E3">
        <f>1+E2</f>
        <v>1.095</v>
      </c>
      <c r="F3">
        <f>1+F2</f>
        <v>1.1100000000000001</v>
      </c>
      <c r="G3">
        <f>1+G2</f>
        <v>1.1039839947369372</v>
      </c>
    </row>
    <row r="5" spans="1:10" x14ac:dyDescent="0.25">
      <c r="H5" s="3"/>
      <c r="I5" s="3"/>
      <c r="J5" s="3"/>
    </row>
    <row r="6" spans="1:10" x14ac:dyDescent="0.25">
      <c r="A6" t="s">
        <v>25</v>
      </c>
      <c r="B6" t="s">
        <v>26</v>
      </c>
      <c r="C6" t="s">
        <v>27</v>
      </c>
      <c r="D6" t="s">
        <v>28</v>
      </c>
      <c r="E6" t="s">
        <v>30</v>
      </c>
      <c r="F6" t="s">
        <v>30</v>
      </c>
      <c r="G6" t="s">
        <v>30</v>
      </c>
    </row>
    <row r="7" spans="1:10" x14ac:dyDescent="0.25">
      <c r="A7">
        <v>0</v>
      </c>
      <c r="B7">
        <v>0</v>
      </c>
      <c r="C7">
        <v>435</v>
      </c>
      <c r="D7">
        <f>B7-C7</f>
        <v>-435</v>
      </c>
      <c r="E7" s="1">
        <f>$D7/E$3^$A7</f>
        <v>-435</v>
      </c>
      <c r="F7" s="1">
        <f t="shared" ref="F7:G7" si="0">$D7/F$3^$A7</f>
        <v>-435</v>
      </c>
      <c r="G7" s="1">
        <f t="shared" si="0"/>
        <v>-435</v>
      </c>
    </row>
    <row r="8" spans="1:10" x14ac:dyDescent="0.25">
      <c r="A8">
        <v>1</v>
      </c>
      <c r="B8">
        <v>150</v>
      </c>
      <c r="C8">
        <v>45</v>
      </c>
      <c r="D8">
        <f t="shared" ref="D8:D12" si="1">B8-C8</f>
        <v>105</v>
      </c>
      <c r="E8" s="1">
        <f t="shared" ref="E8:G12" si="2">$D8/E$3^$A8</f>
        <v>95.890410958904113</v>
      </c>
      <c r="F8" s="1">
        <f t="shared" si="2"/>
        <v>94.594594594594582</v>
      </c>
      <c r="G8" s="1">
        <f t="shared" si="2"/>
        <v>95.110074512466028</v>
      </c>
    </row>
    <row r="9" spans="1:10" x14ac:dyDescent="0.25">
      <c r="A9">
        <v>2</v>
      </c>
      <c r="B9">
        <v>180</v>
      </c>
      <c r="C9">
        <v>60</v>
      </c>
      <c r="D9">
        <f t="shared" si="1"/>
        <v>120</v>
      </c>
      <c r="E9" s="1">
        <f t="shared" si="2"/>
        <v>100.08131606930631</v>
      </c>
      <c r="F9" s="1">
        <f t="shared" si="2"/>
        <v>97.394691989286571</v>
      </c>
      <c r="G9" s="1">
        <f t="shared" si="2"/>
        <v>98.459061483176498</v>
      </c>
    </row>
    <row r="10" spans="1:10" x14ac:dyDescent="0.25">
      <c r="A10">
        <v>3</v>
      </c>
      <c r="B10">
        <v>210</v>
      </c>
      <c r="C10">
        <v>80</v>
      </c>
      <c r="D10">
        <f t="shared" si="1"/>
        <v>130</v>
      </c>
      <c r="E10" s="1">
        <f t="shared" si="2"/>
        <v>99.015000677395903</v>
      </c>
      <c r="F10" s="1">
        <f t="shared" si="2"/>
        <v>95.054879569123528</v>
      </c>
      <c r="G10" s="1">
        <f t="shared" si="2"/>
        <v>96.61732758984212</v>
      </c>
    </row>
    <row r="11" spans="1:10" x14ac:dyDescent="0.25">
      <c r="A11">
        <v>4</v>
      </c>
      <c r="B11">
        <v>190</v>
      </c>
      <c r="C11">
        <v>70</v>
      </c>
      <c r="D11">
        <f t="shared" si="1"/>
        <v>120</v>
      </c>
      <c r="E11" s="1">
        <f t="shared" si="2"/>
        <v>83.468915218036585</v>
      </c>
      <c r="F11" s="1">
        <f t="shared" si="2"/>
        <v>79.047716897400008</v>
      </c>
      <c r="G11" s="1">
        <f t="shared" si="2"/>
        <v>80.784889901232745</v>
      </c>
    </row>
    <row r="12" spans="1:10" x14ac:dyDescent="0.25">
      <c r="A12">
        <v>5</v>
      </c>
      <c r="B12">
        <v>170</v>
      </c>
      <c r="C12">
        <v>65</v>
      </c>
      <c r="D12">
        <f t="shared" si="1"/>
        <v>105</v>
      </c>
      <c r="E12" s="1">
        <f t="shared" si="2"/>
        <v>66.69890485459544</v>
      </c>
      <c r="F12" s="1">
        <f t="shared" si="2"/>
        <v>62.312389446148657</v>
      </c>
      <c r="G12" s="1">
        <f t="shared" si="2"/>
        <v>64.028807483230082</v>
      </c>
    </row>
    <row r="13" spans="1:10" x14ac:dyDescent="0.25">
      <c r="C13" t="s">
        <v>29</v>
      </c>
      <c r="D13">
        <f>SUM(D7:D12)</f>
        <v>145</v>
      </c>
      <c r="E13" s="1">
        <f>SUM(E7:E12)</f>
        <v>10.154547778238339</v>
      </c>
      <c r="F13" s="1">
        <f t="shared" ref="F13:G13" si="3">SUM(F7:F12)</f>
        <v>-6.5957275034466534</v>
      </c>
      <c r="G13" s="1">
        <f t="shared" si="3"/>
        <v>1.6096994748693305E-4</v>
      </c>
    </row>
    <row r="16" spans="1:10" x14ac:dyDescent="0.25">
      <c r="E16" s="1"/>
      <c r="F16" s="1"/>
      <c r="G16" s="1"/>
      <c r="H16" s="1"/>
    </row>
    <row r="17" spans="2:10" x14ac:dyDescent="0.25">
      <c r="E17" s="1"/>
      <c r="F17" s="1"/>
      <c r="G17" s="1"/>
      <c r="H17" s="1"/>
    </row>
    <row r="18" spans="2:10" x14ac:dyDescent="0.25">
      <c r="B18" s="1"/>
      <c r="E18" s="1"/>
      <c r="F18" s="1"/>
      <c r="G18" s="1"/>
      <c r="H18" s="1"/>
    </row>
    <row r="19" spans="2:10" x14ac:dyDescent="0.25">
      <c r="B19" s="1"/>
      <c r="E19" s="1"/>
      <c r="F19" s="1"/>
      <c r="G19" s="1"/>
      <c r="H19" s="1"/>
    </row>
    <row r="20" spans="2:10" x14ac:dyDescent="0.25">
      <c r="B20" s="1"/>
      <c r="E20" s="1"/>
      <c r="F20" s="1"/>
      <c r="G20" s="1"/>
      <c r="H20" s="1"/>
    </row>
    <row r="21" spans="2:10" x14ac:dyDescent="0.25">
      <c r="B21" s="1"/>
      <c r="E21" s="1"/>
      <c r="F21" s="1"/>
      <c r="G21" s="1"/>
      <c r="H21" s="1"/>
    </row>
    <row r="22" spans="2:10" x14ac:dyDescent="0.25">
      <c r="B22" s="1"/>
    </row>
    <row r="23" spans="2:10" x14ac:dyDescent="0.25">
      <c r="B23" s="1"/>
      <c r="E23" s="1"/>
      <c r="F23" s="1"/>
      <c r="G23" s="1"/>
      <c r="H23" s="1"/>
      <c r="I23" s="1"/>
    </row>
    <row r="24" spans="2:10" x14ac:dyDescent="0.25">
      <c r="B24" s="1"/>
      <c r="E24" s="1"/>
      <c r="F24" s="1"/>
      <c r="G24" s="1"/>
      <c r="H24" s="1"/>
      <c r="I24" s="1"/>
    </row>
    <row r="25" spans="2:10" x14ac:dyDescent="0.25">
      <c r="B25" s="1"/>
      <c r="E25" s="1"/>
      <c r="F25" s="1"/>
      <c r="G25" s="1"/>
      <c r="H25" s="1"/>
      <c r="I25" s="1"/>
    </row>
    <row r="26" spans="2:10" x14ac:dyDescent="0.25">
      <c r="B26" s="1"/>
      <c r="E26" s="1"/>
      <c r="F26" s="1"/>
      <c r="G26" s="1"/>
      <c r="H26" s="1"/>
      <c r="I26" s="1"/>
    </row>
    <row r="27" spans="2:10" x14ac:dyDescent="0.25">
      <c r="B27" s="1"/>
      <c r="E27" s="1"/>
      <c r="F27" s="1"/>
      <c r="G27" s="1"/>
      <c r="H27" s="1"/>
      <c r="I27" s="1"/>
    </row>
    <row r="28" spans="2:10" x14ac:dyDescent="0.25">
      <c r="B28" s="1"/>
      <c r="E28" s="1"/>
      <c r="F28" s="1"/>
      <c r="G28" s="1"/>
      <c r="H28" s="1"/>
      <c r="I28" s="1"/>
    </row>
    <row r="29" spans="2:10" x14ac:dyDescent="0.25">
      <c r="B29" s="1"/>
    </row>
    <row r="30" spans="2:10" x14ac:dyDescent="0.25">
      <c r="B30" s="1"/>
      <c r="E30" s="1"/>
      <c r="F30" s="1"/>
      <c r="G30" s="1"/>
      <c r="H30" s="1"/>
      <c r="I30" s="1"/>
      <c r="J30" s="1"/>
    </row>
    <row r="31" spans="2:10" x14ac:dyDescent="0.25">
      <c r="B31" s="1"/>
      <c r="E31" s="1"/>
      <c r="F31" s="1"/>
      <c r="G31" s="1"/>
      <c r="H31" s="1"/>
      <c r="I31" s="1"/>
      <c r="J31" s="1"/>
    </row>
    <row r="32" spans="2:10" x14ac:dyDescent="0.25">
      <c r="B32" s="1"/>
      <c r="E32" s="1"/>
      <c r="F32" s="1"/>
      <c r="G32" s="1"/>
      <c r="H32" s="1"/>
      <c r="I32" s="1"/>
      <c r="J32" s="1"/>
    </row>
    <row r="33" spans="2:10" x14ac:dyDescent="0.25">
      <c r="B33" s="1"/>
      <c r="E33" s="1"/>
      <c r="F33" s="1"/>
      <c r="G33" s="1"/>
      <c r="H33" s="1"/>
      <c r="I33" s="1"/>
      <c r="J33" s="1"/>
    </row>
    <row r="34" spans="2:10" x14ac:dyDescent="0.25">
      <c r="B34" s="1"/>
      <c r="E34" s="1"/>
      <c r="F34" s="1"/>
      <c r="G34" s="1"/>
      <c r="H34" s="1"/>
      <c r="I34" s="1"/>
      <c r="J34" s="1"/>
    </row>
    <row r="35" spans="2:10" x14ac:dyDescent="0.25">
      <c r="B35" s="1"/>
      <c r="E35" s="1"/>
      <c r="F35" s="1"/>
      <c r="G35" s="1"/>
      <c r="H35" s="1"/>
      <c r="I35" s="1"/>
      <c r="J35" s="1"/>
    </row>
    <row r="36" spans="2:10" x14ac:dyDescent="0.25">
      <c r="B36" s="1"/>
    </row>
    <row r="37" spans="2:10" x14ac:dyDescent="0.25">
      <c r="B37" s="1"/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40891-71F7-467C-9261-325838F06AB6}">
  <dimension ref="A4:F35"/>
  <sheetViews>
    <sheetView workbookViewId="0">
      <selection activeCell="G32" sqref="G32"/>
    </sheetView>
  </sheetViews>
  <sheetFormatPr baseColWidth="10" defaultRowHeight="15" x14ac:dyDescent="0.25"/>
  <cols>
    <col min="3" max="3" width="13.85546875" bestFit="1" customWidth="1"/>
    <col min="4" max="4" width="15.140625" bestFit="1" customWidth="1"/>
  </cols>
  <sheetData>
    <row r="4" spans="1:6" x14ac:dyDescent="0.25">
      <c r="E4" t="s">
        <v>40</v>
      </c>
      <c r="F4">
        <f>(LN(1/(1-(B5*(B9/(B6-B7))))))/(LN(B10))</f>
        <v>13.02438387006365</v>
      </c>
    </row>
    <row r="5" spans="1:6" x14ac:dyDescent="0.25">
      <c r="A5" t="s">
        <v>32</v>
      </c>
      <c r="B5">
        <v>400000</v>
      </c>
      <c r="E5" t="s">
        <v>41</v>
      </c>
      <c r="F5">
        <f>(LN(1+B5*((B12-B10)/(B6-B7))))/(LN(B12/B10))</f>
        <v>11.491531809897802</v>
      </c>
    </row>
    <row r="6" spans="1:6" x14ac:dyDescent="0.25">
      <c r="A6" t="s">
        <v>33</v>
      </c>
      <c r="B6">
        <v>60000</v>
      </c>
    </row>
    <row r="7" spans="1:6" x14ac:dyDescent="0.25">
      <c r="A7" t="s">
        <v>4</v>
      </c>
      <c r="B7">
        <v>20000</v>
      </c>
    </row>
    <row r="8" spans="1:6" x14ac:dyDescent="0.25">
      <c r="A8" t="s">
        <v>34</v>
      </c>
      <c r="B8">
        <f>B5/(B6-B7)</f>
        <v>10</v>
      </c>
    </row>
    <row r="9" spans="1:6" x14ac:dyDescent="0.25">
      <c r="A9" t="s">
        <v>2</v>
      </c>
      <c r="B9">
        <v>0.04</v>
      </c>
    </row>
    <row r="10" spans="1:6" x14ac:dyDescent="0.25">
      <c r="A10" t="s">
        <v>3</v>
      </c>
      <c r="B10">
        <f>1+B9</f>
        <v>1.04</v>
      </c>
    </row>
    <row r="11" spans="1:6" x14ac:dyDescent="0.25">
      <c r="A11" t="s">
        <v>36</v>
      </c>
      <c r="B11">
        <v>0.02</v>
      </c>
    </row>
    <row r="12" spans="1:6" x14ac:dyDescent="0.25">
      <c r="A12" t="s">
        <v>35</v>
      </c>
      <c r="B12">
        <f>1+B11</f>
        <v>1.02</v>
      </c>
    </row>
    <row r="14" spans="1:6" x14ac:dyDescent="0.25">
      <c r="A14" t="s">
        <v>25</v>
      </c>
      <c r="B14" t="s">
        <v>37</v>
      </c>
      <c r="C14" t="s">
        <v>38</v>
      </c>
      <c r="D14" t="s">
        <v>39</v>
      </c>
    </row>
    <row r="15" spans="1:6" x14ac:dyDescent="0.25">
      <c r="A15">
        <v>0</v>
      </c>
      <c r="B15">
        <f>-B5</f>
        <v>-400000</v>
      </c>
      <c r="C15">
        <f>-B5</f>
        <v>-400000</v>
      </c>
      <c r="D15">
        <f>C15</f>
        <v>-400000</v>
      </c>
    </row>
    <row r="16" spans="1:6" x14ac:dyDescent="0.25">
      <c r="A16">
        <v>1</v>
      </c>
      <c r="B16">
        <f>B15+($B$6-$B$7)</f>
        <v>-360000</v>
      </c>
      <c r="C16" s="1">
        <f>C15+($B$6-$B$7)/$B$10^A16</f>
        <v>-361538.46153846156</v>
      </c>
      <c r="D16" s="1">
        <f>D15+($B$6-$B$7)*$B$12^(A16-1)/$B$10^A16</f>
        <v>-361538.46153846156</v>
      </c>
    </row>
    <row r="17" spans="1:4" x14ac:dyDescent="0.25">
      <c r="A17">
        <v>2</v>
      </c>
      <c r="B17">
        <f t="shared" ref="B17:B30" si="0">B16+($B$6-$B$7)</f>
        <v>-320000</v>
      </c>
      <c r="C17" s="1">
        <f t="shared" ref="C17:C32" si="1">C16+($B$6-$B$7)/$B$10^A17</f>
        <v>-324556.21301775152</v>
      </c>
      <c r="D17" s="1">
        <f t="shared" ref="D17:D32" si="2">D16+($B$6-$B$7)*$B$12^(A17-1)/$B$10^A17</f>
        <v>-323816.56804733729</v>
      </c>
    </row>
    <row r="18" spans="1:4" x14ac:dyDescent="0.25">
      <c r="A18">
        <v>3</v>
      </c>
      <c r="B18">
        <f t="shared" si="0"/>
        <v>-280000</v>
      </c>
      <c r="C18" s="1">
        <f t="shared" si="1"/>
        <v>-288996.35867091495</v>
      </c>
      <c r="D18" s="1">
        <f t="shared" si="2"/>
        <v>-286820.09558488848</v>
      </c>
    </row>
    <row r="19" spans="1:4" x14ac:dyDescent="0.25">
      <c r="A19">
        <v>4</v>
      </c>
      <c r="B19">
        <f t="shared" si="0"/>
        <v>-240000</v>
      </c>
      <c r="C19" s="1">
        <f t="shared" si="1"/>
        <v>-254804.19102972592</v>
      </c>
      <c r="D19" s="1">
        <f t="shared" si="2"/>
        <v>-250535.09374671755</v>
      </c>
    </row>
    <row r="20" spans="1:4" x14ac:dyDescent="0.25">
      <c r="A20">
        <v>5</v>
      </c>
      <c r="B20">
        <f t="shared" si="0"/>
        <v>-200000</v>
      </c>
      <c r="C20" s="1">
        <f t="shared" si="1"/>
        <v>-221927.10675935185</v>
      </c>
      <c r="D20" s="1">
        <f t="shared" si="2"/>
        <v>-214947.88040543452</v>
      </c>
    </row>
    <row r="21" spans="1:4" x14ac:dyDescent="0.25">
      <c r="A21">
        <v>6</v>
      </c>
      <c r="B21">
        <f t="shared" si="0"/>
        <v>-160000</v>
      </c>
      <c r="C21" s="1">
        <f t="shared" si="1"/>
        <v>-190314.52573014604</v>
      </c>
      <c r="D21" s="1">
        <f t="shared" si="2"/>
        <v>-180045.03655148388</v>
      </c>
    </row>
    <row r="22" spans="1:4" x14ac:dyDescent="0.25">
      <c r="A22">
        <v>7</v>
      </c>
      <c r="B22">
        <f t="shared" si="0"/>
        <v>-120000</v>
      </c>
      <c r="C22" s="1">
        <f t="shared" si="1"/>
        <v>-159917.81320206349</v>
      </c>
      <c r="D22" s="1">
        <f t="shared" si="2"/>
        <v>-145813.40123318613</v>
      </c>
    </row>
    <row r="23" spans="1:4" x14ac:dyDescent="0.25">
      <c r="A23">
        <v>8</v>
      </c>
      <c r="B23">
        <f t="shared" si="0"/>
        <v>-80000</v>
      </c>
      <c r="C23" s="1">
        <f t="shared" si="1"/>
        <v>-130690.20500198414</v>
      </c>
      <c r="D23" s="1">
        <f t="shared" si="2"/>
        <v>-112240.06659408641</v>
      </c>
    </row>
    <row r="24" spans="1:4" x14ac:dyDescent="0.25">
      <c r="A24">
        <v>9</v>
      </c>
      <c r="B24">
        <f t="shared" si="0"/>
        <v>-40000</v>
      </c>
      <c r="C24" s="1">
        <f t="shared" si="1"/>
        <v>-102586.73557883092</v>
      </c>
      <c r="D24" s="1">
        <f t="shared" si="2"/>
        <v>-79312.373005738613</v>
      </c>
    </row>
    <row r="25" spans="1:4" x14ac:dyDescent="0.25">
      <c r="A25">
        <v>10</v>
      </c>
      <c r="B25">
        <f t="shared" si="0"/>
        <v>0</v>
      </c>
      <c r="C25" s="1">
        <f t="shared" si="1"/>
        <v>-75564.168825798988</v>
      </c>
      <c r="D25" s="1">
        <f t="shared" si="2"/>
        <v>-47017.904294089807</v>
      </c>
    </row>
    <row r="26" spans="1:4" x14ac:dyDescent="0.25">
      <c r="A26">
        <v>11</v>
      </c>
      <c r="B26">
        <f t="shared" si="0"/>
        <v>40000</v>
      </c>
      <c r="C26" s="1">
        <f t="shared" si="1"/>
        <v>-49580.93156326827</v>
      </c>
      <c r="D26" s="1">
        <f t="shared" si="2"/>
        <v>-15344.483057665017</v>
      </c>
    </row>
    <row r="27" spans="1:4" x14ac:dyDescent="0.25">
      <c r="A27">
        <v>12</v>
      </c>
      <c r="B27">
        <f t="shared" si="0"/>
        <v>80000</v>
      </c>
      <c r="C27" s="1">
        <f t="shared" si="1"/>
        <v>-24597.049580065664</v>
      </c>
      <c r="D27" s="1">
        <f t="shared" si="2"/>
        <v>15719.83392421313</v>
      </c>
    </row>
    <row r="28" spans="1:4" x14ac:dyDescent="0.25">
      <c r="A28">
        <v>13</v>
      </c>
      <c r="B28">
        <f t="shared" si="0"/>
        <v>120000</v>
      </c>
      <c r="C28" s="1">
        <f t="shared" si="1"/>
        <v>-574.08613467854593</v>
      </c>
      <c r="D28" s="1">
        <f t="shared" si="2"/>
        <v>46186.760194901319</v>
      </c>
    </row>
    <row r="29" spans="1:4" x14ac:dyDescent="0.25">
      <c r="A29">
        <v>14</v>
      </c>
      <c r="B29">
        <f t="shared" si="0"/>
        <v>160000</v>
      </c>
      <c r="C29" s="1">
        <f t="shared" si="1"/>
        <v>22524.917178193686</v>
      </c>
      <c r="D29" s="1">
        <f t="shared" si="2"/>
        <v>76067.784037307036</v>
      </c>
    </row>
    <row r="30" spans="1:4" x14ac:dyDescent="0.25">
      <c r="A30">
        <v>15</v>
      </c>
      <c r="B30">
        <f t="shared" si="0"/>
        <v>200000</v>
      </c>
      <c r="C30" s="1">
        <f t="shared" si="1"/>
        <v>44735.497286724676</v>
      </c>
      <c r="D30" s="1">
        <f t="shared" si="2"/>
        <v>105374.17280582034</v>
      </c>
    </row>
    <row r="31" spans="1:4" x14ac:dyDescent="0.25">
      <c r="A31">
        <v>16</v>
      </c>
      <c r="B31">
        <f t="shared" ref="B31:B35" si="3">B30+($B$6-$B$7)</f>
        <v>240000</v>
      </c>
      <c r="C31" s="1">
        <f t="shared" ref="C31:C35" si="4">C30+($B$6-$B$7)/$B$10^A31</f>
        <v>66091.824314158323</v>
      </c>
      <c r="D31" s="1">
        <f t="shared" ref="D31:D35" si="5">D30+($B$6-$B$7)*$B$12^(A31-1)/$B$10^A31</f>
        <v>134116.97717493915</v>
      </c>
    </row>
    <row r="32" spans="1:4" x14ac:dyDescent="0.25">
      <c r="A32">
        <v>17</v>
      </c>
      <c r="B32">
        <f t="shared" si="3"/>
        <v>280000</v>
      </c>
      <c r="C32" s="1">
        <f t="shared" si="4"/>
        <v>86626.754148229127</v>
      </c>
      <c r="D32" s="1">
        <f t="shared" si="5"/>
        <v>162307.03530619029</v>
      </c>
    </row>
    <row r="33" spans="1:4" x14ac:dyDescent="0.25">
      <c r="A33">
        <v>18</v>
      </c>
      <c r="B33">
        <f t="shared" si="3"/>
        <v>320000</v>
      </c>
      <c r="C33" s="1">
        <f t="shared" si="4"/>
        <v>106371.87898868183</v>
      </c>
      <c r="D33" s="1">
        <f t="shared" si="5"/>
        <v>189954.97693491736</v>
      </c>
    </row>
    <row r="34" spans="1:4" x14ac:dyDescent="0.25">
      <c r="A34">
        <v>19</v>
      </c>
      <c r="B34">
        <f t="shared" si="3"/>
        <v>360000</v>
      </c>
      <c r="C34" s="1">
        <f t="shared" si="4"/>
        <v>125357.57595065558</v>
      </c>
      <c r="D34" s="1">
        <f t="shared" si="5"/>
        <v>217071.22737847661</v>
      </c>
    </row>
    <row r="35" spans="1:4" x14ac:dyDescent="0.25">
      <c r="A35">
        <v>20</v>
      </c>
      <c r="B35">
        <f t="shared" si="3"/>
        <v>400000</v>
      </c>
      <c r="C35" s="1">
        <f t="shared" si="4"/>
        <v>143613.05379870726</v>
      </c>
      <c r="D35" s="1">
        <f t="shared" si="5"/>
        <v>243666.01146735204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Tilgungsplan Annuität</vt:lpstr>
      <vt:lpstr>Tilgungsplan Annuität monatlich</vt:lpstr>
      <vt:lpstr>Tilgungsplan Annuität mit agio</vt:lpstr>
      <vt:lpstr>Ratentilgung</vt:lpstr>
      <vt:lpstr>Ratentilgung monatsrate</vt:lpstr>
      <vt:lpstr>Ratentilgung mit agio</vt:lpstr>
      <vt:lpstr>Ratentilgung Ratenfreizeit</vt:lpstr>
      <vt:lpstr>Kapitalwertmethode</vt:lpstr>
      <vt:lpstr>Amortisation</vt:lpstr>
      <vt:lpstr>Anlagenvergleich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2020-03-26T18:55:04Z</dcterms:created>
  <dcterms:modified xsi:type="dcterms:W3CDTF">2020-03-27T12:57:58Z</dcterms:modified>
</cp:coreProperties>
</file>