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michael/Documents/GitHub/MichaelTiemannOSC/ITR/examples/data/"/>
    </mc:Choice>
  </mc:AlternateContent>
  <xr:revisionPtr revIDLastSave="0" documentId="13_ncr:1_{BA5B1B55-D616-E840-9231-53A6F031AD47}" xr6:coauthVersionLast="47" xr6:coauthVersionMax="47" xr10:uidLastSave="{00000000-0000-0000-0000-000000000000}"/>
  <bookViews>
    <workbookView xWindow="21060" yWindow="6440" windowWidth="55560" windowHeight="32620" tabRatio="500" activeTab="4" xr2:uid="{00000000-000D-0000-FFFF-FFFF00000000}"/>
  </bookViews>
  <sheets>
    <sheet name="Read me " sheetId="1" r:id="rId1"/>
    <sheet name="ITR V2 input data" sheetId="7" r:id="rId2"/>
    <sheet name="ITR V2 esg data" sheetId="8" r:id="rId3"/>
    <sheet name="Extra V2 esg data" sheetId="9" r:id="rId4"/>
    <sheet name="ITR target input data" sheetId="3" r:id="rId5"/>
    <sheet name="Extra target data" sheetId="10" r:id="rId6"/>
    <sheet name="Definitions" sheetId="4" r:id="rId7"/>
    <sheet name="Portfolio" sheetId="5" r:id="rId8"/>
    <sheet name="User Notes" sheetId="6"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3" i="3" l="1"/>
  <c r="J82" i="3"/>
  <c r="M51" i="3"/>
  <c r="M50" i="3"/>
  <c r="M49" i="3"/>
  <c r="M48" i="3"/>
  <c r="M47" i="3"/>
  <c r="M46" i="3"/>
  <c r="N428" i="8"/>
  <c r="M428" i="8"/>
  <c r="L428" i="8"/>
  <c r="N426" i="8"/>
  <c r="M426" i="8"/>
  <c r="L426" i="8"/>
  <c r="N55" i="7"/>
  <c r="O55" i="7" s="1"/>
  <c r="L24" i="7"/>
  <c r="N24" i="7" s="1"/>
  <c r="O24" i="7" s="1"/>
  <c r="M98" i="3"/>
  <c r="M97" i="3"/>
  <c r="M53" i="3"/>
  <c r="M52" i="3"/>
  <c r="N1092" i="8"/>
  <c r="N1094" i="8" s="1"/>
  <c r="Q1086" i="8"/>
  <c r="Q1083" i="8"/>
  <c r="P1086" i="8"/>
  <c r="O1086" i="8"/>
  <c r="P1094" i="8"/>
  <c r="O1094" i="8"/>
  <c r="Q818" i="8"/>
  <c r="P818" i="8"/>
  <c r="O818" i="8"/>
  <c r="P808" i="8"/>
  <c r="O808" i="8"/>
  <c r="N808" i="8"/>
  <c r="O799" i="8"/>
  <c r="N799" i="8"/>
  <c r="M799" i="8"/>
  <c r="N790" i="8"/>
  <c r="M790" i="8"/>
  <c r="L790" i="8"/>
  <c r="P409" i="8"/>
  <c r="O409" i="8"/>
  <c r="N409" i="8"/>
  <c r="M409" i="8"/>
  <c r="L409" i="8"/>
  <c r="P404" i="8"/>
  <c r="O404" i="8"/>
  <c r="N404" i="8"/>
  <c r="M404" i="8"/>
  <c r="L404" i="8"/>
  <c r="P625" i="8"/>
  <c r="O625" i="8"/>
  <c r="N625" i="8"/>
  <c r="P44" i="7"/>
  <c r="N44" i="7"/>
  <c r="O44" i="7" s="1"/>
  <c r="L26" i="7"/>
  <c r="N26" i="7" s="1"/>
  <c r="O26" i="7" s="1"/>
  <c r="Q1550" i="8" l="1"/>
  <c r="N573" i="8"/>
  <c r="N572" i="8"/>
  <c r="J65" i="3"/>
  <c r="J181" i="3"/>
  <c r="J180" i="3"/>
  <c r="M118" i="8" l="1"/>
  <c r="N118" i="8"/>
  <c r="O118" i="8"/>
  <c r="N2595" i="8" l="1"/>
  <c r="M2595" i="8"/>
  <c r="L2595" i="8"/>
  <c r="K2595" i="8"/>
  <c r="O2574" i="8"/>
  <c r="N2574" i="8"/>
  <c r="M2574" i="8"/>
  <c r="L2574" i="8"/>
  <c r="L2416" i="8"/>
  <c r="K2416" i="8"/>
  <c r="J2416" i="8"/>
  <c r="I2416" i="8"/>
  <c r="M2396" i="8"/>
  <c r="L2396" i="8"/>
  <c r="K2396" i="8"/>
  <c r="I2396" i="8"/>
  <c r="O1682" i="8"/>
  <c r="N1682" i="8"/>
  <c r="O1681" i="8"/>
  <c r="N1681" i="8"/>
  <c r="M1681" i="8"/>
  <c r="M1682" i="8"/>
  <c r="L1701" i="8"/>
  <c r="M1701" i="8"/>
  <c r="P1759" i="8"/>
  <c r="O1759" i="8"/>
  <c r="O1775" i="8"/>
  <c r="N1775" i="8"/>
  <c r="N1784" i="8"/>
  <c r="M1784" i="8"/>
  <c r="M1793" i="8"/>
  <c r="L1793" i="8"/>
  <c r="K1801" i="8"/>
  <c r="L1801" i="8"/>
  <c r="L1365" i="8"/>
  <c r="K1365" i="8"/>
  <c r="L1362" i="8"/>
  <c r="K1362" i="8"/>
  <c r="I1365" i="8"/>
  <c r="I1362" i="8"/>
  <c r="M1343" i="8"/>
  <c r="L1343" i="8"/>
  <c r="K1343" i="8"/>
  <c r="M1340" i="8"/>
  <c r="L1340" i="8"/>
  <c r="K1340" i="8"/>
  <c r="I1343" i="8"/>
  <c r="I1340" i="8"/>
  <c r="N1319" i="8"/>
  <c r="M1319" i="8"/>
  <c r="N1316" i="8"/>
  <c r="M1316" i="8"/>
  <c r="I1319" i="8"/>
  <c r="I1316" i="8"/>
  <c r="O1295" i="8"/>
  <c r="N1295" i="8"/>
  <c r="O1292" i="8"/>
  <c r="N1292" i="8"/>
  <c r="I1295" i="8"/>
  <c r="I1292" i="8"/>
  <c r="P1271" i="8"/>
  <c r="O1271" i="8"/>
  <c r="N1271" i="8"/>
  <c r="P1268" i="8"/>
  <c r="O1268" i="8"/>
  <c r="N1268" i="8"/>
  <c r="I1271" i="8"/>
  <c r="I1268" i="8"/>
  <c r="N2608" i="8"/>
  <c r="M2608" i="8"/>
  <c r="L2608" i="8"/>
  <c r="O2587" i="8"/>
  <c r="N2587" i="8"/>
  <c r="M2587" i="8"/>
  <c r="L2587" i="8"/>
  <c r="L2561" i="8"/>
  <c r="K2561" i="8"/>
  <c r="L2560" i="8"/>
  <c r="K2560" i="8"/>
  <c r="L2559" i="8"/>
  <c r="K2559" i="8"/>
  <c r="L2558" i="8"/>
  <c r="K2558" i="8"/>
  <c r="L2557" i="8"/>
  <c r="K2557" i="8"/>
  <c r="M2548" i="8"/>
  <c r="M2551" i="8" s="1"/>
  <c r="L2548" i="8"/>
  <c r="L2551" i="8" s="1"/>
  <c r="N2534" i="8"/>
  <c r="N2537" i="8" s="1"/>
  <c r="M2534" i="8"/>
  <c r="M2537" i="8" s="1"/>
  <c r="K2524" i="8"/>
  <c r="K2514" i="8"/>
  <c r="L2508" i="8"/>
  <c r="L2498" i="8"/>
  <c r="M2492" i="8"/>
  <c r="M2482" i="8"/>
  <c r="N2476" i="8"/>
  <c r="N2466" i="8"/>
  <c r="N2460" i="8"/>
  <c r="M2460" i="8"/>
  <c r="L2460" i="8"/>
  <c r="N2448" i="8"/>
  <c r="M2448" i="8"/>
  <c r="L2448" i="8"/>
  <c r="K2448" i="8"/>
  <c r="N2443" i="8"/>
  <c r="M2443" i="8"/>
  <c r="L2443" i="8"/>
  <c r="N2442" i="8"/>
  <c r="M2442" i="8"/>
  <c r="L2442" i="8"/>
  <c r="K2442" i="8"/>
  <c r="N2436" i="8"/>
  <c r="M2436" i="8"/>
  <c r="L2436" i="8"/>
  <c r="K2436" i="8"/>
  <c r="L2429" i="8"/>
  <c r="K2429" i="8"/>
  <c r="J2429" i="8"/>
  <c r="I2429" i="8"/>
  <c r="M2409" i="8"/>
  <c r="L2409" i="8"/>
  <c r="K2409" i="8"/>
  <c r="I2409" i="8"/>
  <c r="N2389" i="8"/>
  <c r="M2389" i="8"/>
  <c r="L2389" i="8"/>
  <c r="I2389" i="8"/>
  <c r="N2373" i="8"/>
  <c r="N2376" i="8" s="1"/>
  <c r="J229" i="3" s="1"/>
  <c r="M2373" i="8"/>
  <c r="M2376" i="8" s="1"/>
  <c r="L2373" i="8"/>
  <c r="L2376" i="8" s="1"/>
  <c r="I2373" i="8"/>
  <c r="I2376" i="8" s="1"/>
  <c r="N2357" i="8"/>
  <c r="M2357" i="8"/>
  <c r="L2357" i="8"/>
  <c r="K2357" i="8"/>
  <c r="I1320" i="8" l="1"/>
  <c r="L2449" i="8"/>
  <c r="N2449" i="8"/>
  <c r="K2449" i="8"/>
  <c r="M2449" i="8"/>
  <c r="I1344" i="8"/>
  <c r="I1296" i="8"/>
  <c r="I1366" i="8"/>
  <c r="P1272" i="8"/>
  <c r="M1344" i="8"/>
  <c r="K1366" i="8"/>
  <c r="L1366" i="8"/>
  <c r="N1320" i="8"/>
  <c r="K1344" i="8"/>
  <c r="L1344" i="8"/>
  <c r="M1320" i="8"/>
  <c r="N1296" i="8"/>
  <c r="O1296" i="8"/>
  <c r="O1272" i="8"/>
  <c r="I1272" i="8"/>
  <c r="N1272" i="8"/>
  <c r="K2562" i="8"/>
  <c r="K2565" i="8" s="1"/>
  <c r="L2562" i="8"/>
  <c r="L2565" i="8" s="1"/>
  <c r="P1077" i="8" l="1"/>
  <c r="P1076" i="8"/>
  <c r="P1075" i="8"/>
  <c r="P1065" i="8"/>
  <c r="O1065" i="8"/>
  <c r="P1055" i="8"/>
  <c r="P1053" i="8"/>
  <c r="P1032" i="8"/>
  <c r="P1009" i="8"/>
  <c r="P1012" i="8" s="1"/>
  <c r="O1009" i="8"/>
  <c r="O1012" i="8" s="1"/>
  <c r="N1009" i="8"/>
  <c r="N1012" i="8" s="1"/>
  <c r="N1011" i="8"/>
  <c r="P998" i="8"/>
  <c r="P996" i="8"/>
  <c r="J69" i="3" l="1"/>
  <c r="J68" i="3"/>
  <c r="L174" i="8"/>
  <c r="K174" i="8"/>
  <c r="M174" i="8"/>
  <c r="P173" i="8"/>
  <c r="P176" i="8" s="1"/>
  <c r="O173" i="8"/>
  <c r="O176" i="8" s="1"/>
  <c r="N173" i="8"/>
  <c r="N176" i="8" s="1"/>
  <c r="N256" i="8"/>
  <c r="M256" i="8"/>
  <c r="I256" i="8"/>
  <c r="P1021" i="8"/>
  <c r="O1021" i="8"/>
  <c r="N1021" i="8"/>
  <c r="J134" i="3" s="1"/>
  <c r="M1021" i="8"/>
  <c r="L1021" i="8"/>
  <c r="L1020" i="8"/>
  <c r="M1022" i="8"/>
  <c r="M1020" i="8"/>
  <c r="P1022" i="8"/>
  <c r="O1022" i="8"/>
  <c r="N1022" i="8"/>
  <c r="J135" i="3" s="1"/>
  <c r="O1020" i="8"/>
  <c r="N1020" i="8"/>
  <c r="J133" i="3" s="1"/>
  <c r="P1020" i="8"/>
  <c r="P1025" i="8"/>
  <c r="O1025" i="8"/>
  <c r="N1025" i="8"/>
  <c r="P1024" i="8"/>
  <c r="O1024" i="8"/>
  <c r="N1024" i="8"/>
  <c r="P785" i="8"/>
  <c r="O785" i="8"/>
  <c r="N785" i="8"/>
  <c r="I785" i="8"/>
  <c r="P651" i="8"/>
  <c r="O651" i="8"/>
  <c r="N651" i="8"/>
  <c r="J78" i="3"/>
  <c r="P649" i="8"/>
  <c r="O649" i="8"/>
  <c r="P87" i="8"/>
  <c r="O87" i="8"/>
  <c r="N87" i="8"/>
  <c r="M87" i="8"/>
  <c r="L87" i="8"/>
  <c r="P99" i="8"/>
  <c r="O99" i="8"/>
  <c r="N99" i="8"/>
  <c r="M99" i="8"/>
  <c r="L99" i="8"/>
  <c r="I99" i="8"/>
  <c r="P337" i="8"/>
  <c r="O337" i="8"/>
  <c r="J33" i="3" l="1"/>
  <c r="P970" i="8"/>
  <c r="O970" i="8"/>
  <c r="N970" i="8"/>
  <c r="M970" i="8"/>
  <c r="P118" i="7" l="1"/>
  <c r="M118" i="7"/>
  <c r="L118" i="7"/>
  <c r="N1808" i="8"/>
  <c r="N1807" i="8"/>
  <c r="N2212" i="8"/>
  <c r="O2212" i="8"/>
  <c r="K1643" i="8"/>
  <c r="P686" i="8" l="1"/>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P115" i="7" l="1"/>
  <c r="M115" i="7"/>
  <c r="L115" i="7"/>
  <c r="L108" i="7"/>
  <c r="S94" i="7"/>
  <c r="L94" i="7"/>
  <c r="N94" i="7"/>
  <c r="O94" i="7" s="1"/>
  <c r="P94" i="7"/>
  <c r="M94" i="7"/>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D161" i="3"/>
  <c r="C161" i="3"/>
  <c r="B161" i="3"/>
  <c r="P2137" i="8"/>
  <c r="P2319" i="8"/>
  <c r="O2319" i="8"/>
  <c r="N2319" i="8"/>
  <c r="M2319" i="8"/>
  <c r="L2319" i="8"/>
  <c r="K2340" i="8"/>
  <c r="M2340" i="8"/>
  <c r="L2340" i="8"/>
  <c r="N2333" i="8"/>
  <c r="M2333" i="8"/>
  <c r="L2333" i="8"/>
  <c r="L2326" i="8"/>
  <c r="M2326" i="8"/>
  <c r="N2326" i="8"/>
  <c r="O2326" i="8"/>
  <c r="M212" i="3" l="1"/>
  <c r="M211" i="3"/>
  <c r="O2110" i="8"/>
  <c r="N2110" i="8"/>
  <c r="N2084" i="8"/>
  <c r="M2092" i="8"/>
  <c r="L2100" i="8"/>
  <c r="P2070" i="8"/>
  <c r="O2070" i="8"/>
  <c r="N2070" i="8"/>
  <c r="D221" i="3"/>
  <c r="C221" i="3"/>
  <c r="B221" i="3"/>
  <c r="D220" i="3"/>
  <c r="C220" i="3"/>
  <c r="B220" i="3"/>
  <c r="A221" i="3"/>
  <c r="A220" i="3"/>
  <c r="D219" i="3"/>
  <c r="C219" i="3"/>
  <c r="B219" i="3"/>
  <c r="D218" i="3"/>
  <c r="C218" i="3"/>
  <c r="B218" i="3"/>
  <c r="D217" i="3"/>
  <c r="C217" i="3"/>
  <c r="B217" i="3"/>
  <c r="A219" i="3"/>
  <c r="A218" i="3"/>
  <c r="A217" i="3"/>
  <c r="D216" i="3"/>
  <c r="C216" i="3"/>
  <c r="B216" i="3"/>
  <c r="A216" i="3"/>
  <c r="D213" i="3"/>
  <c r="C213" i="3"/>
  <c r="B213" i="3"/>
  <c r="D212" i="3"/>
  <c r="C212" i="3"/>
  <c r="B212" i="3"/>
  <c r="D211" i="3"/>
  <c r="C211" i="3"/>
  <c r="B211" i="3"/>
  <c r="D210" i="3"/>
  <c r="C210" i="3"/>
  <c r="B210" i="3"/>
  <c r="A213" i="3"/>
  <c r="A212" i="3"/>
  <c r="A211" i="3"/>
  <c r="A210" i="3"/>
  <c r="D209" i="3"/>
  <c r="C209" i="3"/>
  <c r="B209" i="3"/>
  <c r="D208" i="3"/>
  <c r="C208" i="3"/>
  <c r="B208" i="3"/>
  <c r="A209" i="3"/>
  <c r="A208" i="3"/>
  <c r="D207" i="3"/>
  <c r="C207" i="3"/>
  <c r="B207" i="3"/>
  <c r="D206" i="3"/>
  <c r="C206" i="3"/>
  <c r="B206" i="3"/>
  <c r="A207" i="3"/>
  <c r="A206" i="3"/>
  <c r="D205" i="3"/>
  <c r="C205" i="3"/>
  <c r="B205" i="3"/>
  <c r="D204" i="3"/>
  <c r="C204" i="3"/>
  <c r="B204" i="3"/>
  <c r="D203" i="3"/>
  <c r="C203" i="3"/>
  <c r="B203" i="3"/>
  <c r="D202" i="3"/>
  <c r="C202" i="3"/>
  <c r="B202" i="3"/>
  <c r="D201" i="3"/>
  <c r="C201" i="3"/>
  <c r="B201" i="3"/>
  <c r="D200" i="3"/>
  <c r="C200" i="3"/>
  <c r="B200" i="3"/>
  <c r="D199" i="3"/>
  <c r="C199" i="3"/>
  <c r="B199" i="3"/>
  <c r="D198" i="3"/>
  <c r="C198" i="3"/>
  <c r="B198" i="3"/>
  <c r="D197" i="3"/>
  <c r="C197" i="3"/>
  <c r="B197" i="3"/>
  <c r="A205" i="3"/>
  <c r="A204" i="3"/>
  <c r="A203" i="3"/>
  <c r="A202" i="3"/>
  <c r="A201" i="3"/>
  <c r="A200" i="3"/>
  <c r="A199" i="3"/>
  <c r="A198" i="3"/>
  <c r="A197" i="3"/>
  <c r="D196" i="3"/>
  <c r="C196" i="3"/>
  <c r="B196" i="3"/>
  <c r="A196" i="3"/>
  <c r="D195" i="3"/>
  <c r="C195" i="3"/>
  <c r="B195" i="3"/>
  <c r="D194" i="3"/>
  <c r="C194" i="3"/>
  <c r="B194" i="3"/>
  <c r="A195" i="3"/>
  <c r="A194" i="3"/>
  <c r="O194" i="3"/>
  <c r="L2310" i="8"/>
  <c r="K2310" i="8"/>
  <c r="L2308" i="8"/>
  <c r="K2308" i="8"/>
  <c r="L2305" i="8"/>
  <c r="K2305" i="8"/>
  <c r="M2296" i="8"/>
  <c r="L2296" i="8"/>
  <c r="K2296" i="8"/>
  <c r="M2294" i="8"/>
  <c r="L2294" i="8"/>
  <c r="K2294" i="8"/>
  <c r="M2291" i="8"/>
  <c r="L2291" i="8"/>
  <c r="K2291" i="8"/>
  <c r="N2279" i="8"/>
  <c r="M2279" i="8"/>
  <c r="L2279" i="8"/>
  <c r="K2279" i="8"/>
  <c r="N2277" i="8"/>
  <c r="M2277" i="8"/>
  <c r="L2277" i="8"/>
  <c r="K2277" i="8"/>
  <c r="N2274" i="8"/>
  <c r="M2274" i="8"/>
  <c r="L2274" i="8"/>
  <c r="K2274" i="8"/>
  <c r="L2263" i="8"/>
  <c r="O2262" i="8"/>
  <c r="N2262" i="8"/>
  <c r="M2262" i="8"/>
  <c r="L2262" i="8"/>
  <c r="O2260" i="8"/>
  <c r="N2260" i="8"/>
  <c r="M2260" i="8"/>
  <c r="O2257" i="8"/>
  <c r="N2257" i="8"/>
  <c r="M2257" i="8"/>
  <c r="P2246" i="8"/>
  <c r="O2246" i="8"/>
  <c r="N2246" i="8"/>
  <c r="P2245" i="8"/>
  <c r="O2245" i="8"/>
  <c r="N2245" i="8"/>
  <c r="P2241" i="8"/>
  <c r="O2241" i="8"/>
  <c r="N2241" i="8"/>
  <c r="P2238" i="8"/>
  <c r="O2238" i="8"/>
  <c r="N2238" i="8"/>
  <c r="P2214" i="8"/>
  <c r="O2214" i="8"/>
  <c r="N2214" i="8"/>
  <c r="M2214" i="8"/>
  <c r="L2214" i="8"/>
  <c r="K2214" i="8"/>
  <c r="I2181" i="8"/>
  <c r="M2180" i="8"/>
  <c r="L2180" i="8"/>
  <c r="K2180" i="8"/>
  <c r="I2180" i="8"/>
  <c r="I2174" i="8"/>
  <c r="N2173" i="8"/>
  <c r="M2173" i="8"/>
  <c r="L2173" i="8"/>
  <c r="K2173" i="8"/>
  <c r="I2173" i="8"/>
  <c r="I2167" i="8"/>
  <c r="O2166" i="8"/>
  <c r="N2166" i="8"/>
  <c r="M2166" i="8"/>
  <c r="L2166" i="8"/>
  <c r="K2166" i="8"/>
  <c r="I2166" i="8"/>
  <c r="P2159" i="8"/>
  <c r="O2159" i="8"/>
  <c r="N2159" i="8"/>
  <c r="M2159" i="8"/>
  <c r="L2159" i="8"/>
  <c r="K2159" i="8"/>
  <c r="I2159" i="8"/>
  <c r="P2108" i="8"/>
  <c r="P2110" i="8" s="1"/>
  <c r="L124" i="7"/>
  <c r="O124" i="7" s="1"/>
  <c r="L123" i="7"/>
  <c r="O123" i="7" s="1"/>
  <c r="L122" i="7"/>
  <c r="O122" i="7" s="1"/>
  <c r="L121" i="7"/>
  <c r="O121" i="7" s="1"/>
  <c r="L120" i="7"/>
  <c r="O120" i="7" s="1"/>
  <c r="L119" i="7"/>
  <c r="N119" i="7" s="1"/>
  <c r="N118" i="7"/>
  <c r="T117" i="7"/>
  <c r="L117" i="7" s="1"/>
  <c r="O117" i="7"/>
  <c r="N117" i="7"/>
  <c r="L116" i="7"/>
  <c r="O116" i="7" s="1"/>
  <c r="O115" i="7"/>
  <c r="L114" i="7"/>
  <c r="N114" i="7" s="1"/>
  <c r="L113" i="7"/>
  <c r="O113" i="7" s="1"/>
  <c r="L112" i="7"/>
  <c r="O112" i="7" s="1"/>
  <c r="L111" i="7"/>
  <c r="O111" i="7" s="1"/>
  <c r="O114" i="7" l="1"/>
  <c r="P2244" i="8"/>
  <c r="K2311" i="8"/>
  <c r="K2309" i="8" s="1"/>
  <c r="L2311" i="8"/>
  <c r="L2309" i="8" s="1"/>
  <c r="O2244" i="8"/>
  <c r="L2261" i="8"/>
  <c r="N2244" i="8"/>
  <c r="N2280" i="8"/>
  <c r="N2278" i="8" s="1"/>
  <c r="O2263" i="8"/>
  <c r="O2261" i="8" s="1"/>
  <c r="N2263" i="8"/>
  <c r="N2261" i="8" s="1"/>
  <c r="K2280" i="8"/>
  <c r="K2278" i="8" s="1"/>
  <c r="K2297" i="8"/>
  <c r="K2295" i="8" s="1"/>
  <c r="L2280" i="8"/>
  <c r="L2278" i="8" s="1"/>
  <c r="L2297" i="8"/>
  <c r="L2295" i="8" s="1"/>
  <c r="M2263" i="8"/>
  <c r="M2261" i="8" s="1"/>
  <c r="M2280" i="8"/>
  <c r="M2278" i="8" s="1"/>
  <c r="M2297" i="8"/>
  <c r="M2295" i="8" s="1"/>
  <c r="O119" i="7"/>
  <c r="N120" i="7"/>
  <c r="N115" i="7"/>
  <c r="N111" i="7"/>
  <c r="N121" i="7"/>
  <c r="N112" i="7"/>
  <c r="N122" i="7"/>
  <c r="N113" i="7"/>
  <c r="N123" i="7"/>
  <c r="O118" i="7"/>
  <c r="N116" i="7"/>
  <c r="N124" i="7"/>
  <c r="A193" i="3" l="1"/>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D160" i="3"/>
  <c r="C160" i="3"/>
  <c r="B160" i="3"/>
  <c r="A160" i="3"/>
  <c r="J176" i="3"/>
  <c r="J163" i="3"/>
  <c r="N2061" i="8"/>
  <c r="M2061" i="8"/>
  <c r="L2061" i="8"/>
  <c r="K2061" i="8"/>
  <c r="J2061" i="8"/>
  <c r="O2051" i="8"/>
  <c r="N2051" i="8"/>
  <c r="M2051" i="8"/>
  <c r="L2051" i="8"/>
  <c r="K2051" i="8"/>
  <c r="N2041" i="8"/>
  <c r="N2036" i="8"/>
  <c r="M2036" i="8"/>
  <c r="L2036" i="8"/>
  <c r="K2036" i="8"/>
  <c r="O2030" i="8"/>
  <c r="N2030" i="8"/>
  <c r="O2025" i="8"/>
  <c r="N2025" i="8"/>
  <c r="M2025" i="8"/>
  <c r="L2025" i="8"/>
  <c r="P2018" i="8"/>
  <c r="O2018" i="8"/>
  <c r="N2018" i="8"/>
  <c r="P2009" i="8"/>
  <c r="O2009" i="8"/>
  <c r="N2009" i="8"/>
  <c r="M2009" i="8"/>
  <c r="P2002" i="8"/>
  <c r="O2002" i="8"/>
  <c r="N2002" i="8"/>
  <c r="M2002" i="8"/>
  <c r="L2002" i="8"/>
  <c r="K2002" i="8"/>
  <c r="J2002" i="8"/>
  <c r="P1992" i="8"/>
  <c r="O1992" i="8"/>
  <c r="N1992" i="8"/>
  <c r="P1991" i="8"/>
  <c r="O1991" i="8"/>
  <c r="N1991" i="8"/>
  <c r="P1990" i="8"/>
  <c r="O1990" i="8"/>
  <c r="N1990" i="8"/>
  <c r="N1964" i="8"/>
  <c r="N1981" i="8" s="1"/>
  <c r="M1964" i="8"/>
  <c r="M1981" i="8" s="1"/>
  <c r="L1964" i="8"/>
  <c r="L1981" i="8" s="1"/>
  <c r="K1964" i="8"/>
  <c r="K1981" i="8" s="1"/>
  <c r="P1958" i="8"/>
  <c r="O1958" i="8"/>
  <c r="N1958" i="8"/>
  <c r="M1958" i="8"/>
  <c r="L1952" i="8"/>
  <c r="K1952" i="8"/>
  <c r="L1951" i="8"/>
  <c r="K1951" i="8"/>
  <c r="L1950" i="8"/>
  <c r="K1950" i="8"/>
  <c r="L1949" i="8"/>
  <c r="K1949" i="8"/>
  <c r="L1948" i="8"/>
  <c r="K1948" i="8"/>
  <c r="L1947" i="8"/>
  <c r="K1947" i="8"/>
  <c r="L1946" i="8"/>
  <c r="K1946" i="8"/>
  <c r="M1940" i="8"/>
  <c r="L1940" i="8"/>
  <c r="K1940" i="8"/>
  <c r="M1939" i="8"/>
  <c r="L1939" i="8"/>
  <c r="K1939" i="8"/>
  <c r="M1938" i="8"/>
  <c r="L1938" i="8"/>
  <c r="K1938" i="8"/>
  <c r="M1937" i="8"/>
  <c r="L1937" i="8"/>
  <c r="K1937" i="8"/>
  <c r="M1936" i="8"/>
  <c r="L1936" i="8"/>
  <c r="K1936" i="8"/>
  <c r="M1935" i="8"/>
  <c r="L1935" i="8"/>
  <c r="K1935" i="8"/>
  <c r="M1934" i="8"/>
  <c r="L1934" i="8"/>
  <c r="K1934" i="8"/>
  <c r="N1926" i="8"/>
  <c r="M1926" i="8"/>
  <c r="L1926" i="8"/>
  <c r="K1926" i="8"/>
  <c r="N1925" i="8"/>
  <c r="M1925" i="8"/>
  <c r="L1925" i="8"/>
  <c r="K1925" i="8"/>
  <c r="N1924" i="8"/>
  <c r="M1924" i="8"/>
  <c r="L1924" i="8"/>
  <c r="K1924" i="8"/>
  <c r="N1923" i="8"/>
  <c r="M1923" i="8"/>
  <c r="L1923" i="8"/>
  <c r="K1923" i="8"/>
  <c r="N1922" i="8"/>
  <c r="M1922" i="8"/>
  <c r="L1922" i="8"/>
  <c r="K1922" i="8"/>
  <c r="N1921" i="8"/>
  <c r="M1921" i="8"/>
  <c r="L1921" i="8"/>
  <c r="K1921" i="8"/>
  <c r="N1920" i="8"/>
  <c r="M1920" i="8"/>
  <c r="L1920" i="8"/>
  <c r="K1920" i="8"/>
  <c r="O1912" i="8"/>
  <c r="N1912" i="8"/>
  <c r="M1912" i="8"/>
  <c r="L1912" i="8"/>
  <c r="O1911" i="8"/>
  <c r="N1911" i="8"/>
  <c r="M1911" i="8"/>
  <c r="L1911" i="8"/>
  <c r="O1910" i="8"/>
  <c r="N1910" i="8"/>
  <c r="M1910" i="8"/>
  <c r="L1910" i="8"/>
  <c r="O1909" i="8"/>
  <c r="N1909" i="8"/>
  <c r="M1909" i="8"/>
  <c r="L1909" i="8"/>
  <c r="O1908" i="8"/>
  <c r="N1908" i="8"/>
  <c r="M1908" i="8"/>
  <c r="L1908" i="8"/>
  <c r="O1907" i="8"/>
  <c r="N1907" i="8"/>
  <c r="M1907" i="8"/>
  <c r="L1907" i="8"/>
  <c r="O1906" i="8"/>
  <c r="N1906" i="8"/>
  <c r="M1906" i="8"/>
  <c r="L1906" i="8"/>
  <c r="P1898" i="8"/>
  <c r="O1898" i="8"/>
  <c r="N1898" i="8"/>
  <c r="M1898" i="8"/>
  <c r="P1897" i="8"/>
  <c r="O1897" i="8"/>
  <c r="N1897" i="8"/>
  <c r="M1897" i="8"/>
  <c r="P1896" i="8"/>
  <c r="O1896" i="8"/>
  <c r="N1896" i="8"/>
  <c r="M1896" i="8"/>
  <c r="P1895" i="8"/>
  <c r="O1895" i="8"/>
  <c r="N1895" i="8"/>
  <c r="M1895" i="8"/>
  <c r="P1894" i="8"/>
  <c r="O1894" i="8"/>
  <c r="N1894" i="8"/>
  <c r="M1894" i="8"/>
  <c r="P1893" i="8"/>
  <c r="O1893" i="8"/>
  <c r="N1893" i="8"/>
  <c r="M1893" i="8"/>
  <c r="P1892" i="8"/>
  <c r="O1892" i="8"/>
  <c r="N1892" i="8"/>
  <c r="M1892" i="8"/>
  <c r="P1850" i="8"/>
  <c r="P1834" i="8"/>
  <c r="P1809" i="8"/>
  <c r="O1809" i="8"/>
  <c r="P1767" i="8"/>
  <c r="L1749" i="8"/>
  <c r="M1742" i="8"/>
  <c r="N1735" i="8"/>
  <c r="M1735" i="8"/>
  <c r="L1735" i="8"/>
  <c r="O1727" i="8"/>
  <c r="N1727" i="8"/>
  <c r="M1727" i="8"/>
  <c r="P1719" i="8"/>
  <c r="O1719" i="8"/>
  <c r="N1719" i="8"/>
  <c r="N1691" i="8"/>
  <c r="M1691" i="8"/>
  <c r="L1691" i="8"/>
  <c r="P1668" i="8"/>
  <c r="O1668" i="8"/>
  <c r="N1668" i="8"/>
  <c r="P1659" i="8"/>
  <c r="O1659" i="8"/>
  <c r="P1643" i="8"/>
  <c r="O1643" i="8"/>
  <c r="N1643" i="8"/>
  <c r="M1643" i="8"/>
  <c r="L1643" i="8"/>
  <c r="L1602" i="8"/>
  <c r="K1602" i="8"/>
  <c r="J1602" i="8"/>
  <c r="M1593" i="8"/>
  <c r="L1593" i="8"/>
  <c r="K1593" i="8"/>
  <c r="J1593" i="8"/>
  <c r="N1576" i="8"/>
  <c r="M1576" i="8"/>
  <c r="L1576" i="8"/>
  <c r="K1576" i="8"/>
  <c r="O1563" i="8"/>
  <c r="N1563" i="8"/>
  <c r="M1563" i="8"/>
  <c r="L1563" i="8"/>
  <c r="P1550" i="8"/>
  <c r="O1550" i="8"/>
  <c r="N1550" i="8"/>
  <c r="M1550" i="8"/>
  <c r="P1534" i="8"/>
  <c r="P1515" i="8"/>
  <c r="P1517" i="8" s="1"/>
  <c r="O1515" i="8"/>
  <c r="O1517" i="8" s="1"/>
  <c r="N1515" i="8"/>
  <c r="N1517" i="8" s="1"/>
  <c r="L1507" i="8"/>
  <c r="L1490" i="8"/>
  <c r="L1500" i="8" s="1"/>
  <c r="K1490" i="8"/>
  <c r="K1500" i="8" s="1"/>
  <c r="M1486" i="8"/>
  <c r="M1469" i="8"/>
  <c r="M1479" i="8" s="1"/>
  <c r="L1469" i="8"/>
  <c r="L1479" i="8" s="1"/>
  <c r="N1465" i="8"/>
  <c r="N1449" i="8"/>
  <c r="N1458" i="8" s="1"/>
  <c r="M1449" i="8"/>
  <c r="M1458" i="8" s="1"/>
  <c r="O1445" i="8"/>
  <c r="O1429" i="8"/>
  <c r="O1438" i="8" s="1"/>
  <c r="N1429" i="8"/>
  <c r="N1438" i="8" s="1"/>
  <c r="P1425" i="8"/>
  <c r="P1408" i="8"/>
  <c r="P1418" i="8" s="1"/>
  <c r="O1408" i="8"/>
  <c r="O1418" i="8" s="1"/>
  <c r="I1408" i="8"/>
  <c r="I1418" i="8" s="1"/>
  <c r="P1404" i="8"/>
  <c r="P1382" i="8"/>
  <c r="P1391" i="8" s="1"/>
  <c r="L1367" i="8"/>
  <c r="K1367" i="8"/>
  <c r="I1367" i="8"/>
  <c r="M1345" i="8"/>
  <c r="L1345" i="8"/>
  <c r="K1345" i="8"/>
  <c r="I1345" i="8"/>
  <c r="N1332" i="8"/>
  <c r="M1332" i="8"/>
  <c r="I1332" i="8"/>
  <c r="N1322" i="8"/>
  <c r="M1322" i="8"/>
  <c r="I1322" i="8"/>
  <c r="O1308" i="8"/>
  <c r="N1308" i="8"/>
  <c r="I1308" i="8"/>
  <c r="O1298" i="8"/>
  <c r="N1298" i="8"/>
  <c r="I1298" i="8"/>
  <c r="P1284" i="8"/>
  <c r="O1284" i="8"/>
  <c r="N1284" i="8"/>
  <c r="I1284" i="8"/>
  <c r="P1274" i="8"/>
  <c r="O1274" i="8"/>
  <c r="N1274" i="8"/>
  <c r="I1274" i="8"/>
  <c r="L1240" i="8"/>
  <c r="K1240" i="8"/>
  <c r="M1227" i="8"/>
  <c r="L1227" i="8"/>
  <c r="N1214" i="8"/>
  <c r="M1214" i="8"/>
  <c r="O1201" i="8"/>
  <c r="N1201" i="8"/>
  <c r="P1173" i="8"/>
  <c r="O1173" i="8"/>
  <c r="L110" i="7"/>
  <c r="O110" i="7" s="1"/>
  <c r="L109" i="7"/>
  <c r="O109" i="7" s="1"/>
  <c r="O108" i="7"/>
  <c r="N108" i="7"/>
  <c r="O107" i="7"/>
  <c r="N107" i="7"/>
  <c r="O106" i="7"/>
  <c r="N106" i="7"/>
  <c r="O105" i="7"/>
  <c r="N105" i="7"/>
  <c r="L104" i="7"/>
  <c r="O104" i="7" s="1"/>
  <c r="L103" i="7"/>
  <c r="O103" i="7" s="1"/>
  <c r="O102" i="7"/>
  <c r="N102" i="7"/>
  <c r="L101" i="7"/>
  <c r="O101" i="7" s="1"/>
  <c r="O100" i="7"/>
  <c r="N100" i="7"/>
  <c r="L99" i="7"/>
  <c r="N99" i="7" s="1"/>
  <c r="L98" i="7"/>
  <c r="O98" i="7" s="1"/>
  <c r="L97" i="7"/>
  <c r="O97" i="7" s="1"/>
  <c r="L96" i="7"/>
  <c r="O96" i="7" s="1"/>
  <c r="L95" i="7"/>
  <c r="N95" i="7" s="1"/>
  <c r="L93" i="7"/>
  <c r="O93" i="7" s="1"/>
  <c r="R92" i="7"/>
  <c r="L92" i="7"/>
  <c r="O95" i="7" l="1"/>
  <c r="N1809" i="8"/>
  <c r="N92" i="7"/>
  <c r="O92" i="7"/>
  <c r="N98" i="7"/>
  <c r="N110" i="7"/>
  <c r="N104" i="7"/>
  <c r="N1321" i="8"/>
  <c r="I1321" i="8"/>
  <c r="M1321" i="8"/>
  <c r="N1297" i="8"/>
  <c r="I1297" i="8"/>
  <c r="O1297" i="8"/>
  <c r="O99" i="7"/>
  <c r="N93" i="7"/>
  <c r="N101" i="7"/>
  <c r="N96" i="7"/>
  <c r="N109" i="7"/>
  <c r="N97" i="7"/>
  <c r="N103" i="7"/>
  <c r="P833" i="8"/>
  <c r="O833" i="8"/>
  <c r="N833" i="8"/>
  <c r="M833" i="8"/>
  <c r="L833" i="8"/>
  <c r="P84" i="8"/>
  <c r="P85" i="8" s="1"/>
  <c r="J129" i="3" l="1"/>
  <c r="J42" i="3"/>
  <c r="J14" i="3" l="1"/>
  <c r="M11" i="10"/>
  <c r="M10" i="10"/>
  <c r="M9" i="10"/>
  <c r="M8" i="10"/>
  <c r="O46" i="9"/>
  <c r="N46" i="9"/>
  <c r="M46" i="9"/>
  <c r="O45" i="9"/>
  <c r="N45" i="9"/>
  <c r="M45" i="9"/>
  <c r="J17" i="3"/>
  <c r="N30" i="9"/>
  <c r="N29" i="9"/>
  <c r="N28" i="9"/>
  <c r="N23" i="9"/>
  <c r="N22" i="9"/>
  <c r="N21" i="9"/>
  <c r="O20" i="9"/>
  <c r="N20" i="9"/>
  <c r="P385" i="8"/>
  <c r="O757" i="8" l="1"/>
  <c r="N757" i="8"/>
  <c r="O756" i="8"/>
  <c r="N756" i="8"/>
  <c r="O755" i="8"/>
  <c r="N755" i="8"/>
  <c r="O998" i="8" l="1"/>
  <c r="N998" i="8"/>
  <c r="M998" i="8"/>
  <c r="L998" i="8"/>
  <c r="P699" i="8"/>
  <c r="O699" i="8"/>
  <c r="N699" i="8"/>
  <c r="I346" i="8"/>
  <c r="P351" i="8"/>
  <c r="P346" i="8" s="1"/>
  <c r="O351" i="8"/>
  <c r="O346" i="8" s="1"/>
  <c r="P278" i="8"/>
  <c r="O278" i="8"/>
  <c r="I278" i="8"/>
  <c r="I221" i="8"/>
  <c r="I234" i="8" s="1"/>
  <c r="P221" i="8"/>
  <c r="P234" i="8" s="1"/>
  <c r="O221" i="8"/>
  <c r="O234" i="8" s="1"/>
  <c r="N221" i="8"/>
  <c r="N234" i="8" s="1"/>
  <c r="O56" i="8"/>
  <c r="P68" i="8"/>
  <c r="O68" i="8"/>
  <c r="N68" i="8"/>
  <c r="P56" i="8"/>
  <c r="N56" i="8"/>
  <c r="P475" i="8" l="1"/>
  <c r="N27" i="7"/>
  <c r="O27" i="7" s="1"/>
  <c r="M143" i="3"/>
  <c r="M145" i="3"/>
  <c r="N53" i="7"/>
  <c r="O53" i="7" s="1"/>
  <c r="N56" i="7"/>
  <c r="O56" i="7" s="1"/>
  <c r="N28" i="7"/>
  <c r="O28" i="7" s="1"/>
  <c r="N30" i="7"/>
  <c r="O30" i="7" s="1"/>
  <c r="N29" i="7"/>
  <c r="O29" i="7" s="1"/>
  <c r="N954" i="8" l="1"/>
  <c r="J114" i="3" s="1"/>
  <c r="N938" i="8"/>
  <c r="N57" i="7"/>
  <c r="O57" i="7" s="1"/>
  <c r="N31" i="7"/>
  <c r="O31" i="7" s="1"/>
  <c r="O67" i="7"/>
  <c r="O78" i="7"/>
  <c r="M8" i="3"/>
  <c r="M7" i="3"/>
  <c r="P51" i="8"/>
  <c r="P50" i="8"/>
  <c r="P49" i="8"/>
  <c r="P48" i="8"/>
  <c r="O51" i="8"/>
  <c r="O50" i="8"/>
  <c r="O49" i="8"/>
  <c r="O48" i="8"/>
  <c r="N51" i="8"/>
  <c r="N50" i="8"/>
  <c r="N49" i="8"/>
  <c r="N48" i="8"/>
  <c r="P47" i="8"/>
  <c r="O47" i="8"/>
  <c r="N47" i="8"/>
  <c r="O84" i="8" l="1"/>
  <c r="O85" i="8" s="1"/>
  <c r="N84" i="8"/>
  <c r="N85" i="8" s="1"/>
  <c r="P109" i="8"/>
  <c r="O109" i="8"/>
  <c r="N109" i="8"/>
  <c r="P105" i="8"/>
  <c r="O105" i="8"/>
  <c r="N105" i="8"/>
  <c r="P245" i="8"/>
  <c r="O245" i="8"/>
  <c r="N245" i="8"/>
  <c r="P244" i="8"/>
  <c r="P246" i="8" s="1"/>
  <c r="O244" i="8"/>
  <c r="O246" i="8" s="1"/>
  <c r="N244" i="8"/>
  <c r="N246" i="8" s="1"/>
  <c r="P243" i="8"/>
  <c r="P242" i="8"/>
  <c r="P307" i="8"/>
  <c r="P306" i="8"/>
  <c r="P304" i="8"/>
  <c r="P303" i="8"/>
  <c r="P302" i="8"/>
  <c r="P301" i="8"/>
  <c r="P300" i="8"/>
  <c r="P299" i="8"/>
  <c r="O307" i="8"/>
  <c r="O306" i="8"/>
  <c r="O304" i="8"/>
  <c r="O303" i="8"/>
  <c r="O302" i="8"/>
  <c r="O301" i="8"/>
  <c r="O300" i="8"/>
  <c r="O299" i="8"/>
  <c r="N307" i="8"/>
  <c r="N306" i="8"/>
  <c r="N304" i="8"/>
  <c r="N303" i="8"/>
  <c r="N302" i="8"/>
  <c r="N301" i="8"/>
  <c r="N300" i="8"/>
  <c r="N299" i="8"/>
  <c r="P298" i="8"/>
  <c r="O298" i="8"/>
  <c r="N298" i="8"/>
  <c r="P310" i="8"/>
  <c r="O310" i="8"/>
  <c r="N310" i="8"/>
  <c r="N311" i="8"/>
  <c r="O311" i="8"/>
  <c r="P311" i="8"/>
  <c r="P295" i="8"/>
  <c r="O295" i="8"/>
  <c r="N295" i="8"/>
  <c r="P296" i="8"/>
  <c r="O296" i="8"/>
  <c r="N296" i="8"/>
  <c r="P297" i="8"/>
  <c r="O297" i="8"/>
  <c r="N297" i="8"/>
  <c r="P312" i="8"/>
  <c r="O312" i="8"/>
  <c r="N312" i="8"/>
  <c r="P718" i="8"/>
  <c r="O718" i="8"/>
  <c r="N718" i="8"/>
  <c r="M718" i="8"/>
  <c r="L718" i="8"/>
  <c r="P717" i="8"/>
  <c r="O717" i="8"/>
  <c r="N717" i="8"/>
  <c r="M717" i="8"/>
  <c r="L717" i="8"/>
  <c r="P854" i="8"/>
  <c r="O854" i="8"/>
  <c r="N854" i="8"/>
  <c r="M854" i="8"/>
  <c r="L854" i="8"/>
  <c r="L853" i="8"/>
  <c r="P850" i="8"/>
  <c r="O850" i="8"/>
  <c r="N850" i="8"/>
  <c r="M850" i="8"/>
  <c r="L850" i="8"/>
  <c r="P848" i="8"/>
  <c r="O848" i="8"/>
  <c r="N848" i="8"/>
  <c r="M848" i="8"/>
  <c r="L848" i="8"/>
  <c r="P847" i="8"/>
  <c r="O847" i="8"/>
  <c r="N847" i="8"/>
  <c r="M847" i="8"/>
  <c r="L847" i="8"/>
  <c r="P845" i="8"/>
  <c r="O845" i="8"/>
  <c r="N845" i="8"/>
  <c r="M845" i="8"/>
  <c r="L845" i="8"/>
  <c r="P843" i="8"/>
  <c r="O843" i="8"/>
  <c r="N843" i="8"/>
  <c r="M843" i="8"/>
  <c r="L843" i="8"/>
  <c r="L842" i="8"/>
  <c r="P842" i="8"/>
  <c r="O842" i="8"/>
  <c r="N842" i="8"/>
  <c r="M842" i="8"/>
  <c r="P671" i="8"/>
  <c r="O671" i="8"/>
  <c r="L719" i="8" l="1"/>
  <c r="M719" i="8"/>
  <c r="N719" i="8"/>
  <c r="O719" i="8"/>
  <c r="P719" i="8"/>
  <c r="P697" i="8"/>
  <c r="O697" i="8"/>
  <c r="P751" i="8"/>
  <c r="P753" i="8" s="1"/>
  <c r="L996" i="8"/>
  <c r="M996" i="8"/>
  <c r="N996" i="8"/>
  <c r="O996" i="8"/>
  <c r="P154" i="8"/>
  <c r="O154" i="8"/>
  <c r="O141" i="8"/>
  <c r="N154" i="8"/>
  <c r="M154" i="8"/>
  <c r="L154" i="8"/>
  <c r="N141" i="8"/>
  <c r="M141" i="8"/>
  <c r="L141" i="8"/>
  <c r="K141" i="8"/>
  <c r="N128" i="8"/>
  <c r="M128" i="8"/>
  <c r="L128" i="8"/>
  <c r="K128" i="8"/>
  <c r="N137" i="8"/>
  <c r="M137" i="8"/>
  <c r="L137" i="8"/>
  <c r="K137" i="8"/>
  <c r="P163" i="8"/>
  <c r="O163" i="8"/>
  <c r="N163" i="8"/>
  <c r="M163" i="8"/>
  <c r="L163" i="8"/>
  <c r="O150" i="8"/>
  <c r="N150" i="8"/>
  <c r="M150" i="8"/>
  <c r="L150" i="8"/>
  <c r="K150" i="8"/>
  <c r="M6" i="8" l="1"/>
  <c r="L6" i="8"/>
  <c r="K6" i="8"/>
  <c r="M5" i="8"/>
  <c r="L5" i="8"/>
  <c r="K5" i="8"/>
  <c r="N15" i="8"/>
  <c r="M15" i="8"/>
  <c r="L15" i="8"/>
  <c r="K15" i="8"/>
  <c r="N14" i="8"/>
  <c r="M14" i="8"/>
  <c r="L14" i="8"/>
  <c r="K14" i="8"/>
  <c r="O24" i="8"/>
  <c r="N24" i="8"/>
  <c r="M24" i="8"/>
  <c r="L24" i="8"/>
  <c r="J159" i="3"/>
  <c r="M150" i="3"/>
  <c r="J140" i="3"/>
  <c r="J139" i="3"/>
  <c r="M128" i="3"/>
  <c r="M127" i="3"/>
  <c r="M126" i="3"/>
  <c r="M125" i="3"/>
  <c r="M123" i="3"/>
  <c r="M122" i="3"/>
  <c r="M121" i="3"/>
  <c r="M119" i="3"/>
  <c r="J110" i="3"/>
  <c r="J109" i="3"/>
  <c r="M103" i="3"/>
  <c r="J102" i="3"/>
  <c r="J91" i="3"/>
  <c r="M74" i="3"/>
  <c r="J20" i="3"/>
  <c r="M19" i="3"/>
  <c r="J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tc={5E0A9095-93F4-EF40-8831-AA497A23CFAE}</author>
    <author>tc={FDED2E2C-7C7C-BE4F-9AE2-B9BC68A08A84}</author>
    <author>tc={525437A1-0012-C44C-97C2-34EFD519414A}</author>
    <author>tc={46E54433-8262-B842-B06E-352B0EBFA844}</author>
    <author>tc={FBE079CD-D986-A347-A648-783DDC2F0EF0}</author>
  </authors>
  <commentList>
    <comment ref="H27" authorId="0" shapeId="0" xr:uid="{D25E5B5C-5FC8-BA49-AA87-7E06260DB98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28" authorId="0" shapeId="0" xr:uid="{E0955361-64BC-8043-87A9-20BEF4D5576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29" authorId="0" shapeId="0" xr:uid="{4F4FFB36-39E3-4244-8059-0D03C042E86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30" authorId="0" shapeId="0" xr:uid="{7A76BB8C-5E96-4247-9710-D8130AAA92C4}">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31" authorId="0" shapeId="0" xr:uid="{2915C67F-DB89-D24F-B45C-60313A8C65D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R106" authorId="1" shapeId="0" xr:uid="{EAA4DC7E-5B3D-6545-A22D-B2D830927BD0}">
      <text>
        <r>
          <rPr>
            <sz val="11"/>
            <color rgb="FF000000"/>
            <rFont val="Calibri"/>
            <family val="2"/>
            <charset val="1"/>
          </rPr>
          <t>Ndungu, Grace Wangeci (AIM SE):
this is net debt excluding provisions for pensions and similar obligations</t>
        </r>
      </text>
    </comment>
    <comment ref="A111" authorId="1" shapeId="0" xr:uid="{38974763-B4B1-AD44-ABD5-90123C181BAB}">
      <text>
        <r>
          <rPr>
            <sz val="11"/>
            <color rgb="FF000000"/>
            <rFont val="Calibri"/>
            <family val="2"/>
            <charset val="1"/>
          </rPr>
          <t xml:space="preserve">Ndungu, Grace Wangeci (AIM SE):
</t>
        </r>
        <r>
          <rPr>
            <sz val="11"/>
            <color rgb="FF000000"/>
            <rFont val="Calibri"/>
            <family val="2"/>
            <charset val="1"/>
          </rPr>
          <t>The company has its operations in the Americas, Europe and Asia and it is somewhat difficult to know which information to use especially share information</t>
        </r>
      </text>
    </comment>
    <comment ref="H111" authorId="1" shapeId="0" xr:uid="{DAF16CE6-7D49-A24B-983B-97AF1391D01E}">
      <text>
        <r>
          <rPr>
            <sz val="11"/>
            <color rgb="FF000000"/>
            <rFont val="Calibri"/>
            <family val="2"/>
            <charset val="1"/>
          </rPr>
          <t>Ndungu, Grace Wangeci (AIM SE):
For uniformity purposes, USD currency has been used also for stock information</t>
        </r>
      </text>
    </comment>
    <comment ref="R111" authorId="1" shapeId="0" xr:uid="{C227914A-83B3-C14D-A76F-CA7E9540B2B0}">
      <text>
        <r>
          <rPr>
            <sz val="11"/>
            <color rgb="FF000000"/>
            <rFont val="Calibri"/>
            <family val="2"/>
            <charset val="1"/>
          </rPr>
          <t xml:space="preserve">Ndungu, Grace Wangeci (AIM SE):
Gross debt is used instead of net debt which subtracts cash and cash equiv. for a more accurate EVIC calculation
</t>
        </r>
      </text>
    </comment>
    <comment ref="T113" authorId="1" shapeId="0" xr:uid="{E527E246-ED24-0A41-8AB6-45741C8808FA}">
      <text>
        <r>
          <rPr>
            <sz val="11"/>
            <color rgb="FF000000"/>
            <rFont val="Calibri"/>
            <family val="2"/>
            <charset val="1"/>
          </rPr>
          <t>Ndungu, Grace Wangeci (AIM SE):
Average shares outstanding as indicated in the annual report is used</t>
        </r>
      </text>
    </comment>
    <comment ref="B114" authorId="2" shapeId="0" xr:uid="{5E0A9095-93F4-EF40-8831-AA497A23CFAE}">
      <text>
        <t>[Threaded comment]
Your version of Excel allows you to read this threaded comment; however, any edits to it will get removed if the file is opened in a newer version of Excel. Learn more: https://go.microsoft.com/fwlink/?linkid=870924
Comment:
    LEI is currently lapsed</t>
      </text>
    </comment>
    <comment ref="T114" authorId="1" shapeId="0" xr:uid="{FEA73CB0-9BC7-244E-B8B6-DBD6BAA23B95}">
      <text>
        <r>
          <rPr>
            <sz val="11"/>
            <color rgb="FF000000"/>
            <rFont val="Calibri"/>
            <family val="2"/>
            <charset val="1"/>
          </rPr>
          <t>Ndungu, Grace Wangeci (AIM SE):
Issued share capital figur
es used as there is no information on outstanding shares</t>
        </r>
      </text>
    </comment>
    <comment ref="B118" authorId="3" shapeId="0" xr:uid="{FDED2E2C-7C7C-BE4F-9AE2-B9BC68A08A84}">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19" authorId="4" shapeId="0" xr:uid="{525437A1-0012-C44C-97C2-34EFD519414A}">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20" authorId="5" shapeId="0" xr:uid="{46E54433-8262-B842-B06E-352B0EBFA844}">
      <text>
        <t>[Threaded comment]
Your version of Excel allows you to read this threaded comment; however, any edits to it will get removed if the file is opened in a newer version of Excel. Learn more: https://go.microsoft.com/fwlink/?linkid=870924
Comment:
    LEI registration is lapsed</t>
      </text>
    </comment>
    <comment ref="A123" authorId="0" shapeId="0" xr:uid="{AEA92031-34D8-6545-89E1-3B11FB678D42}">
      <text>
        <r>
          <rPr>
            <b/>
            <sz val="10"/>
            <color rgb="FF000000"/>
            <rFont val="Tahoma"/>
            <family val="2"/>
          </rPr>
          <t>Michael Tiemann:</t>
        </r>
        <r>
          <rPr>
            <sz val="10"/>
            <color rgb="FF000000"/>
            <rFont val="Tahoma"/>
            <family val="2"/>
          </rPr>
          <t xml:space="preserve">
</t>
        </r>
        <r>
          <rPr>
            <sz val="10"/>
            <color rgb="FF000000"/>
            <rFont val="Tahoma"/>
            <family val="2"/>
          </rPr>
          <t>Appears that YTL, Lafarge, and Holcim all own large parts of each other!</t>
        </r>
      </text>
    </comment>
    <comment ref="B124" authorId="6" shapeId="0" xr:uid="{FBE079CD-D986-A347-A648-783DDC2F0EF0}">
      <text>
        <t>[Threaded comment]
Your version of Excel allows you to read this threaded comment; however, any edits to it will get removed if the file is opened in a newer version of Excel. Learn more: https://go.microsoft.com/fwlink/?linkid=870924
Comment:
    LEI lapsed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tc={F0D4B364-029C-3245-9CC4-D1A2A4C9EDF8}</author>
    <author>tc={75A5425B-2E39-3B44-9F99-D852FB3B6FEF}</author>
    <author>tc={5D185C4F-4850-BD46-8190-623A56B116A1}</author>
    <author>tc={BD468610-1ADA-104F-A44F-310E5E0A79A6}</author>
    <author>tc={D939CD8D-C6EB-3B48-B527-A7354A22DFAB}</author>
    <author>tc={967899ED-2DDF-184D-B986-8F48A2BCE0D4}</author>
    <author>tc={A5D736DF-B53D-B949-A25C-17637C00B471}</author>
    <author>tc={61F40D2A-049D-0242-8B58-656A98694B1C}</author>
    <author>tc={5870F9B0-5B60-9F48-A6BB-0E2E8C6E693D}</author>
    <author>tc={4034B1D1-FFA3-4842-B201-94EC34289DD0}</author>
    <author>tc={32B31AF7-9BA3-B943-A839-EA0FAD6E2B2B}</author>
    <author>tc={A52FF204-0C49-C14D-8182-692BB9869AE6}</author>
    <author>tc={EEE48545-2E4A-9840-92C4-E7CD91F51052}</author>
    <author>tc={51D2CF1C-F00D-EA4B-A00E-4C309AC07DF3}</author>
  </authors>
  <commentList>
    <comment ref="I86" authorId="0" shapeId="0" xr:uid="{72D9308D-8512-FE4B-8B84-D2699BBF9C6F}">
      <text>
        <r>
          <rPr>
            <b/>
            <sz val="10"/>
            <color rgb="FF000000"/>
            <rFont val="Tahoma"/>
            <family val="2"/>
          </rPr>
          <t>Michael Tiemann:</t>
        </r>
        <r>
          <rPr>
            <sz val="10"/>
            <color rgb="FF000000"/>
            <rFont val="Tahoma"/>
            <family val="2"/>
          </rPr>
          <t xml:space="preserve">
</t>
        </r>
        <r>
          <rPr>
            <sz val="10"/>
            <color rgb="FF000000"/>
            <rFont val="Tahoma"/>
            <family val="2"/>
          </rPr>
          <t>CO2e not disclosed; using CO2</t>
        </r>
      </text>
    </comment>
    <comment ref="E87" authorId="0" shapeId="0" xr:uid="{AA06BD92-A9DF-0149-B546-E15DB7B7BFC5}">
      <text>
        <r>
          <rPr>
            <b/>
            <sz val="10"/>
            <color rgb="FF000000"/>
            <rFont val="Tahoma"/>
            <family val="2"/>
          </rPr>
          <t>Michael Tiemann:</t>
        </r>
        <r>
          <rPr>
            <sz val="10"/>
            <color rgb="FF000000"/>
            <rFont val="Tahoma"/>
            <family val="2"/>
          </rPr>
          <t xml:space="preserve">
</t>
        </r>
        <r>
          <rPr>
            <sz val="10"/>
            <color rgb="FF000000"/>
            <rFont val="Tahoma"/>
            <family val="2"/>
          </rPr>
          <t>Converting at rate of 54.87 t CO2e/(MMscf CH4)</t>
        </r>
      </text>
    </comment>
    <comment ref="E267" authorId="0" shapeId="0" xr:uid="{C873BC92-1CFB-3F49-A3FE-5BB2C7261D95}">
      <text>
        <r>
          <rPr>
            <b/>
            <sz val="10"/>
            <color rgb="FF000000"/>
            <rFont val="Tahoma"/>
            <family val="2"/>
          </rPr>
          <t>Michael Tiemann:</t>
        </r>
        <r>
          <rPr>
            <sz val="10"/>
            <color rgb="FF000000"/>
            <rFont val="Tahoma"/>
            <family val="2"/>
          </rPr>
          <t xml:space="preserve">
</t>
        </r>
        <r>
          <rPr>
            <sz val="10"/>
            <color rgb="FF000000"/>
            <rFont val="Tahoma"/>
            <family val="2"/>
          </rPr>
          <t>Useful steam energy</t>
        </r>
      </text>
    </comment>
    <comment ref="E289" authorId="0" shapeId="0" xr:uid="{FA0761DB-3970-E249-B441-82D2349FE851}">
      <text>
        <r>
          <rPr>
            <b/>
            <sz val="10"/>
            <color rgb="FF000000"/>
            <rFont val="Tahoma"/>
            <family val="2"/>
          </rPr>
          <t>Michael Tiemann:</t>
        </r>
        <r>
          <rPr>
            <sz val="10"/>
            <color rgb="FF000000"/>
            <rFont val="Tahoma"/>
            <family val="2"/>
          </rPr>
          <t xml:space="preserve">
</t>
        </r>
        <r>
          <rPr>
            <sz val="10"/>
            <color rgb="FF000000"/>
            <rFont val="Tahoma"/>
            <family val="2"/>
          </rPr>
          <t>Useful steam energy</t>
        </r>
      </text>
    </comment>
    <comment ref="P324" authorId="0" shapeId="0" xr:uid="{B75CE656-E469-3E41-9C76-23BB561158B7}">
      <text>
        <r>
          <rPr>
            <b/>
            <sz val="10"/>
            <color rgb="FF000000"/>
            <rFont val="Tahoma"/>
            <family val="2"/>
          </rPr>
          <t>Michael Tiemann:</t>
        </r>
        <r>
          <rPr>
            <sz val="10"/>
            <color rgb="FF000000"/>
            <rFont val="Tahoma"/>
            <family val="2"/>
          </rPr>
          <t xml:space="preserve">
</t>
        </r>
        <r>
          <rPr>
            <sz val="10"/>
            <color rgb="FF000000"/>
            <rFont val="Tahoma"/>
            <family val="2"/>
          </rPr>
          <t>fake data just to prime pump (and give us S1S2S3).</t>
        </r>
      </text>
    </comment>
    <comment ref="N339" authorId="0" shapeId="0" xr:uid="{96F090DF-6DEE-F54F-9940-65131D523AA3}">
      <text>
        <r>
          <rPr>
            <b/>
            <sz val="10"/>
            <color rgb="FF000000"/>
            <rFont val="Tahoma"/>
            <family val="2"/>
          </rPr>
          <t>Michael Tiemann:</t>
        </r>
        <r>
          <rPr>
            <sz val="10"/>
            <color rgb="FF000000"/>
            <rFont val="Tahoma"/>
            <family val="2"/>
          </rPr>
          <t xml:space="preserve">
</t>
        </r>
        <r>
          <rPr>
            <sz val="10"/>
            <color rgb="FF000000"/>
            <rFont val="Tahoma"/>
            <family val="2"/>
          </rPr>
          <t>Copied data...need to fix!</t>
        </r>
      </text>
    </comment>
    <comment ref="N529" authorId="0" shapeId="0" xr:uid="{A4E2A381-D0E6-9442-B0E3-C361E5D9360B}">
      <text>
        <r>
          <rPr>
            <b/>
            <sz val="10"/>
            <color rgb="FF000000"/>
            <rFont val="Tahoma"/>
            <family val="2"/>
          </rPr>
          <t>Michael Tiemann:</t>
        </r>
        <r>
          <rPr>
            <sz val="10"/>
            <color rgb="FF000000"/>
            <rFont val="Tahoma"/>
            <family val="2"/>
          </rPr>
          <t xml:space="preserve">
</t>
        </r>
        <r>
          <rPr>
            <sz val="10"/>
            <color rgb="FF000000"/>
            <rFont val="Tahoma"/>
            <family val="2"/>
          </rPr>
          <t xml:space="preserve">Exelon does not own any electric generation operations
</t>
        </r>
      </text>
    </comment>
    <comment ref="N650" authorId="0" shapeId="0" xr:uid="{0AD75071-8E0C-BD4B-AE7D-9DFAA258CE4C}">
      <text>
        <r>
          <rPr>
            <b/>
            <sz val="10"/>
            <color rgb="FF000000"/>
            <rFont val="Tahoma"/>
            <family val="2"/>
          </rPr>
          <t>Michael Tiemann:</t>
        </r>
        <r>
          <rPr>
            <sz val="10"/>
            <color rgb="FF000000"/>
            <rFont val="Tahoma"/>
            <family val="2"/>
          </rPr>
          <t xml:space="preserve">
</t>
        </r>
        <r>
          <rPr>
            <sz val="10"/>
            <color rgb="FF000000"/>
            <rFont val="Tahoma"/>
            <family val="2"/>
          </rPr>
          <t>Data needed to prime pump.</t>
        </r>
      </text>
    </comment>
    <comment ref="E971" authorId="0" shapeId="0" xr:uid="{0A82F440-60ED-B74B-AD57-0D4C9E5BD3AA}">
      <text>
        <r>
          <rPr>
            <b/>
            <sz val="10"/>
            <color rgb="FF000000"/>
            <rFont val="Tahoma"/>
            <family val="2"/>
          </rPr>
          <t>Michael Tiemann:</t>
        </r>
        <r>
          <rPr>
            <sz val="10"/>
            <color rgb="FF000000"/>
            <rFont val="Tahoma"/>
            <family val="2"/>
          </rPr>
          <t xml:space="preserve">
</t>
        </r>
        <r>
          <rPr>
            <sz val="10"/>
            <color rgb="FF000000"/>
            <rFont val="Tahoma"/>
            <family val="2"/>
          </rPr>
          <t>1% of this is category 3</t>
        </r>
      </text>
    </comment>
    <comment ref="N1024" authorId="0" shapeId="0" xr:uid="{37318CC9-C23A-7444-8E7E-811776584C0E}">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O1024" authorId="0" shapeId="0" xr:uid="{C9677978-EACB-B94E-BE1E-12367E6201FB}">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P1024" authorId="0" shapeId="0" xr:uid="{200F37DA-9A85-AC42-AF91-996A44730F01}">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N1025" authorId="0" shapeId="0" xr:uid="{3B2F8444-A147-1C46-B43E-9868AE09AEF4}">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O1025" authorId="0" shapeId="0" xr:uid="{91B2C2D5-B16C-A946-B820-2154335DCBF1}">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P1025" authorId="0" shapeId="0" xr:uid="{D6E8006C-DB1B-0F4B-AE76-3593C1C9B447}">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O1163" authorId="0" shapeId="0" xr:uid="{13FF6FE8-F5B4-A749-9B37-8E004F98BEE7}">
      <text>
        <r>
          <rPr>
            <b/>
            <sz val="10"/>
            <color rgb="FF000000"/>
            <rFont val="Tahoma"/>
            <family val="2"/>
          </rPr>
          <t>Michael Tiemann:</t>
        </r>
        <r>
          <rPr>
            <sz val="10"/>
            <color rgb="FF000000"/>
            <rFont val="Tahoma"/>
            <family val="2"/>
          </rPr>
          <t xml:space="preserve">
</t>
        </r>
        <r>
          <rPr>
            <sz val="10"/>
            <color rgb="FF000000"/>
            <rFont val="Tahoma"/>
            <family val="2"/>
          </rPr>
          <t>restated, per Grace</t>
        </r>
      </text>
    </comment>
    <comment ref="P1163" authorId="1" shapeId="0" xr:uid="{6B7C26AD-ED32-BD4E-93E6-FAA69730F5E9}">
      <text>
        <r>
          <rPr>
            <sz val="11"/>
            <color rgb="FF000000"/>
            <rFont val="Calibri"/>
            <family val="2"/>
            <charset val="1"/>
          </rPr>
          <t xml:space="preserve">Ndungu, Grace Wangeci (AIM SE):
</t>
        </r>
        <r>
          <rPr>
            <sz val="11"/>
            <color rgb="FF000000"/>
            <rFont val="Calibri"/>
            <family val="2"/>
            <charset val="1"/>
          </rPr>
          <t>Scope 3 emissions have not been included by the firm in its calculation of total emissions for the year. This is also a re-stated figure from 35.364MtCO2e which is a  1% increase</t>
        </r>
      </text>
    </comment>
    <comment ref="L1187" authorId="1" shapeId="0" xr:uid="{E746361B-42BB-2C43-B935-C6BD197DED57}">
      <text>
        <r>
          <rPr>
            <sz val="11"/>
            <color rgb="FF000000"/>
            <rFont val="Calibri"/>
            <family val="2"/>
            <charset val="1"/>
          </rPr>
          <t>Ndungu, Grace Wangeci (AIM SE):
Figure adjusted from 21 based on updated emission factors and assumptions</t>
        </r>
      </text>
    </comment>
    <comment ref="I1265" authorId="0" shapeId="0" xr:uid="{09B8E893-E566-7F48-8259-2E6F1A6A80B4}">
      <text>
        <r>
          <rPr>
            <b/>
            <sz val="10"/>
            <color rgb="FF000000"/>
            <rFont val="Tahoma"/>
            <family val="2"/>
          </rPr>
          <t>Michael Tiemann:</t>
        </r>
        <r>
          <rPr>
            <sz val="10"/>
            <color rgb="FF000000"/>
            <rFont val="Tahoma"/>
            <family val="2"/>
          </rPr>
          <t xml:space="preserve">
</t>
        </r>
        <r>
          <rPr>
            <sz val="10"/>
            <color rgb="FF000000"/>
            <rFont val="Tahoma"/>
            <family val="2"/>
          </rPr>
          <t>Restated figures in 2021</t>
        </r>
      </text>
    </comment>
    <comment ref="D1382" authorId="1" shapeId="0" xr:uid="{476F724D-28E1-8446-8636-DF00FC7729C6}">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389" authorId="1" shapeId="0" xr:uid="{47C9B319-6B9A-1145-97BF-ED17E13F0FCC}">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08" authorId="1" shapeId="0" xr:uid="{DD93C66F-B3FD-9A42-8A5E-571988F17A4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16" authorId="1" shapeId="0" xr:uid="{15A24E3F-7E5D-414F-8FF1-3EC59C450DB9}">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29" authorId="1" shapeId="0" xr:uid="{67754CDB-7287-2845-8951-31DB17A07171}">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37" authorId="1" shapeId="0" xr:uid="{E37A9627-D19B-B046-BCCA-66A6E8A6D2BF}">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49" authorId="1" shapeId="0" xr:uid="{89E184FC-CE4C-194B-8C9F-35F431B66E8A}">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57" authorId="1" shapeId="0" xr:uid="{B74ED551-C435-C547-891A-6CA4C4A5D22D}">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69" authorId="1" shapeId="0" xr:uid="{61B7A024-10F3-A945-94E5-180A646CD433}">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77" authorId="1" shapeId="0" xr:uid="{9BA387F8-4D7D-9942-8AB9-0BA28BC60030}">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90" authorId="1" shapeId="0" xr:uid="{F164AA6E-F436-1441-9C8C-FE2B5C14A19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98" authorId="1" shapeId="0" xr:uid="{815C5644-ABE3-294C-8013-C88EA5E95CAB}">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517" authorId="1" shapeId="0" xr:uid="{F3A20667-9AA4-094F-80B9-6AC6F4DAF4D5}">
      <text>
        <r>
          <rPr>
            <sz val="11"/>
            <color rgb="FF000000"/>
            <rFont val="Calibri"/>
            <family val="2"/>
            <charset val="1"/>
          </rPr>
          <t>Ndungu, Grace Wangeci (AIM SE):
Direct emissions (scope 1) generated by the operations and production processes at our plants; and indirect emissions (scope 2) generated by the electricity and steam purchased for our plants.</t>
        </r>
      </text>
    </comment>
    <comment ref="D1535" authorId="1" shapeId="0" xr:uid="{D76FEE96-A686-C34B-B931-98C1892AE9C6}">
      <text>
        <r>
          <rPr>
            <sz val="11"/>
            <color rgb="FF000000"/>
            <rFont val="Calibri"/>
            <family val="2"/>
            <charset val="1"/>
          </rPr>
          <t>Ndungu, Grace Wangeci (AIM SE):
Scope 3 includes upstream and downstream activities (purchases of raw materials, goods and services, transformation, use and end-of-life treatment of our products, etc.)</t>
        </r>
      </text>
    </comment>
    <comment ref="E1542" authorId="0" shapeId="0" xr:uid="{55770344-9BB5-AD4F-BD17-391F5D1596B7}">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E1546" authorId="0" shapeId="0" xr:uid="{D82E8DE4-1D01-2942-9C8C-F4CD07D48DB8}">
      <text>
        <r>
          <rPr>
            <b/>
            <sz val="10"/>
            <color rgb="FF000000"/>
            <rFont val="Tahoma"/>
            <family val="2"/>
          </rPr>
          <t>Michael Tiemann:</t>
        </r>
        <r>
          <rPr>
            <sz val="10"/>
            <color rgb="FF000000"/>
            <rFont val="Tahoma"/>
            <family val="2"/>
          </rPr>
          <t xml:space="preserve">
</t>
        </r>
        <r>
          <rPr>
            <sz val="10"/>
            <color rgb="FF000000"/>
            <rFont val="Tahoma"/>
            <family val="2"/>
          </rPr>
          <t>Including contracted drivers</t>
        </r>
      </text>
    </comment>
    <comment ref="L1555" authorId="1" shapeId="0" xr:uid="{48904EAD-5438-3B43-B856-3733BA2C5E67}">
      <text>
        <r>
          <rPr>
            <sz val="11"/>
            <color rgb="FF000000"/>
            <rFont val="Calibri"/>
            <family val="2"/>
            <charset val="1"/>
          </rPr>
          <t>Ndungu, Grace Wangeci (AIM SE):
Praxair</t>
        </r>
      </text>
    </comment>
    <comment ref="M1555" authorId="1" shapeId="0" xr:uid="{8AFC577C-759C-4442-99A1-C3300F5CA4EB}">
      <text>
        <r>
          <rPr>
            <sz val="11"/>
            <color rgb="FF000000"/>
            <rFont val="Calibri"/>
            <family val="2"/>
            <charset val="1"/>
          </rPr>
          <t>Ndungu, Grace Wangeci (AIM SE):
Linde Pro Forma</t>
        </r>
      </text>
    </comment>
    <comment ref="E1562" authorId="0" shapeId="0" xr:uid="{A57A3542-0C34-AA4A-9EF0-E72A6B2F1A18}">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K1568" authorId="1" shapeId="0" xr:uid="{E120A7B8-4163-6440-A5E3-BA334DD7C9D0}">
      <text>
        <r>
          <rPr>
            <sz val="11"/>
            <color rgb="FF000000"/>
            <rFont val="Calibri"/>
            <family val="2"/>
            <charset val="1"/>
          </rPr>
          <t>Ndungu, Grace Wangeci (AIM SE):
Praxair</t>
        </r>
      </text>
    </comment>
    <comment ref="L1568" authorId="1" shapeId="0" xr:uid="{AEE2CD56-5675-DF41-9147-B72E2FE14C9E}">
      <text>
        <r>
          <rPr>
            <sz val="11"/>
            <color rgb="FF000000"/>
            <rFont val="Calibri"/>
            <family val="2"/>
            <charset val="1"/>
          </rPr>
          <t xml:space="preserve">Ndungu, Grace Wangeci (AIM SE):
</t>
        </r>
        <r>
          <rPr>
            <sz val="11"/>
            <color rgb="FF000000"/>
            <rFont val="Calibri"/>
            <family val="2"/>
            <charset val="1"/>
          </rPr>
          <t>Praxair</t>
        </r>
      </text>
    </comment>
    <comment ref="M1568" authorId="1" shapeId="0" xr:uid="{95F235C7-D927-2544-B4C8-AE5A3E302EB7}">
      <text>
        <r>
          <rPr>
            <sz val="11"/>
            <color rgb="FF000000"/>
            <rFont val="Calibri"/>
            <family val="2"/>
            <charset val="1"/>
          </rPr>
          <t>Ndungu, Grace Wangeci (AIM SE):
Linde Pro Forma</t>
        </r>
      </text>
    </comment>
    <comment ref="N1569" authorId="1" shapeId="0" xr:uid="{60566DC5-C667-0645-BF8E-EE232F107471}">
      <text>
        <r>
          <rPr>
            <sz val="11"/>
            <color rgb="FF000000"/>
            <rFont val="Calibri"/>
            <family val="2"/>
            <charset val="1"/>
          </rPr>
          <t xml:space="preserve">Ndungu, Grace Wangeci (AIM SE):
</t>
        </r>
        <r>
          <rPr>
            <sz val="11"/>
            <color rgb="FF000000"/>
            <rFont val="Calibri"/>
            <family val="2"/>
            <charset val="1"/>
          </rPr>
          <t>The difference between mkt-based and location based are mostly sue to certain plants where customers provide the electricity to Linde(where Linde purchases).</t>
        </r>
      </text>
    </comment>
    <comment ref="E1575" authorId="0" shapeId="0" xr:uid="{F4179F14-7163-A34F-8969-EEFBBF0F0817}">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K1582" authorId="1" shapeId="0" xr:uid="{976F9680-F374-1641-BC52-DAA741945B79}">
      <text>
        <r>
          <rPr>
            <sz val="11"/>
            <color rgb="FF000000"/>
            <rFont val="Calibri"/>
            <family val="2"/>
            <charset val="1"/>
          </rPr>
          <t>Ndungu, Grace Wangeci (AIM SE):
Praxair</t>
        </r>
      </text>
    </comment>
    <comment ref="L1582" authorId="1" shapeId="0" xr:uid="{FC5BFA1F-76E5-E145-839B-61E19BA87395}">
      <text>
        <r>
          <rPr>
            <sz val="11"/>
            <color rgb="FF000000"/>
            <rFont val="Calibri"/>
            <family val="2"/>
            <charset val="1"/>
          </rPr>
          <t>Ndungu, Grace Wangeci (AIM SE):
Praxair</t>
        </r>
      </text>
    </comment>
    <comment ref="M1582" authorId="1" shapeId="0" xr:uid="{D47ED96C-1A3F-7043-B622-B845EE2FA51C}">
      <text>
        <r>
          <rPr>
            <sz val="11"/>
            <color rgb="FF000000"/>
            <rFont val="Calibri"/>
            <family val="2"/>
            <charset val="1"/>
          </rPr>
          <t>Ndungu, Grace Wangeci (AIM SE):
Linde Pro Forma</t>
        </r>
      </text>
    </comment>
    <comment ref="E1591" authorId="0" shapeId="0" xr:uid="{F9340518-10E8-214B-942C-50F0CD7A5FA9}">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E1592" authorId="0" shapeId="0" xr:uid="{22581AEA-5CCE-8A44-A658-C3462694E3C6}">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D1668" authorId="1" shapeId="0" xr:uid="{54CDA050-34E2-0E4E-94EA-EA6580240696}">
      <text>
        <r>
          <rPr>
            <sz val="11"/>
            <color rgb="FF000000"/>
            <rFont val="Calibri"/>
            <family val="2"/>
            <charset val="1"/>
          </rPr>
          <t>Ndungu, Grace Wangeci (AIM SE):
Synthomer calculates total group GHG emissions as scope 1+Hybrid approach scope 2 emissions</t>
        </r>
      </text>
    </comment>
    <comment ref="D1669" authorId="1" shapeId="0" xr:uid="{F175BA39-991C-B641-8800-62842B852B08}">
      <text>
        <r>
          <rPr>
            <sz val="11"/>
            <color rgb="FF000000"/>
            <rFont val="Calibri"/>
            <family val="2"/>
            <charset val="1"/>
          </rPr>
          <t>Ndungu, Grace Wangeci (AIM SE):
purchased goods and services=97% of scope 3 emissions</t>
        </r>
      </text>
    </comment>
    <comment ref="D1681" authorId="1" shapeId="0" xr:uid="{9E4F19E5-FB01-5D4F-9A71-49D9F956888D}">
      <text>
        <r>
          <rPr>
            <sz val="11"/>
            <color rgb="FF000000"/>
            <rFont val="Calibri"/>
            <family val="2"/>
            <charset val="1"/>
          </rPr>
          <t>Ndungu, Grace Wangeci (AIM SE):
Synthomer calculates total group GHG emissions as scope 1+Hybrid approach scope 2 emissions</t>
        </r>
      </text>
    </comment>
    <comment ref="D1682" authorId="1" shapeId="0" xr:uid="{41C9FBA0-9217-834D-9381-AFEF1EE16207}">
      <text>
        <r>
          <rPr>
            <sz val="11"/>
            <color rgb="FF000000"/>
            <rFont val="Calibri"/>
            <family val="2"/>
            <charset val="1"/>
          </rPr>
          <t>Ndungu, Grace Wangeci (AIM SE):
Synthomer calculates total group GHG emissions as scope 1+Hybrid approach scope 2 emissions</t>
        </r>
      </text>
    </comment>
    <comment ref="D1683" authorId="1" shapeId="0" xr:uid="{8A7F0B00-6214-8D40-BEA4-6C9A80865D2D}">
      <text>
        <r>
          <rPr>
            <sz val="11"/>
            <color rgb="FF000000"/>
            <rFont val="Calibri"/>
            <family val="2"/>
            <charset val="1"/>
          </rPr>
          <t>Ndungu, Grace Wangeci (AIM SE):
purchased goods and services=97% of scope 3 emissions</t>
        </r>
      </text>
    </comment>
    <comment ref="D1691" authorId="1" shapeId="0" xr:uid="{673B2D61-50B2-D44E-90A8-D9C217464A43}">
      <text>
        <r>
          <rPr>
            <sz val="11"/>
            <color rgb="FF000000"/>
            <rFont val="Calibri"/>
            <family val="2"/>
            <charset val="1"/>
          </rPr>
          <t>Ndungu, Grace Wangeci (AIM SE):
Synthomer calculates total group GHG emissions as scope 1+Hybrid approach scope 2 emissions</t>
        </r>
      </text>
    </comment>
    <comment ref="D1692" authorId="1" shapeId="0" xr:uid="{F8798622-C57F-D14D-A5D0-8D9539438AB6}">
      <text>
        <r>
          <rPr>
            <sz val="11"/>
            <color rgb="FF000000"/>
            <rFont val="Calibri"/>
            <family val="2"/>
            <charset val="1"/>
          </rPr>
          <t>Ndungu, Grace Wangeci (AIM SE):
purchased goods and services=97% of scope 3 emissions</t>
        </r>
      </text>
    </comment>
    <comment ref="D1701" authorId="1" shapeId="0" xr:uid="{E273BCAD-96D8-6E43-9CF9-9AFEB9D73A13}">
      <text>
        <r>
          <rPr>
            <sz val="11"/>
            <color rgb="FF000000"/>
            <rFont val="Calibri"/>
            <family val="2"/>
            <charset val="1"/>
          </rPr>
          <t>Ndungu, Grace Wangeci (AIM SE):
Synthomer calculates total group GHG emissions as scope 1+Hybrid approach scope 2 emissions</t>
        </r>
      </text>
    </comment>
    <comment ref="D1702" authorId="1" shapeId="0" xr:uid="{757A88F4-F15C-964F-BC0A-56113EC6B446}">
      <text>
        <r>
          <rPr>
            <sz val="11"/>
            <color rgb="FF000000"/>
            <rFont val="Calibri"/>
            <family val="2"/>
            <charset val="1"/>
          </rPr>
          <t xml:space="preserve">Ndungu, Grace Wangeci (AIM SE):
</t>
        </r>
        <r>
          <rPr>
            <sz val="11"/>
            <color rgb="FF000000"/>
            <rFont val="Calibri"/>
            <family val="2"/>
            <charset val="1"/>
          </rPr>
          <t>purchased goods and services=97% of scope 3 emissions</t>
        </r>
      </text>
    </comment>
    <comment ref="D1711" authorId="1" shapeId="0" xr:uid="{29EE5204-0E7A-6648-B895-28B5581FC212}">
      <text>
        <r>
          <rPr>
            <sz val="11"/>
            <color rgb="FF000000"/>
            <rFont val="Calibri"/>
            <family val="2"/>
            <charset val="1"/>
          </rPr>
          <t>Ndungu, Grace Wangeci (AIM SE):
Synthomer calculates total group GHG emissions as scope 1+Hybrid approach scope 2 emissions</t>
        </r>
      </text>
    </comment>
    <comment ref="D1712" authorId="1" shapeId="0" xr:uid="{81ABDEA8-2C88-EB47-8EAE-B002FA3EF9C2}">
      <text>
        <r>
          <rPr>
            <sz val="11"/>
            <color rgb="FF000000"/>
            <rFont val="Calibri"/>
            <family val="2"/>
            <charset val="1"/>
          </rPr>
          <t>Ndungu, Grace Wangeci (AIM SE):
purchased goods and services=97% of scope 3 emissions</t>
        </r>
      </text>
    </comment>
    <comment ref="D1759" authorId="1" shapeId="0" xr:uid="{36F71B1B-071F-084D-A5D3-8CC2773450F6}">
      <text>
        <r>
          <rPr>
            <sz val="11"/>
            <color rgb="FF000000"/>
            <rFont val="Calibri"/>
            <family val="2"/>
            <charset val="1"/>
          </rPr>
          <t>Ndungu, Grace Wangeci (AIM SE):
Market-based Scope 2 emissions are used</t>
        </r>
      </text>
    </comment>
    <comment ref="E1766" authorId="1" shapeId="0" xr:uid="{01BD060B-0D04-904A-BDEC-C75B631D9202}">
      <text>
        <r>
          <rPr>
            <sz val="11"/>
            <color rgb="FF000000"/>
            <rFont val="Calibri"/>
            <family val="2"/>
            <charset val="1"/>
          </rPr>
          <t>Ndungu, Grace Wangeci (AIM SE):
 “Other categories” includes the following: 6. Business travel; 7. Employee commuting; 9. Downstream transportation and distribution</t>
        </r>
      </text>
    </comment>
    <comment ref="D1775" authorId="1" shapeId="0" xr:uid="{ECF71AF3-AD9F-E44D-818C-D36833131C86}">
      <text>
        <r>
          <rPr>
            <sz val="11"/>
            <color rgb="FF000000"/>
            <rFont val="Calibri"/>
            <family val="2"/>
            <charset val="1"/>
          </rPr>
          <t>Ndungu, Grace Wangeci (AIM SE):
Market-based Scope 2 emissions are used</t>
        </r>
      </text>
    </comment>
    <comment ref="D1784" authorId="1" shapeId="0" xr:uid="{D8D0680F-5BFF-2F4C-A85E-2CF2D57EBB47}">
      <text>
        <r>
          <rPr>
            <sz val="11"/>
            <color rgb="FF000000"/>
            <rFont val="Calibri"/>
            <family val="2"/>
            <charset val="1"/>
          </rPr>
          <t>Ndungu, Grace Wangeci (AIM SE):
Market-based Scope 2 emissions are used</t>
        </r>
      </text>
    </comment>
    <comment ref="D1793" authorId="1" shapeId="0" xr:uid="{EDC811C2-C21A-2D43-B497-AC3593098C35}">
      <text>
        <r>
          <rPr>
            <sz val="11"/>
            <color rgb="FF000000"/>
            <rFont val="Calibri"/>
            <family val="2"/>
            <charset val="1"/>
          </rPr>
          <t>Ndungu, Grace Wangeci (AIM SE):
Market-based Scope 2 emissions are used</t>
        </r>
      </text>
    </comment>
    <comment ref="D1801" authorId="1" shapeId="0" xr:uid="{EE3332BE-7C3F-4C4E-BD64-55FD703AFA8B}">
      <text>
        <r>
          <rPr>
            <sz val="11"/>
            <color rgb="FF000000"/>
            <rFont val="Calibri"/>
            <family val="2"/>
            <charset val="1"/>
          </rPr>
          <t>Ndungu, Grace Wangeci (AIM SE):
Market-based Scope 2 emissions are used</t>
        </r>
      </text>
    </comment>
    <comment ref="E1965" authorId="1" shapeId="0" xr:uid="{24827633-7B98-2B48-B80D-F45BD2ACD7F0}">
      <text>
        <r>
          <rPr>
            <sz val="11"/>
            <color rgb="FF000000"/>
            <rFont val="Calibri"/>
            <family val="2"/>
            <charset val="1"/>
          </rPr>
          <t>Ndungu, Grace Wangeci (AIM SE):
Calculated by multiplying the total amount of main raw materials purchased by the applicable emission intensity</t>
        </r>
      </text>
    </comment>
    <comment ref="E1966" authorId="1" shapeId="0" xr:uid="{9EB3994E-A409-C549-BA39-A387B8DA7921}">
      <text>
        <r>
          <rPr>
            <sz val="11"/>
            <color rgb="FF000000"/>
            <rFont val="Calibri"/>
            <family val="2"/>
            <charset val="1"/>
          </rPr>
          <t xml:space="preserve">Ndungu, Grace Wangeci (AIM SE):
</t>
        </r>
        <r>
          <rPr>
            <sz val="11"/>
            <color rgb="FF000000"/>
            <rFont val="Calibri"/>
            <family val="2"/>
            <charset val="1"/>
          </rPr>
          <t xml:space="preserve"> Calculated by multiplying the purchasing price of capital goods by the applicable emission intensity.</t>
        </r>
      </text>
    </comment>
    <comment ref="E1968" authorId="1" shapeId="0" xr:uid="{C45C4C46-ABD6-4F49-860A-FCF3208F1C26}">
      <text>
        <r>
          <rPr>
            <sz val="11"/>
            <color rgb="FF000000"/>
            <rFont val="Calibri"/>
            <family val="2"/>
            <charset val="1"/>
          </rPr>
          <t xml:space="preserve">Ndungu, Grace Wangeci (AIM SE):
</t>
        </r>
        <r>
          <rPr>
            <sz val="11"/>
            <color rgb="FF000000"/>
            <rFont val="Calibri"/>
            <family val="2"/>
            <charset val="1"/>
          </rPr>
          <t xml:space="preserve">Data collection period: From April to March each year. Only energy sources in Scope 1.
</t>
        </r>
      </text>
    </comment>
    <comment ref="E1969" authorId="1" shapeId="0" xr:uid="{A6A62F1D-DDC0-9847-B743-E3078E121F8A}">
      <text>
        <r>
          <rPr>
            <sz val="11"/>
            <color rgb="FF000000"/>
            <rFont val="Calibri"/>
            <family val="2"/>
            <charset val="1"/>
          </rPr>
          <t>Ndungu, Grace Wangeci (AIM SE):
 Calculated by multiplying the volume of waste disposal by type and the volume of recycling by the applicable emission intensity</t>
        </r>
      </text>
    </comment>
    <comment ref="E1971" authorId="1" shapeId="0" xr:uid="{8CB317E5-E331-DB42-AC9B-B66488FD8B02}">
      <text>
        <r>
          <rPr>
            <sz val="11"/>
            <color rgb="FF000000"/>
            <rFont val="Calibri"/>
            <family val="2"/>
            <charset val="1"/>
          </rPr>
          <t xml:space="preserve">Ndungu, Grace Wangeci (AIM SE):
</t>
        </r>
        <r>
          <rPr>
            <sz val="11"/>
            <color rgb="FF000000"/>
            <rFont val="Calibri"/>
            <family val="2"/>
            <charset val="1"/>
          </rPr>
          <t xml:space="preserve">Calculated by multiplying the number of employees by the number of operating days and the applicable emission intensity
</t>
        </r>
      </text>
    </comment>
    <comment ref="E1975" authorId="1" shapeId="0" xr:uid="{40FC1DB4-37FF-AA49-A6CB-B139D3F06DBB}">
      <text>
        <r>
          <rPr>
            <sz val="11"/>
            <color rgb="FF000000"/>
            <rFont val="Calibri"/>
            <family val="2"/>
            <charset val="1"/>
          </rPr>
          <t xml:space="preserve">Ndungu, Grace Wangeci (AIM SE):
</t>
        </r>
        <r>
          <rPr>
            <sz val="11"/>
            <color rgb="FF000000"/>
            <rFont val="Calibri"/>
            <family val="2"/>
            <charset val="1"/>
          </rPr>
          <t xml:space="preserve">The Scope of reporting is the Graphite Electrode Division. Calculated by multiplying the energy consumption of products and the sales volume by the applicable emission 
</t>
        </r>
        <r>
          <rPr>
            <sz val="11"/>
            <color rgb="FF000000"/>
            <rFont val="Calibri"/>
            <family val="2"/>
            <charset val="1"/>
          </rPr>
          <t>intensity and then adding CO2 emissions generated by the products when in use.</t>
        </r>
      </text>
    </comment>
    <comment ref="E1976" authorId="1" shapeId="0" xr:uid="{8558A573-C42E-7245-87D0-C81AE1EEC6B2}">
      <text>
        <r>
          <rPr>
            <sz val="11"/>
            <color rgb="FF000000"/>
            <rFont val="Calibri"/>
            <family val="2"/>
            <charset val="1"/>
          </rPr>
          <t>Ndungu, Grace Wangeci (AIM SE):
The Scope of reporting is the Graphite Electrode Division.</t>
        </r>
      </text>
    </comment>
    <comment ref="H2045" authorId="1" shapeId="0" xr:uid="{7736C585-FCB4-0C4B-B0DF-944FED4E6CD2}">
      <text>
        <r>
          <rPr>
            <sz val="11"/>
            <color rgb="FF000000"/>
            <rFont val="Calibri"/>
            <family val="2"/>
            <charset val="1"/>
          </rPr>
          <t>Ndungu, Grace Wangeci (AIM SE):
This is data for 2020 in 2021's report</t>
        </r>
      </text>
    </comment>
    <comment ref="H2055" authorId="1" shapeId="0" xr:uid="{3FE124FB-A5B4-B246-96EB-6EBF5500FB0C}">
      <text>
        <r>
          <rPr>
            <sz val="11"/>
            <color rgb="FF000000"/>
            <rFont val="Calibri"/>
            <family val="2"/>
            <charset val="1"/>
          </rPr>
          <t>Ndungu, Grace Wangeci (AIM SE):
this is data for 2019, in a 2020 report published in 2021</t>
        </r>
      </text>
    </comment>
    <comment ref="E2069" authorId="2" shapeId="0" xr:uid="{F0D4B364-029C-3245-9CC4-D1A2A4C9EDF8}">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D2070" authorId="0" shapeId="0" xr:uid="{49FD0419-BBBD-5745-8B8C-0A4AB89D6589}">
      <text>
        <r>
          <rPr>
            <b/>
            <sz val="10"/>
            <color rgb="FF000000"/>
            <rFont val="Tahoma"/>
            <family val="2"/>
          </rPr>
          <t>Michael Tiemann:</t>
        </r>
        <r>
          <rPr>
            <sz val="10"/>
            <color rgb="FF000000"/>
            <rFont val="Tahoma"/>
            <family val="2"/>
          </rPr>
          <t xml:space="preserve">
</t>
        </r>
        <r>
          <rPr>
            <sz val="10"/>
            <color rgb="FF000000"/>
            <rFont val="Tahoma"/>
            <family val="2"/>
          </rPr>
          <t>Manually calcualted from S1+S2+S3 so we can derive production from emissions/intensity</t>
        </r>
      </text>
    </comment>
    <comment ref="E2077" authorId="3" shapeId="0" xr:uid="{75A5425B-2E39-3B44-9F99-D852FB3B6FEF}">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E2083" authorId="4" shapeId="0" xr:uid="{5D185C4F-4850-BD46-8190-623A56B116A1}">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2089" authorId="1" shapeId="0" xr:uid="{B96FC795-3F87-8947-AA82-ED36D2D5310C}">
      <text>
        <r>
          <rPr>
            <sz val="11"/>
            <color rgb="FF000000"/>
            <rFont val="Calibri"/>
            <family val="2"/>
            <charset val="1"/>
          </rPr>
          <t xml:space="preserve">Ndungu, Grace Wangeci (AIM SE):
</t>
        </r>
        <r>
          <rPr>
            <sz val="11"/>
            <color rgb="FF000000"/>
            <rFont val="Calibri"/>
            <family val="2"/>
            <charset val="1"/>
          </rPr>
          <t>without JVs, associates and subsidiaries, the emissions amount to 35.4 million tonnes</t>
        </r>
      </text>
    </comment>
    <comment ref="M2090" authorId="1" shapeId="0" xr:uid="{D8594422-E776-F84D-B64E-7407E027DE01}">
      <text>
        <r>
          <rPr>
            <sz val="11"/>
            <color rgb="FF000000"/>
            <rFont val="Calibri"/>
            <family val="2"/>
            <charset val="1"/>
          </rPr>
          <t>Ndungu, Grace Wangeci (AIM SE):
without JVs, associates and subsidiaries, the emissions amount to 2.7 million tonnes</t>
        </r>
      </text>
    </comment>
    <comment ref="E2091" authorId="5" shapeId="0" xr:uid="{BD468610-1ADA-104F-A44F-310E5E0A79A6}">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2091" authorId="1" shapeId="0" xr:uid="{F0001B44-3A05-6840-B9EE-D343BC7E8B65}">
      <text>
        <r>
          <rPr>
            <sz val="11"/>
            <color rgb="FF000000"/>
            <rFont val="Calibri"/>
            <family val="2"/>
            <charset val="1"/>
          </rPr>
          <t>Ndungu, Grace Wangeci (AIM SE):
Without joint ventures, associates and subsidiaries, the emissions amount to 11.6million tonnes</t>
        </r>
      </text>
    </comment>
    <comment ref="L2097" authorId="1" shapeId="0" xr:uid="{D3A326C4-82DE-E349-BFC0-748DC92D08E6}">
      <text>
        <r>
          <rPr>
            <sz val="11"/>
            <color rgb="FF000000"/>
            <rFont val="Calibri"/>
            <family val="2"/>
            <charset val="1"/>
          </rPr>
          <t xml:space="preserve">Ndungu, Grace Wangeci (AIM SE):
</t>
        </r>
        <r>
          <rPr>
            <sz val="11"/>
            <color rgb="FF000000"/>
            <rFont val="Calibri"/>
            <family val="2"/>
            <charset val="1"/>
          </rPr>
          <t>without JVs, associates and subsidiaries, emissions amount to 25.6 million tonnes</t>
        </r>
      </text>
    </comment>
    <comment ref="L2098" authorId="1" shapeId="0" xr:uid="{9515841C-DAE4-EE48-BBE2-E195D8CB5ABA}">
      <text>
        <r>
          <rPr>
            <sz val="11"/>
            <color rgb="FF000000"/>
            <rFont val="Calibri"/>
            <family val="2"/>
            <charset val="1"/>
          </rPr>
          <t>Ndungu, Grace Wangeci (AIM SE):
without JVs, associates and subsidiaries, emissions amount to 2.6 million tonnes</t>
        </r>
      </text>
    </comment>
    <comment ref="E2099" authorId="6" shapeId="0" xr:uid="{D939CD8D-C6EB-3B48-B527-A7354A22DFAB}">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L2099" authorId="1" shapeId="0" xr:uid="{4F6EB259-D4A3-B048-9EC5-2A7A9285703F}">
      <text>
        <r>
          <rPr>
            <sz val="11"/>
            <color rgb="FF000000"/>
            <rFont val="Calibri"/>
            <family val="2"/>
            <charset val="1"/>
          </rPr>
          <t xml:space="preserve">Ndungu, Grace Wangeci (AIM SE):
</t>
        </r>
        <r>
          <rPr>
            <sz val="11"/>
            <color rgb="FF000000"/>
            <rFont val="Calibri"/>
            <family val="2"/>
            <charset val="1"/>
          </rPr>
          <t>without JVs, associates and subsidiaries, emissions amount to 11.0 million tonnes</t>
        </r>
      </text>
    </comment>
    <comment ref="F2105" authorId="0" shapeId="0" xr:uid="{6CD2A977-D365-7E4E-837B-B7AEA848FBDD}">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2108" authorId="7" shapeId="0" xr:uid="{967899ED-2DDF-184D-B986-8F48A2BCE0D4}">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E2110" authorId="0" shapeId="0" xr:uid="{EE157C34-19C3-5648-8F72-E20C957632FA}">
      <text>
        <r>
          <rPr>
            <b/>
            <sz val="10"/>
            <color rgb="FF000000"/>
            <rFont val="Tahoma"/>
            <family val="2"/>
          </rPr>
          <t>Michael Tiemann:</t>
        </r>
        <r>
          <rPr>
            <sz val="10"/>
            <color rgb="FF000000"/>
            <rFont val="Tahoma"/>
            <family val="2"/>
          </rPr>
          <t xml:space="preserve">
</t>
        </r>
        <r>
          <rPr>
            <sz val="10"/>
            <color rgb="FF000000"/>
            <rFont val="Tahoma"/>
            <family val="2"/>
          </rPr>
          <t>Report indicates S3 @ &lt; 10% total emssions.  We estimate 10% therefore.</t>
        </r>
      </text>
    </comment>
    <comment ref="D2111" authorId="1" shapeId="0" xr:uid="{29AD39F9-A42A-8744-B73C-9F67AD2F9FC8}">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F2115" authorId="0" shapeId="0" xr:uid="{FC53FB80-5297-7942-AB84-25C31E1B44F1}">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2118" authorId="8" shapeId="0" xr:uid="{A5D736DF-B53D-B949-A25C-17637C00B471}">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2121" authorId="1" shapeId="0" xr:uid="{04D12C5D-AB2E-CD41-A279-8D1A5BD31A24}">
      <text>
        <r>
          <rPr>
            <sz val="11"/>
            <color rgb="FF000000"/>
            <rFont val="Calibri"/>
            <family val="2"/>
            <charset val="1"/>
          </rPr>
          <t xml:space="preserve">Ndungu, Grace Wangeci (AIM SE):
no production volumes available, only sales production volumes </t>
        </r>
      </text>
    </comment>
    <comment ref="F2125" authorId="0" shapeId="0" xr:uid="{F700C3BF-A065-A64D-916E-10C7608A61D0}">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2128" authorId="9" shapeId="0" xr:uid="{61F40D2A-049D-0242-8B58-656A98694B1C}">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2131" authorId="1" shapeId="0" xr:uid="{959D1179-C61C-BA48-A752-63CB87221A92}">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E2142" authorId="10" shapeId="0" xr:uid="{5870F9B0-5B60-9F48-A6BB-0E2E8C6E693D}">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2149" authorId="11" shapeId="0" xr:uid="{4034B1D1-FFA3-4842-B201-94EC34289DD0}">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2155" authorId="12" shapeId="0" xr:uid="{32B31AF7-9BA3-B943-A839-EA0FAD6E2B2B}">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D2168" authorId="13" shapeId="0" xr:uid="{A52FF204-0C49-C14D-8182-692BB9869AE6}">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2175" authorId="14" shapeId="0" xr:uid="{EEE48545-2E4A-9840-92C4-E7CD91F51052}">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2182" authorId="15" shapeId="0" xr:uid="{51D2CF1C-F00D-EA4B-A00E-4C309AC07DF3}">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O2204" authorId="0" shapeId="0" xr:uid="{7F04DD24-D2FA-104E-80B1-68087A4F125A}">
      <text>
        <r>
          <rPr>
            <sz val="11"/>
            <color rgb="FF000000"/>
            <rFont val="+mn-lt"/>
            <charset val="1"/>
          </rPr>
          <t>Ndungu, Grace Wangeci (AIM SE):</t>
        </r>
        <r>
          <rPr>
            <sz val="11"/>
            <color rgb="FF000000"/>
            <rFont val="+mn-lt"/>
            <charset val="1"/>
          </rPr>
          <t xml:space="preserve">
</t>
        </r>
        <r>
          <rPr>
            <sz val="11"/>
            <color rgb="FF000000"/>
            <rFont val="+mn-lt"/>
            <charset val="1"/>
          </rPr>
          <t>In the 2020 Annual Report (AR), there is a statement indicating a different figure for 2020 specific net CO2 emissions to be 544 kgCO2/t</t>
        </r>
      </text>
    </comment>
    <comment ref="N2211" authorId="0" shapeId="0" xr:uid="{6BD6F00A-92D8-644B-8433-4A8EAFB26224}">
      <text>
        <r>
          <rPr>
            <b/>
            <sz val="10"/>
            <color rgb="FF000000"/>
            <rFont val="Tahoma"/>
            <family val="2"/>
          </rPr>
          <t>Michael Tiemann:</t>
        </r>
        <r>
          <rPr>
            <sz val="10"/>
            <color rgb="FF000000"/>
            <rFont val="Tahoma"/>
            <family val="2"/>
          </rPr>
          <t xml:space="preserve">
</t>
        </r>
        <r>
          <rPr>
            <sz val="10"/>
            <color rgb="FF000000"/>
            <rFont val="Tahoma"/>
            <family val="2"/>
          </rPr>
          <t xml:space="preserve">Estimated
</t>
        </r>
      </text>
    </comment>
    <comment ref="P2214" authorId="1" shapeId="0" xr:uid="{623D5767-1EDD-2E46-9065-D7E3D4E58021}">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A2222" authorId="1" shapeId="0" xr:uid="{AB1BF49B-4111-534E-B499-D081500A5530}">
      <text>
        <r>
          <rPr>
            <sz val="11"/>
            <color rgb="FF000000"/>
            <rFont val="Calibri"/>
            <family val="2"/>
            <charset val="1"/>
          </rPr>
          <t xml:space="preserve">Ndungu, Grace Wangeci (AIM SE):
</t>
        </r>
        <r>
          <rPr>
            <sz val="11"/>
            <color rgb="FF000000"/>
            <rFont val="Calibri"/>
            <family val="2"/>
            <charset val="1"/>
          </rPr>
          <t>No sustainability data is available</t>
        </r>
      </text>
    </comment>
    <comment ref="B2222" authorId="1" shapeId="0" xr:uid="{A08DEC4B-15D1-4744-BD69-D9C99BA28463}">
      <text>
        <r>
          <rPr>
            <sz val="11"/>
            <color rgb="FF000000"/>
            <rFont val="Calibri"/>
            <family val="2"/>
            <charset val="1"/>
          </rPr>
          <t xml:space="preserve">Ndungu, Grace Wangeci (AIM SE):
</t>
        </r>
        <r>
          <rPr>
            <sz val="11"/>
            <color rgb="FF000000"/>
            <rFont val="Calibri"/>
            <family val="2"/>
            <charset val="1"/>
          </rPr>
          <t>No sustainability data is available</t>
        </r>
      </text>
    </comment>
    <comment ref="C2222" authorId="1" shapeId="0" xr:uid="{EEA89178-9847-DD45-9C2F-3CC171658181}">
      <text>
        <r>
          <rPr>
            <sz val="11"/>
            <color rgb="FF000000"/>
            <rFont val="Calibri"/>
            <family val="2"/>
            <charset val="1"/>
          </rPr>
          <t xml:space="preserve">Ndungu, Grace Wangeci (AIM SE):
</t>
        </r>
        <r>
          <rPr>
            <sz val="11"/>
            <color rgb="FF000000"/>
            <rFont val="Calibri"/>
            <family val="2"/>
            <charset val="1"/>
          </rPr>
          <t>No sustainability data is available</t>
        </r>
      </text>
    </comment>
    <comment ref="N2225" authorId="0" shapeId="0" xr:uid="{2C4CFC3E-A41F-904B-B165-A4C69F7D84F6}">
      <text>
        <r>
          <rPr>
            <b/>
            <sz val="10"/>
            <color rgb="FF000000"/>
            <rFont val="Tahoma"/>
            <family val="2"/>
          </rPr>
          <t>Michael Tiemann:</t>
        </r>
        <r>
          <rPr>
            <sz val="10"/>
            <color rgb="FF000000"/>
            <rFont val="Tahoma"/>
            <family val="2"/>
          </rPr>
          <t xml:space="preserve">
</t>
        </r>
        <r>
          <rPr>
            <sz val="10"/>
            <color rgb="FF000000"/>
            <rFont val="Tahoma"/>
            <family val="2"/>
          </rPr>
          <t>Estimated</t>
        </r>
      </text>
    </comment>
    <comment ref="P2236" authorId="1" shapeId="0" xr:uid="{374D603E-78D1-2D47-876A-46871EE6963A}">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D2254" authorId="1" shapeId="0" xr:uid="{65724132-08CC-F94B-AF88-485EA9C3FD54}">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D2271" authorId="1" shapeId="0" xr:uid="{77A29678-5967-554C-9521-666A8DB1B48E}">
      <text>
        <r>
          <rPr>
            <sz val="11"/>
            <color rgb="FF000000"/>
            <rFont val="Calibri"/>
            <family val="2"/>
            <charset val="1"/>
          </rPr>
          <t>Ndungu, Grace Wangeci (AIM SE):
Production figures have been pulled from the Annual Reports</t>
        </r>
      </text>
    </comment>
    <comment ref="D2288" authorId="1" shapeId="0" xr:uid="{5B421CDD-EAD5-AE48-8788-3101259BFDC5}">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D2302" authorId="1" shapeId="0" xr:uid="{E32F267D-95C3-9B4C-95D2-970019F7F624}">
      <text>
        <r>
          <rPr>
            <sz val="11"/>
            <color rgb="FF000000"/>
            <rFont val="Calibri"/>
            <family val="2"/>
            <charset val="1"/>
          </rPr>
          <t>Ndungu, Grace Wangeci (AIM SE):
Production figures have been pulled from the Annual Reports</t>
        </r>
      </text>
    </comment>
    <comment ref="D2316" authorId="1" shapeId="0" xr:uid="{3C72EBF5-51A1-D443-9D60-70B19AEC63DC}">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E2363" authorId="1" shapeId="0" xr:uid="{E3596029-BD29-B641-94BE-BCCA8447A3AE}">
      <text>
        <r>
          <rPr>
            <b/>
            <sz val="9"/>
            <color indexed="81"/>
            <rFont val="Tahoma"/>
            <family val="2"/>
          </rPr>
          <t>Ndungu, Grace Wangeci (AIM SE):</t>
        </r>
        <r>
          <rPr>
            <sz val="9"/>
            <color indexed="81"/>
            <rFont val="Tahoma"/>
            <family val="2"/>
          </rPr>
          <t xml:space="preserve">
By Airplane
</t>
        </r>
      </text>
    </comment>
    <comment ref="E2382" authorId="1" shapeId="0" xr:uid="{4BDE1ACC-8BB1-6C41-B386-FF36A1CA75F3}">
      <text>
        <r>
          <rPr>
            <b/>
            <sz val="9"/>
            <color indexed="81"/>
            <rFont val="Tahoma"/>
            <family val="2"/>
          </rPr>
          <t>Ndungu, Grace Wangeci (AIM SE):</t>
        </r>
        <r>
          <rPr>
            <sz val="9"/>
            <color indexed="81"/>
            <rFont val="Tahoma"/>
            <family val="2"/>
          </rPr>
          <t xml:space="preserve">
By Airplane
</t>
        </r>
      </text>
    </comment>
    <comment ref="E2443" authorId="1" shapeId="0" xr:uid="{2893F8C2-7D76-F046-B7FA-E0697ACACBBE}">
      <text>
        <r>
          <rPr>
            <b/>
            <sz val="9"/>
            <color rgb="FF000000"/>
            <rFont val="Tahoma"/>
            <family val="2"/>
          </rPr>
          <t>Ndungu, Grace Wangeci (AIM SE):</t>
        </r>
        <r>
          <rPr>
            <sz val="9"/>
            <color rgb="FF000000"/>
            <rFont val="Tahoma"/>
            <family val="2"/>
          </rPr>
          <t xml:space="preserve">
</t>
        </r>
        <r>
          <rPr>
            <sz val="9"/>
            <color rgb="FF000000"/>
            <rFont val="Tahoma"/>
            <family val="2"/>
          </rPr>
          <t xml:space="preserve">this figure seems to be a summation of E85 and E87
</t>
        </r>
      </text>
    </comment>
    <comment ref="F2443" authorId="1" shapeId="0" xr:uid="{58C20AAD-384F-B749-9A4F-7B72DFAAD2F3}">
      <text>
        <r>
          <rPr>
            <b/>
            <sz val="9"/>
            <color rgb="FF000000"/>
            <rFont val="Tahoma"/>
            <family val="2"/>
          </rPr>
          <t>Ndungu, Grace Wangeci (AIM SE):</t>
        </r>
        <r>
          <rPr>
            <sz val="9"/>
            <color rgb="FF000000"/>
            <rFont val="Tahoma"/>
            <family val="2"/>
          </rPr>
          <t xml:space="preserve">
</t>
        </r>
        <r>
          <rPr>
            <sz val="9"/>
            <color rgb="FF000000"/>
            <rFont val="Tahoma"/>
            <family val="2"/>
          </rPr>
          <t xml:space="preserve">this figure seems to be a summation of E85 and E87
</t>
        </r>
      </text>
    </comment>
    <comment ref="K2460" authorId="1" shapeId="0" xr:uid="{24FCAAD8-D2D7-0D41-A325-158BDCE40C2E}">
      <text>
        <r>
          <rPr>
            <b/>
            <sz val="9"/>
            <color indexed="81"/>
            <rFont val="Tahoma"/>
            <family val="2"/>
          </rPr>
          <t>Ndungu, Grace Wangeci (AIM SE):</t>
        </r>
        <r>
          <rPr>
            <sz val="9"/>
            <color indexed="81"/>
            <rFont val="Tahoma"/>
            <family val="2"/>
          </rPr>
          <t xml:space="preserve">
the figure given in SR does not add up the figures above and the correct figure should be 71,410</t>
        </r>
      </text>
    </comment>
    <comment ref="O2587" authorId="1" shapeId="0" xr:uid="{84B9165A-F898-B54A-8A86-DEEF98CF3243}">
      <text>
        <r>
          <rPr>
            <b/>
            <sz val="9"/>
            <color indexed="81"/>
            <rFont val="Tahoma"/>
            <family val="2"/>
          </rPr>
          <t>Ndungu, Grace Wangeci (AIM SE):</t>
        </r>
        <r>
          <rPr>
            <sz val="9"/>
            <color indexed="81"/>
            <rFont val="Tahoma"/>
            <family val="2"/>
          </rPr>
          <t xml:space="preserve">
in the write up it says S3 accounts for 93.76% but the pie chart indicates 95.05%.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Tiemann</author>
    <author>None</author>
    <author>Ndungu, Grace Wangeci (AIM SE)</author>
    <author>tc={AA249BEA-77A3-B546-9F37-A253C6367C06}</author>
    <author>tc={CA8C9C04-1742-E447-9A4E-9ACBCF0FD8F5}</author>
    <author>tc={6D9409B0-DC83-9443-B5FA-E2465B7C3335}</author>
    <author>tc={ADA6A937-95AA-BC43-9A9D-55C15946EBFC}</author>
    <author>tc={26C2080D-C9E2-7442-A759-886EF52FFC74}</author>
  </authors>
  <commentList>
    <comment ref="K18" authorId="0" shapeId="0" xr:uid="{9FC38F1C-4306-B745-AE3D-81782631510A}">
      <text>
        <r>
          <rPr>
            <b/>
            <sz val="10"/>
            <color rgb="FF000000"/>
            <rFont val="Tahoma"/>
            <family val="2"/>
          </rPr>
          <t>Michael Tiemann:</t>
        </r>
        <r>
          <rPr>
            <sz val="10"/>
            <color rgb="FF000000"/>
            <rFont val="Tahoma"/>
            <family val="2"/>
          </rPr>
          <t xml:space="preserve">
</t>
        </r>
        <r>
          <rPr>
            <sz val="10"/>
            <color rgb="FF000000"/>
            <rFont val="Tahoma"/>
            <family val="2"/>
          </rPr>
          <t>Very ambiguous whether this is tons of raw steel or alloys or what!</t>
        </r>
      </text>
    </comment>
    <comment ref="G21" authorId="1" shapeId="0" xr:uid="{00000000-0006-0000-0200-000002000000}">
      <text>
        <r>
          <rPr>
            <sz val="11"/>
            <color rgb="FF000000"/>
            <rFont val="Calibri"/>
            <family val="2"/>
            <charset val="1"/>
          </rPr>
          <t xml:space="preserve">Michael Tiemann:
</t>
        </r>
        <r>
          <rPr>
            <sz val="11"/>
            <color rgb="FF000000"/>
            <rFont val="Calibri"/>
            <family val="2"/>
            <charset val="1"/>
          </rPr>
          <t>Yes: S1+S3</t>
        </r>
      </text>
    </comment>
    <comment ref="G23" authorId="0" shapeId="0" xr:uid="{C4B44B23-D757-384B-A653-7950B9AF4546}">
      <text>
        <r>
          <rPr>
            <b/>
            <sz val="10"/>
            <color rgb="FF000000"/>
            <rFont val="Tahoma"/>
            <family val="2"/>
          </rPr>
          <t>Michael Tiemann:</t>
        </r>
        <r>
          <rPr>
            <sz val="10"/>
            <color rgb="FF000000"/>
            <rFont val="Tahoma"/>
            <family val="2"/>
          </rPr>
          <t xml:space="preserve">
</t>
        </r>
        <r>
          <rPr>
            <sz val="10"/>
            <color rgb="FF000000"/>
            <rFont val="Tahoma"/>
            <family val="2"/>
          </rPr>
          <t xml:space="preserve">With no S2 data, make this an S1-only target
</t>
        </r>
      </text>
    </comment>
    <comment ref="G31" authorId="0" shapeId="0" xr:uid="{7A167E4D-700A-9E48-8EB4-760B3FF02B01}">
      <text>
        <r>
          <rPr>
            <b/>
            <sz val="10"/>
            <color rgb="FF000000"/>
            <rFont val="Tahoma"/>
            <family val="2"/>
          </rPr>
          <t>Michael Tiemann:</t>
        </r>
        <r>
          <rPr>
            <sz val="10"/>
            <color rgb="FF000000"/>
            <rFont val="Tahoma"/>
            <family val="2"/>
          </rPr>
          <t xml:space="preserve">
</t>
        </r>
        <r>
          <rPr>
            <sz val="10"/>
            <color rgb="FF000000"/>
            <rFont val="Tahoma"/>
            <family val="2"/>
          </rPr>
          <t>Upstream suppliers</t>
        </r>
      </text>
    </comment>
    <comment ref="J31" authorId="0" shapeId="0" xr:uid="{EA2BA6D7-E016-BF46-86FC-DC8307D652C0}">
      <text>
        <r>
          <rPr>
            <b/>
            <sz val="10"/>
            <color rgb="FF000000"/>
            <rFont val="Tahoma"/>
            <family val="2"/>
          </rPr>
          <t>Michael Tiemann:</t>
        </r>
        <r>
          <rPr>
            <sz val="10"/>
            <color rgb="FF000000"/>
            <rFont val="Tahoma"/>
            <family val="2"/>
          </rPr>
          <t xml:space="preserve">
</t>
        </r>
        <r>
          <rPr>
            <sz val="10"/>
            <color rgb="FF000000"/>
            <rFont val="Tahoma"/>
            <family val="2"/>
          </rPr>
          <t xml:space="preserve">Made up number assuming upstream suppliers about as efficeint as DTE Gas itself
</t>
        </r>
      </text>
    </comment>
    <comment ref="G33" authorId="0" shapeId="0" xr:uid="{C17A6427-AA45-224B-A5CD-35589F28F466}">
      <text>
        <r>
          <rPr>
            <b/>
            <sz val="10"/>
            <color rgb="FF000000"/>
            <rFont val="Tahoma"/>
            <family val="2"/>
          </rPr>
          <t>Michael Tiemann:</t>
        </r>
        <r>
          <rPr>
            <sz val="10"/>
            <color rgb="FF000000"/>
            <rFont val="Tahoma"/>
            <family val="2"/>
          </rPr>
          <t xml:space="preserve">
</t>
        </r>
        <r>
          <rPr>
            <sz val="10"/>
            <color rgb="FF000000"/>
            <rFont val="Tahoma"/>
            <family val="2"/>
          </rPr>
          <t>Customer use</t>
        </r>
      </text>
    </comment>
    <comment ref="J33" authorId="0" shapeId="0" xr:uid="{746CA5AD-6843-454F-86ED-723712A1F654}">
      <text>
        <r>
          <rPr>
            <b/>
            <sz val="10"/>
            <color rgb="FF000000"/>
            <rFont val="Tahoma"/>
            <family val="2"/>
          </rPr>
          <t>Michael Tiemann:</t>
        </r>
        <r>
          <rPr>
            <sz val="10"/>
            <color rgb="FF000000"/>
            <rFont val="Tahoma"/>
            <family val="2"/>
          </rPr>
          <t xml:space="preserve">
</t>
        </r>
        <r>
          <rPr>
            <sz val="10"/>
            <color rgb="FF000000"/>
            <rFont val="Tahoma"/>
            <family val="2"/>
          </rPr>
          <t>Target based on 2005 but 2020 is only data easily available.</t>
        </r>
      </text>
    </comment>
    <comment ref="I37" authorId="0" shapeId="0" xr:uid="{E23A39EF-1A00-E44A-8B07-37552914876B}">
      <text>
        <r>
          <rPr>
            <b/>
            <sz val="10"/>
            <color rgb="FF000000"/>
            <rFont val="Tahoma"/>
            <family val="2"/>
          </rPr>
          <t>Michael Tiemann:</t>
        </r>
        <r>
          <rPr>
            <sz val="10"/>
            <color rgb="FF000000"/>
            <rFont val="Tahoma"/>
            <family val="2"/>
          </rPr>
          <t xml:space="preserve">
</t>
        </r>
        <r>
          <rPr>
            <sz val="10"/>
            <color rgb="FF000000"/>
            <rFont val="Tahoma"/>
            <family val="2"/>
          </rPr>
          <t>Really 2021...</t>
        </r>
      </text>
    </comment>
    <comment ref="G48" authorId="0" shapeId="0" xr:uid="{62367D63-C9BA-0A4A-BF86-AAD57736C9F5}">
      <text>
        <r>
          <rPr>
            <b/>
            <sz val="10"/>
            <color rgb="FF000000"/>
            <rFont val="Tahoma"/>
            <family val="2"/>
          </rPr>
          <t>Michael Tiemann:</t>
        </r>
        <r>
          <rPr>
            <sz val="10"/>
            <color rgb="FF000000"/>
            <rFont val="Tahoma"/>
            <family val="2"/>
          </rPr>
          <t xml:space="preserve">
</t>
        </r>
        <r>
          <rPr>
            <sz val="10"/>
            <color rgb="FF000000"/>
            <rFont val="Tahoma"/>
            <family val="2"/>
          </rPr>
          <t xml:space="preserve">These should have specific S3 categories: S3.3 and S3.11
</t>
        </r>
        <r>
          <rPr>
            <sz val="10"/>
            <color rgb="FF000000"/>
            <rFont val="Tahoma"/>
            <family val="2"/>
          </rPr>
          <t>Also, S1+S2+S3 should be S1+S3 (but S2 is in the noise, so OK)</t>
        </r>
      </text>
    </comment>
    <comment ref="G58" authorId="0" shapeId="0" xr:uid="{D38EA4C1-E72A-8C48-BC7D-B15C656DEAEE}">
      <text>
        <r>
          <rPr>
            <b/>
            <sz val="10"/>
            <color rgb="FF000000"/>
            <rFont val="Tahoma"/>
            <family val="2"/>
          </rPr>
          <t>Michael Tiemann:</t>
        </r>
        <r>
          <rPr>
            <sz val="10"/>
            <color rgb="FF000000"/>
            <rFont val="Tahoma"/>
            <family val="2"/>
          </rPr>
          <t xml:space="preserve">
</t>
        </r>
        <r>
          <rPr>
            <sz val="10"/>
            <color rgb="FF000000"/>
            <rFont val="Tahoma"/>
            <family val="2"/>
          </rPr>
          <t>With no S3 data, make this an S1+S2 only target</t>
        </r>
      </text>
    </comment>
    <comment ref="G100" authorId="0" shapeId="0" xr:uid="{EA22A833-69CB-9C4E-B8C2-81229FDB8632}">
      <text>
        <r>
          <rPr>
            <b/>
            <sz val="10"/>
            <color rgb="FF000000"/>
            <rFont val="Tahoma"/>
            <family val="2"/>
          </rPr>
          <t>Michael Tiemann:</t>
        </r>
        <r>
          <rPr>
            <sz val="10"/>
            <color rgb="FF000000"/>
            <rFont val="Tahoma"/>
            <family val="2"/>
          </rPr>
          <t xml:space="preserve">
</t>
        </r>
        <r>
          <rPr>
            <sz val="10"/>
            <color rgb="FF000000"/>
            <rFont val="Tahoma"/>
            <family val="2"/>
          </rPr>
          <t>gas: use of sold products</t>
        </r>
      </text>
    </comment>
    <comment ref="G105" authorId="0" shapeId="0" xr:uid="{E5BDDE4A-ED9B-1942-8733-935C1F2DC2F7}">
      <text>
        <r>
          <rPr>
            <b/>
            <sz val="10"/>
            <color rgb="FF000000"/>
            <rFont val="Tahoma"/>
            <family val="2"/>
          </rPr>
          <t>Michael Tiemann:</t>
        </r>
        <r>
          <rPr>
            <sz val="10"/>
            <color rgb="FF000000"/>
            <rFont val="Tahoma"/>
            <family val="2"/>
          </rPr>
          <t xml:space="preserve">
</t>
        </r>
        <r>
          <rPr>
            <sz val="10"/>
            <color rgb="FF000000"/>
            <rFont val="Tahoma"/>
            <family val="2"/>
          </rPr>
          <t>With no S3 data (yet), make this an S1+S2 target.</t>
        </r>
      </text>
    </comment>
    <comment ref="I107" authorId="0" shapeId="0" xr:uid="{97D6A062-757D-A443-AAB7-6BE1E22D9AD2}">
      <text>
        <r>
          <rPr>
            <b/>
            <sz val="10"/>
            <color rgb="FF000000"/>
            <rFont val="Tahoma"/>
            <family val="2"/>
          </rPr>
          <t>Michael Tiemann:</t>
        </r>
        <r>
          <rPr>
            <sz val="10"/>
            <color rgb="FF000000"/>
            <rFont val="Tahoma"/>
            <family val="2"/>
          </rPr>
          <t xml:space="preserve">
</t>
        </r>
        <r>
          <rPr>
            <sz val="10"/>
            <color rgb="FF000000"/>
            <rFont val="Tahoma"/>
            <family val="2"/>
          </rPr>
          <t>Baseline = Average of 2017-2019</t>
        </r>
      </text>
    </comment>
    <comment ref="A151" authorId="1" shapeId="0" xr:uid="{00000000-0006-0000-0200-00000B000000}">
      <text>
        <r>
          <rPr>
            <sz val="11"/>
            <color rgb="FF000000"/>
            <rFont val="Calibri"/>
            <family val="2"/>
            <charset val="1"/>
          </rPr>
          <t xml:space="preserve">Michael Tiemann:
</t>
        </r>
        <r>
          <rPr>
            <sz val="11"/>
            <color rgb="FF000000"/>
            <rFont val="Calibri"/>
            <family val="2"/>
            <charset val="1"/>
          </rPr>
          <t>State of Maine has stated netzero 2050 goal.  Targets inferred accordingly.</t>
        </r>
      </text>
    </comment>
    <comment ref="E155" authorId="1" shapeId="0" xr:uid="{00000000-0006-0000-0200-00000C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Announced March 2022</t>
        </r>
      </text>
    </comment>
    <comment ref="M155" authorId="1" shapeId="0" xr:uid="{00000000-0006-0000-0200-00000D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Just a guess</t>
        </r>
      </text>
    </comment>
    <comment ref="G156" authorId="0" shapeId="0" xr:uid="{342BCC09-D43A-2A4A-8D03-E23204A27793}">
      <text>
        <r>
          <rPr>
            <b/>
            <sz val="10"/>
            <color rgb="FF000000"/>
            <rFont val="Tahoma"/>
            <family val="2"/>
          </rPr>
          <t>Michael Tiemann:</t>
        </r>
        <r>
          <rPr>
            <sz val="10"/>
            <color rgb="FF000000"/>
            <rFont val="Tahoma"/>
            <family val="2"/>
          </rPr>
          <t xml:space="preserve">
</t>
        </r>
        <r>
          <rPr>
            <sz val="10"/>
            <color rgb="FF000000"/>
            <rFont val="Tahoma"/>
            <family val="2"/>
          </rPr>
          <t>Should be just S1+S3.3 (purchased power)</t>
        </r>
      </text>
    </comment>
    <comment ref="K161" authorId="0" shapeId="0" xr:uid="{1203148C-1255-5D4A-B9C5-A5D6F49D3491}">
      <text>
        <r>
          <rPr>
            <b/>
            <sz val="10"/>
            <color rgb="FF000000"/>
            <rFont val="Tahoma"/>
            <family val="2"/>
          </rPr>
          <t>Michael Tiemann:</t>
        </r>
        <r>
          <rPr>
            <sz val="10"/>
            <color rgb="FF000000"/>
            <rFont val="Tahoma"/>
            <family val="2"/>
          </rPr>
          <t xml:space="preserve">
</t>
        </r>
        <r>
          <rPr>
            <sz val="10"/>
            <color rgb="FF000000"/>
            <rFont val="Tahoma"/>
            <family val="2"/>
          </rPr>
          <t>Actually EUR EBITDA, not EUR REVENUE, but do any benchmarks work with income intensity?</t>
        </r>
      </text>
    </comment>
    <comment ref="J162" authorId="2" shapeId="0" xr:uid="{5E022F44-030D-2C47-BD55-82618075530C}">
      <text>
        <r>
          <rPr>
            <sz val="11"/>
            <color rgb="FF000000"/>
            <rFont val="Calibri"/>
            <family val="2"/>
            <charset val="1"/>
          </rPr>
          <t xml:space="preserve">Ndungu, Grace Wangeci (AIM SE):
</t>
        </r>
        <r>
          <rPr>
            <sz val="11"/>
            <color rgb="FF000000"/>
            <rFont val="Calibri"/>
            <family val="2"/>
            <charset val="1"/>
          </rPr>
          <t>2016 baseline was corrected from 1.57 to 1.66 million t CO2e</t>
        </r>
      </text>
    </comment>
    <comment ref="J163" authorId="2" shapeId="0" xr:uid="{2779A73C-0F96-5245-A980-D391DE5CCA1F}">
      <text>
        <r>
          <rPr>
            <sz val="11"/>
            <color rgb="FF000000"/>
            <rFont val="Calibri"/>
            <family val="2"/>
            <charset val="1"/>
          </rPr>
          <t xml:space="preserve">Ndungu, Grace Wangeci (AIM SE):
</t>
        </r>
        <r>
          <rPr>
            <sz val="11"/>
            <color rgb="FF000000"/>
            <rFont val="Calibri"/>
            <family val="2"/>
            <charset val="1"/>
          </rPr>
          <t xml:space="preserve">No intensity baseline figures
</t>
        </r>
        <r>
          <rPr>
            <sz val="11"/>
            <color rgb="FF000000"/>
            <rFont val="Calibri"/>
            <family val="2"/>
            <charset val="1"/>
          </rPr>
          <t>Michael Tiemann: educated guess based on other data in report</t>
        </r>
      </text>
    </comment>
    <comment ref="G171" authorId="2" shapeId="0" xr:uid="{E28F811A-92F7-C342-8B02-C0708CA83FD0}">
      <text>
        <r>
          <rPr>
            <sz val="11"/>
            <color rgb="FF000000"/>
            <rFont val="Calibri"/>
            <family val="2"/>
            <charset val="1"/>
          </rPr>
          <t xml:space="preserve">Ndungu, Grace Wangeci (AIM SE):
</t>
        </r>
        <r>
          <rPr>
            <sz val="11"/>
            <color rgb="FF000000"/>
            <rFont val="Calibri"/>
            <family val="2"/>
            <charset val="1"/>
          </rPr>
          <t xml:space="preserve"> Arkema’s target takes into account all greenhouse gas emissions from its industrial 
</t>
        </r>
        <r>
          <rPr>
            <sz val="11"/>
            <color rgb="FF000000"/>
            <rFont val="Calibri"/>
            <family val="2"/>
            <charset val="1"/>
          </rPr>
          <t xml:space="preserve">activities, meaning direct emissions from production (known as “scope 1” and those 
</t>
        </r>
        <r>
          <rPr>
            <sz val="11"/>
            <color rgb="FF000000"/>
            <rFont val="Calibri"/>
            <family val="2"/>
            <charset val="1"/>
          </rPr>
          <t xml:space="preserve">due to substances that deplete the ozone layer - ODS), as well as indirect emissions 
</t>
        </r>
        <r>
          <rPr>
            <sz val="11"/>
            <color rgb="FF000000"/>
            <rFont val="Calibri"/>
            <family val="2"/>
            <charset val="1"/>
          </rPr>
          <t xml:space="preserve">from energy purchasing (“scope 2”)
</t>
        </r>
        <r>
          <rPr>
            <sz val="11"/>
            <color rgb="FF000000"/>
            <rFont val="Calibri"/>
            <family val="2"/>
            <charset val="1"/>
          </rPr>
          <t>Michael Tiemann: we don't track ODS or pollution as GHG.</t>
        </r>
      </text>
    </comment>
    <comment ref="G174" authorId="0" shapeId="0" xr:uid="{91BE3094-1A37-AF46-AE99-E47B1423F73E}">
      <text>
        <r>
          <rPr>
            <b/>
            <sz val="10"/>
            <color rgb="FF000000"/>
            <rFont val="Tahoma"/>
            <family val="2"/>
          </rPr>
          <t>Michael Tiemann:</t>
        </r>
        <r>
          <rPr>
            <sz val="10"/>
            <color rgb="FF000000"/>
            <rFont val="Tahoma"/>
            <family val="2"/>
          </rPr>
          <t xml:space="preserve">
</t>
        </r>
        <r>
          <rPr>
            <sz val="10"/>
            <color rgb="FF000000"/>
            <rFont val="Tahoma"/>
            <family val="2"/>
          </rPr>
          <t xml:space="preserve"> (categories 3,4,5,9)</t>
        </r>
      </text>
    </comment>
    <comment ref="J174" authorId="0" shapeId="0" xr:uid="{5EA6C693-9E84-8C42-824B-C1A5A5DA3C18}">
      <text>
        <r>
          <rPr>
            <b/>
            <sz val="10"/>
            <color rgb="FF000000"/>
            <rFont val="Tahoma"/>
            <family val="2"/>
          </rPr>
          <t>Michael Tiemann:</t>
        </r>
        <r>
          <rPr>
            <sz val="10"/>
            <color rgb="FF000000"/>
            <rFont val="Tahoma"/>
            <family val="2"/>
          </rPr>
          <t xml:space="preserve">
</t>
        </r>
        <r>
          <rPr>
            <sz val="10"/>
            <color rgb="FF000000"/>
            <rFont val="Tahoma"/>
            <family val="2"/>
          </rPr>
          <t>Made-up number because we need something.</t>
        </r>
      </text>
    </comment>
    <comment ref="I176" authorId="0" shapeId="0" xr:uid="{A459EC9C-DB64-2040-9252-C1D2096C45EA}">
      <text>
        <r>
          <rPr>
            <b/>
            <sz val="10"/>
            <color rgb="FF000000"/>
            <rFont val="Tahoma"/>
            <family val="2"/>
          </rPr>
          <t>Michael Tiemann:</t>
        </r>
        <r>
          <rPr>
            <sz val="10"/>
            <color rgb="FF000000"/>
            <rFont val="Tahoma"/>
            <family val="2"/>
          </rPr>
          <t xml:space="preserve">
</t>
        </r>
        <r>
          <rPr>
            <sz val="10"/>
            <color rgb="FF000000"/>
            <rFont val="Tahoma"/>
            <family val="2"/>
          </rPr>
          <t>2011-2012 average</t>
        </r>
      </text>
    </comment>
    <comment ref="J176" authorId="2" shapeId="0" xr:uid="{B2B5E594-5DC6-0746-8CAB-36DD1C10A84D}">
      <text>
        <r>
          <rPr>
            <sz val="11"/>
            <color rgb="FF000000"/>
            <rFont val="Calibri"/>
            <family val="2"/>
            <charset val="1"/>
          </rPr>
          <t xml:space="preserve">Ndungu, Grace Wangeci (AIM SE):
</t>
        </r>
        <r>
          <rPr>
            <sz val="11"/>
            <color rgb="FF000000"/>
            <rFont val="Calibri"/>
            <family val="2"/>
            <charset val="1"/>
          </rPr>
          <t>2011 intensity: 17.7, 2012 intensity: 16.9 tons/SEKm</t>
        </r>
      </text>
    </comment>
    <comment ref="H177" authorId="0" shapeId="0" xr:uid="{5B463B18-BB17-E245-BB86-62FCFC29DF17}">
      <text>
        <r>
          <rPr>
            <b/>
            <sz val="10"/>
            <color rgb="FF000000"/>
            <rFont val="Tahoma"/>
            <family val="2"/>
          </rPr>
          <t>Michael Tiemann:</t>
        </r>
        <r>
          <rPr>
            <sz val="10"/>
            <color rgb="FF000000"/>
            <rFont val="Tahoma"/>
            <family val="2"/>
          </rPr>
          <t xml:space="preserve">
</t>
        </r>
      </text>
    </comment>
    <comment ref="J178" authorId="2" shapeId="0" xr:uid="{3588C409-5F85-1C43-AD85-A3C9C7F30330}">
      <text>
        <r>
          <rPr>
            <sz val="11"/>
            <color rgb="FF000000"/>
            <rFont val="Calibri"/>
            <family val="2"/>
            <charset val="1"/>
          </rPr>
          <t xml:space="preserve">Ndungu, Grace Wangeci (AIM SE):
</t>
        </r>
        <r>
          <rPr>
            <sz val="11"/>
            <color rgb="FF000000"/>
            <rFont val="Calibri"/>
            <family val="2"/>
            <charset val="1"/>
          </rPr>
          <t>calculated using 2017 emissions intensity figures</t>
        </r>
      </text>
    </comment>
    <comment ref="J179" authorId="2" shapeId="0" xr:uid="{7E6D2F46-8C1F-9F42-9EC6-D9038C815D71}">
      <text>
        <r>
          <rPr>
            <sz val="11"/>
            <color rgb="FF000000"/>
            <rFont val="Calibri"/>
            <family val="2"/>
            <charset val="1"/>
          </rPr>
          <t xml:space="preserve">Ndungu, Grace Wangeci (AIM SE):
</t>
        </r>
        <r>
          <rPr>
            <sz val="11"/>
            <color rgb="FF000000"/>
            <rFont val="Calibri"/>
            <family val="2"/>
            <charset val="1"/>
          </rPr>
          <t>calculated using 2017 emissions intensity figures</t>
        </r>
      </text>
    </comment>
    <comment ref="J181" authorId="0" shapeId="0" xr:uid="{961C0E8D-C204-2944-869D-7F16336039A4}">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L181" authorId="0" shapeId="0" xr:uid="{2CD2314E-7979-C048-ACE6-4DD34137411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I184" authorId="0" shapeId="0" xr:uid="{848A8CD7-4ACA-6043-B84A-020444E22DB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84" authorId="0" shapeId="0" xr:uid="{70EC6024-5420-514B-80CE-16DCBDB9BD5D}">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84" authorId="0" shapeId="0" xr:uid="{642D5460-7F30-AE4A-82EB-E8785297EDAD}">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85" authorId="0" shapeId="0" xr:uid="{9917F7AB-6393-2842-8D81-EA162834AC8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85" authorId="0" shapeId="0" xr:uid="{7D680D19-2956-A84E-9460-5DD3C3D99C1E}">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85" authorId="0" shapeId="0" xr:uid="{598ED33D-94E1-814B-9733-16E8A5E127E8}">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91" authorId="0" shapeId="0" xr:uid="{9E7F41C6-0616-F14C-8EA5-C7463A8C27C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M191" authorId="0" shapeId="0" xr:uid="{F654F962-C007-D041-AA44-1C0426B99072}">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92" authorId="0" shapeId="0" xr:uid="{8845545F-1F6E-844E-8BA4-495646576A99}">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92" authorId="0" shapeId="0" xr:uid="{1412CF85-A559-2142-8780-6ADFF7B0802B}">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92" authorId="0" shapeId="0" xr:uid="{CE44ABE3-2F8B-6C42-8507-13EA36A63755}">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M194" authorId="3" shapeId="0" xr:uid="{AA249BEA-77A3-B546-9F37-A253C6367C06}">
      <text>
        <t>[Threaded comment]
Your version of Excel allows you to read this threaded comment; however, any edits to it will get removed if the file is opened in a newer version of Excel. Learn more: https://go.microsoft.com/fwlink/?linkid=870924
Comment:
    reduce to &lt;520kg CO2 emissions by 2030</t>
      </text>
    </comment>
    <comment ref="J196" authorId="0" shapeId="0" xr:uid="{49A01B00-8159-D247-9079-F23A2F7AF859}">
      <text>
        <r>
          <rPr>
            <b/>
            <sz val="10"/>
            <color rgb="FF000000"/>
            <rFont val="Tahoma"/>
            <family val="2"/>
          </rPr>
          <t>Michael Tiemann:</t>
        </r>
        <r>
          <rPr>
            <sz val="10"/>
            <color rgb="FF000000"/>
            <rFont val="Tahoma"/>
            <family val="2"/>
          </rPr>
          <t xml:space="preserve">
</t>
        </r>
        <r>
          <rPr>
            <sz val="10"/>
            <color rgb="FF000000"/>
            <rFont val="Tahoma"/>
            <family val="2"/>
          </rPr>
          <t>Estimated from graph on page 41 of Annual report: https://www.breedongroup.com/content/dam/breedon/corporate/documents/investors/results-reports-presentations/annual-reports/ANNUAL%20REPORT%202021.pdf</t>
        </r>
      </text>
    </comment>
    <comment ref="M201" authorId="4" shapeId="0" xr:uid="{CA8C9C04-1742-E447-9A4E-9ACBCF0FD8F5}">
      <text>
        <t>[Threaded comment]
Your version of Excel allows you to read this threaded comment; however, any edits to it will get removed if the file is opened in a newer version of Excel. Learn more: https://go.microsoft.com/fwlink/?linkid=870924
Comment:
    -20% kg CO2e/t of purchased clinker and cement
-20% kg CO2e/t of purchased fuels
-24% kg CO2e/t of material transported</t>
      </text>
    </comment>
    <comment ref="I204" authorId="5" shapeId="0" xr:uid="{6D9409B0-DC83-9443-B5FA-E2465B7C3335}">
      <text>
        <t>[Threaded comment]
Your version of Excel allows you to read this threaded comment; however, any edits to it will get removed if the file is opened in a newer version of Excel. Learn more: https://go.microsoft.com/fwlink/?linkid=870924
Comment:
    no data provided</t>
      </text>
    </comment>
    <comment ref="J206" authorId="6" shapeId="0" xr:uid="{ADA6A937-95AA-BC43-9A9D-55C15946EBFC}">
      <text>
        <t>[Threaded comment]
Your version of Excel allows you to read this threaded comment; however, any edits to it will get removed if the file is opened in a newer version of Excel. Learn more: https://go.microsoft.com/fwlink/?linkid=870924
Comment:
    in the sustainability report, the 2007 figure is indicated as 20.06MT but it is said that emissions in 2020 are a 2.86 MT reduction from 2007 and the 2020 emissions are indicated as 23.34. Therefore, this figure is 23.34+2.86</t>
      </text>
    </comment>
    <comment ref="J207" authorId="7" shapeId="0" xr:uid="{26C2080D-C9E2-7442-A759-886EF52FFC74}">
      <text>
        <t>[Threaded comment]
Your version of Excel allows you to read this threaded comment; however, any edits to it will get removed if the file is opened in a newer version of Excel. Learn more: https://go.microsoft.com/fwlink/?linkid=870924
Comment:
    This figure is restated from the figure reported in 2020 which was 23.34</t>
      </text>
    </comment>
    <comment ref="G208" authorId="2" shapeId="0" xr:uid="{D68707A4-96A8-6642-8C36-718E6E8441BF}">
      <text>
        <r>
          <rPr>
            <sz val="11"/>
            <color rgb="FF000000"/>
            <rFont val="Calibri"/>
            <family val="2"/>
            <charset val="1"/>
          </rPr>
          <t xml:space="preserve">Ndungu, Grace Wangeci (AIM SE):
</t>
        </r>
        <r>
          <rPr>
            <sz val="11"/>
            <color rgb="FF000000"/>
            <rFont val="Calibri"/>
            <family val="2"/>
            <charset val="1"/>
          </rPr>
          <t xml:space="preserve">Assumption has been made that Heidelberg refers to all its emissions as the split between the three scopes has not been done.
</t>
        </r>
        <r>
          <rPr>
            <sz val="11"/>
            <color rgb="FF000000"/>
            <rFont val="Calibri"/>
            <family val="2"/>
            <charset val="1"/>
          </rPr>
          <t>Michael Tiemann: Since they only ever talk about "specific CO2 emission, I think it is S1+S2</t>
        </r>
      </text>
    </comment>
    <comment ref="G209" authorId="2" shapeId="0" xr:uid="{80B8B1C9-0F3B-6B43-A555-20EEF579EA32}">
      <text>
        <r>
          <rPr>
            <sz val="11"/>
            <color rgb="FF000000"/>
            <rFont val="Calibri"/>
            <family val="2"/>
            <charset val="1"/>
          </rPr>
          <t xml:space="preserve">Ndungu, Grace Wangeci (AIM SE):
</t>
        </r>
        <r>
          <rPr>
            <sz val="11"/>
            <color rgb="FF000000"/>
            <rFont val="Calibri"/>
            <family val="2"/>
            <charset val="1"/>
          </rPr>
          <t>Assumption has been made that Heidelberg refers to all its emissions as the split between the three scopes has not been done.</t>
        </r>
      </text>
    </comment>
    <comment ref="J210" authorId="2" shapeId="0" xr:uid="{2E3BB01F-8D35-5448-AD2B-D2F03D1B4BAB}">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10" authorId="2" shapeId="0" xr:uid="{836B3EF4-D627-C64E-A456-535248EA59B7}">
      <text>
        <r>
          <rPr>
            <sz val="11"/>
            <color rgb="FF000000"/>
            <rFont val="Calibri"/>
            <family val="2"/>
            <charset val="1"/>
          </rPr>
          <t>Ndungu, Grace Wangeci (AIM SE):
No base year quantity to compare with only absolute figures provided for the targets</t>
        </r>
      </text>
    </comment>
    <comment ref="G211" authorId="2" shapeId="0" xr:uid="{7619852D-E389-7846-8915-A800D8EA1419}">
      <text>
        <r>
          <rPr>
            <sz val="11"/>
            <color rgb="FF000000"/>
            <rFont val="Calibri"/>
            <family val="2"/>
            <charset val="1"/>
          </rPr>
          <t xml:space="preserve">Ndungu, Grace Wangeci (AIM SE):
</t>
        </r>
        <r>
          <rPr>
            <sz val="11"/>
            <color rgb="FF000000"/>
            <rFont val="Calibri"/>
            <family val="2"/>
            <charset val="1"/>
          </rPr>
          <t>Cement emissions intensity</t>
        </r>
      </text>
    </comment>
    <comment ref="J211" authorId="2" shapeId="0" xr:uid="{2B7F5E7C-DDAA-F74E-BE0B-5083AB2252D6}">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11" authorId="2" shapeId="0" xr:uid="{42908891-DD1C-5C48-9E4C-768998B1CA54}">
      <text>
        <r>
          <rPr>
            <sz val="11"/>
            <color rgb="FF000000"/>
            <rFont val="Calibri"/>
            <family val="2"/>
            <charset val="1"/>
          </rPr>
          <t>Ndungu, Grace Wangeci (AIM SE):
No base year quantity to compare with only absolute figures provided for the targets</t>
        </r>
      </text>
    </comment>
    <comment ref="G212" authorId="2" shapeId="0" xr:uid="{74EE49D3-200C-4B47-A534-01E8FE7E362F}">
      <text>
        <r>
          <rPr>
            <sz val="11"/>
            <color rgb="FF000000"/>
            <rFont val="Calibri"/>
            <family val="2"/>
            <charset val="1"/>
          </rPr>
          <t>Ndungu, Grace Wangeci (AIM SE):
Cement emissions intensity</t>
        </r>
      </text>
    </comment>
    <comment ref="J212" authorId="2" shapeId="0" xr:uid="{F284CCC1-A28E-8F49-824B-D153C8CD2BB2}">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12" authorId="2" shapeId="0" xr:uid="{84C35734-C80B-9E4B-83FB-3115678FC15B}">
      <text>
        <r>
          <rPr>
            <sz val="11"/>
            <color rgb="FF000000"/>
            <rFont val="Calibri"/>
            <family val="2"/>
            <charset val="1"/>
          </rPr>
          <t>Ndungu, Grace Wangeci (AIM SE):
No base year quantity to compare with only absolute figures provided for the targets</t>
        </r>
      </text>
    </comment>
    <comment ref="J213" authorId="2" shapeId="0" xr:uid="{DEDE979C-D91F-AD47-A624-0EA71F8E10E4}">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13" authorId="2" shapeId="0" xr:uid="{C6A2C4F5-46BF-0A47-AA21-18810035DA92}">
      <text>
        <r>
          <rPr>
            <sz val="11"/>
            <color rgb="FF000000"/>
            <rFont val="Calibri"/>
            <family val="2"/>
            <charset val="1"/>
          </rPr>
          <t>Ndungu, Grace Wangeci (AIM SE):
No base year quantity to compare with only absolute figures provided for the targets</t>
        </r>
      </text>
    </comment>
    <comment ref="J220" authorId="2" shapeId="0" xr:uid="{76B38B5A-5200-D746-9FEE-A298157B5FC5}">
      <text>
        <r>
          <rPr>
            <sz val="11"/>
            <color rgb="FF000000"/>
            <rFont val="Calibri"/>
            <family val="2"/>
            <charset val="1"/>
          </rPr>
          <t xml:space="preserve">Ndungu, Grace Wangeci (AIM SE):
</t>
        </r>
        <r>
          <rPr>
            <sz val="11"/>
            <color rgb="FF000000"/>
            <rFont val="Calibri"/>
            <family val="2"/>
            <charset val="1"/>
          </rPr>
          <t>In the 2019 report, it is indicated as 802kg CO2/t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M12" authorId="0" shapeId="0" xr:uid="{48B2C4C2-8653-C848-A716-613951AEF2A3}">
      <text>
        <r>
          <rPr>
            <b/>
            <sz val="10"/>
            <color rgb="FF000000"/>
            <rFont val="Tahoma"/>
            <family val="2"/>
          </rPr>
          <t>Michael Tiemann:</t>
        </r>
        <r>
          <rPr>
            <sz val="10"/>
            <color rgb="FF000000"/>
            <rFont val="Tahoma"/>
            <family val="2"/>
          </rPr>
          <t xml:space="preserve">
</t>
        </r>
        <r>
          <rPr>
            <sz val="10"/>
            <color rgb="FF000000"/>
            <rFont val="Tahoma"/>
            <family val="2"/>
          </rPr>
          <t>75+/-25 Mt CO2e</t>
        </r>
      </text>
    </comment>
  </commentList>
</comments>
</file>

<file path=xl/sharedStrings.xml><?xml version="1.0" encoding="utf-8"?>
<sst xmlns="http://schemas.openxmlformats.org/spreadsheetml/2006/main" count="11380" uniqueCount="1282">
  <si>
    <t>company_name</t>
  </si>
  <si>
    <t>company_lei</t>
  </si>
  <si>
    <t>company_id</t>
  </si>
  <si>
    <t>country</t>
  </si>
  <si>
    <t>region</t>
  </si>
  <si>
    <t>sector</t>
  </si>
  <si>
    <t>exposure</t>
  </si>
  <si>
    <t>currency</t>
  </si>
  <si>
    <t>report_date</t>
  </si>
  <si>
    <t>market_cap</t>
  </si>
  <si>
    <t>revenue</t>
  </si>
  <si>
    <t>ev</t>
  </si>
  <si>
    <t>evic</t>
  </si>
  <si>
    <t>assets</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</si>
  <si>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</si>
  <si>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</si>
  <si>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</si>
  <si>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</si>
  <si>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</si>
  <si>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</si>
  <si>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</si>
  <si>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</si>
  <si>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</si>
  <si>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</si>
  <si>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</si>
  <si>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</si>
  <si>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</si>
  <si>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</si>
  <si>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</si>
  <si>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</si>
  <si>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</si>
  <si>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</si>
  <si>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</si>
  <si>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</si>
  <si>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</si>
  <si>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</si>
  <si>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</si>
  <si>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</si>
  <si>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</si>
  <si>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</si>
  <si>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</si>
  <si>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</si>
  <si>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</si>
  <si>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</si>
  <si>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</si>
  <si>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</si>
  <si>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</si>
  <si>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</si>
  <si>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</si>
  <si>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AES Corp.</t>
  </si>
  <si>
    <t>2NUNNB7D43COUIRE5295</t>
  </si>
  <si>
    <t>US00130H1059</t>
  </si>
  <si>
    <t>US</t>
  </si>
  <si>
    <t>Electricity Utilities</t>
  </si>
  <si>
    <t>equity</t>
  </si>
  <si>
    <t>USD</t>
  </si>
  <si>
    <t>t CO2</t>
  </si>
  <si>
    <t>GWh</t>
  </si>
  <si>
    <t>ALLETE, Inc.</t>
  </si>
  <si>
    <t>549300NNLSIMY6Z8OT86</t>
  </si>
  <si>
    <t>US0185223007</t>
  </si>
  <si>
    <t>North America</t>
  </si>
  <si>
    <t>TWh</t>
  </si>
  <si>
    <t>Alliant Energy</t>
  </si>
  <si>
    <t>5493009ML300G373MZ12</t>
  </si>
  <si>
    <t>US0188021085</t>
  </si>
  <si>
    <t>Ameren Corp.</t>
  </si>
  <si>
    <t>XRZQ5S7HYJFPHJ78L959</t>
  </si>
  <si>
    <t>US0236081024</t>
  </si>
  <si>
    <t>American Electric Power Co., Inc.</t>
  </si>
  <si>
    <t>1B4S6S7G0TW5EE83BO58</t>
  </si>
  <si>
    <t>US0255371017</t>
  </si>
  <si>
    <t>Avangrid, Inc. (Elec)</t>
  </si>
  <si>
    <t>549300OX0Q38NLSKPB49</t>
  </si>
  <si>
    <t>US05351W1036-E</t>
  </si>
  <si>
    <t>Utilities</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</si>
  <si>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</si>
  <si>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</si>
  <si>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</si>
  <si>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</si>
  <si>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</si>
  <si>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</si>
  <si>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</si>
  <si>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</si>
  <si>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</si>
  <si>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</si>
  <si>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</si>
  <si>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</si>
  <si>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</si>
  <si>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</si>
  <si>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</si>
  <si>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PJ</t>
  </si>
  <si>
    <t>CARPENTER TECHNOLOGY CORP</t>
  </si>
  <si>
    <t>DX6I6ZD3X5WNNCDJKP85</t>
  </si>
  <si>
    <t>US1442851036</t>
  </si>
  <si>
    <t>Steel</t>
  </si>
  <si>
    <t>t Steel</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</si>
  <si>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</si>
  <si>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</si>
  <si>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</si>
  <si>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</si>
  <si>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</si>
  <si>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</si>
  <si>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</si>
  <si>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</si>
  <si>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</si>
  <si>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</si>
  <si>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</si>
  <si>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</si>
  <si>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</si>
  <si>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</si>
  <si>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</si>
  <si>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</si>
  <si>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</si>
  <si>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</si>
  <si>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</si>
  <si>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</si>
  <si>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</si>
  <si>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</si>
  <si>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</si>
  <si>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</si>
  <si>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</si>
  <si>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</si>
  <si>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</si>
  <si>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</si>
  <si>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</si>
  <si>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</si>
  <si>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</si>
  <si>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</si>
  <si>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</si>
  <si>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</si>
  <si>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</si>
  <si>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</si>
  <si>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</si>
  <si>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</si>
  <si>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</si>
  <si>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</si>
  <si>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</si>
  <si>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</si>
  <si>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</si>
  <si>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</si>
  <si>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</si>
  <si>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</si>
  <si>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</si>
  <si>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</si>
  <si>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</si>
  <si>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</si>
  <si>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</si>
  <si>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</si>
  <si>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</si>
  <si>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</si>
  <si>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mboe</t>
  </si>
  <si>
    <t>FirstEnergy Corp.</t>
  </si>
  <si>
    <t>549300SVYJS666PQJH88</t>
  </si>
  <si>
    <t>US3379321074</t>
  </si>
  <si>
    <t>Ford Motor Company</t>
  </si>
  <si>
    <t>20S05OYHG0MQM4VUIC57</t>
  </si>
  <si>
    <t>US3453708600</t>
  </si>
  <si>
    <t>Gpkm</t>
  </si>
  <si>
    <t>Fortis, Inc.</t>
  </si>
  <si>
    <t>549300MQYQ9Y065XPR71</t>
  </si>
  <si>
    <t>CA3495531079</t>
  </si>
  <si>
    <t>CA</t>
  </si>
  <si>
    <t>General Motors</t>
  </si>
  <si>
    <t>5493001871EE1F4JHK38</t>
  </si>
  <si>
    <t>US3704421052</t>
  </si>
  <si>
    <t>Mpkm</t>
  </si>
  <si>
    <t>GERDAU S.A.</t>
  </si>
  <si>
    <t>254900YDV6SEQQPZVG24</t>
  </si>
  <si>
    <t>US3737371050</t>
  </si>
  <si>
    <t>BR</t>
  </si>
  <si>
    <t>Hawaiian Electric Industries, Inc.</t>
  </si>
  <si>
    <t>JJ8FWOCWCV22X7GUPJ23</t>
  </si>
  <si>
    <t>US4198701009</t>
  </si>
  <si>
    <t>Iberdrola S.A.</t>
  </si>
  <si>
    <t>5QK37QC7NWOJ8D7WVQ45</t>
  </si>
  <si>
    <t>ES0144580Y14</t>
  </si>
  <si>
    <t>ES</t>
  </si>
  <si>
    <t>MARATHON PETROLEUM CORPORATION</t>
  </si>
  <si>
    <t>3BNYRYQHD39K4LCKQF12</t>
  </si>
  <si>
    <t>US56585A1025</t>
  </si>
  <si>
    <t>mmboe</t>
  </si>
  <si>
    <t>MDU Resources Group</t>
  </si>
  <si>
    <t>0T6SBMK3JTBI1JR36794</t>
  </si>
  <si>
    <t>US5526901096</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</si>
  <si>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</si>
  <si>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</si>
  <si>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</si>
  <si>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</si>
  <si>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</si>
  <si>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</si>
  <si>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</si>
  <si>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</si>
  <si>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</si>
  <si>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</si>
  <si>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</si>
  <si>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</si>
  <si>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</si>
  <si>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</si>
  <si>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</si>
  <si>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</si>
  <si>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</si>
  <si>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NUCOR CORP</t>
  </si>
  <si>
    <t>549300GGJCRSI2TIEJ46</t>
  </si>
  <si>
    <t>US6703461052</t>
  </si>
  <si>
    <t>OG&amp;E Energy Corp.</t>
  </si>
  <si>
    <t>CE5OG6JPOZMDSA0LAQ19</t>
  </si>
  <si>
    <t>US6708371033</t>
  </si>
  <si>
    <t>PETROLEO BRASILEIRO S A PETROBRAS</t>
  </si>
  <si>
    <t>5493000J801JZRCMFE49</t>
  </si>
  <si>
    <t>BRPETRACNPR6</t>
  </si>
  <si>
    <t>PETROLIAM NASIONAL BERHAD (PETRONAS)</t>
  </si>
  <si>
    <t>5493003RZQYJM7QGNE15</t>
  </si>
  <si>
    <t>PETRONAS_SOE</t>
  </si>
  <si>
    <t>MY</t>
  </si>
  <si>
    <t>kboe</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</si>
  <si>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</si>
  <si>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</si>
  <si>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</si>
  <si>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</si>
  <si>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</si>
  <si>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</si>
  <si>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</si>
  <si>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</si>
  <si>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</si>
  <si>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</si>
  <si>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</si>
  <si>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</si>
  <si>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</si>
  <si>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</si>
  <si>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</si>
  <si>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</si>
  <si>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</si>
  <si>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</si>
  <si>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</si>
  <si>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</si>
  <si>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</si>
  <si>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</si>
  <si>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</si>
  <si>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</si>
  <si>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</si>
  <si>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</si>
  <si>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</si>
  <si>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</si>
  <si>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</si>
  <si>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</si>
  <si>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</si>
  <si>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</si>
  <si>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</si>
  <si>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Sinopec</t>
  </si>
  <si>
    <t>2138009UNXTD8EYS5M35</t>
  </si>
  <si>
    <t>CN0005789556</t>
  </si>
  <si>
    <t>CN</t>
  </si>
  <si>
    <t>SK Innovation</t>
  </si>
  <si>
    <t>988400PXP70BWVSJVF07</t>
  </si>
  <si>
    <t>096770.SK</t>
  </si>
  <si>
    <t>boe</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</si>
  <si>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</si>
  <si>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</si>
  <si>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</si>
  <si>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</si>
  <si>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</si>
  <si>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</si>
  <si>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</si>
  <si>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</si>
  <si>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</si>
  <si>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</si>
  <si>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</si>
  <si>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</si>
  <si>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</si>
  <si>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Tokyo Electric Power Company</t>
  </si>
  <si>
    <t>5299004EMJ3R4RVR5Y75</t>
  </si>
  <si>
    <t>9501.T</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</si>
  <si>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</si>
  <si>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</si>
  <si>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</si>
  <si>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</si>
  <si>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</si>
  <si>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</si>
  <si>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</si>
  <si>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</si>
  <si>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</si>
  <si>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</si>
  <si>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</si>
  <si>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</si>
  <si>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Tpkm</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</si>
  <si>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</si>
  <si>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</si>
  <si>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</si>
  <si>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</si>
  <si>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</si>
  <si>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</si>
  <si>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</si>
  <si>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</si>
  <si>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</si>
  <si>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</si>
  <si>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</si>
  <si>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</si>
  <si>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</si>
  <si>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</si>
  <si>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</si>
  <si>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</si>
  <si>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</si>
  <si>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</si>
  <si>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</si>
  <si>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</si>
  <si>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</si>
  <si>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</si>
  <si>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Balfour Beatty</t>
  </si>
  <si>
    <t>CT4UIJ3TUKGYYHMENQ17</t>
  </si>
  <si>
    <t>GB0000961622</t>
  </si>
  <si>
    <t>Construction Buildings</t>
  </si>
  <si>
    <t>CBRE</t>
  </si>
  <si>
    <t>52990016II9MJ2OSWA10</t>
  </si>
  <si>
    <t>US12504L1098</t>
  </si>
  <si>
    <t>Commercial Buildings</t>
  </si>
  <si>
    <t>ft**2</t>
  </si>
  <si>
    <t>netzero_year</t>
  </si>
  <si>
    <t>target_type</t>
  </si>
  <si>
    <t>target_scope</t>
  </si>
  <si>
    <t>target_start_year</t>
  </si>
  <si>
    <t>target_base_year</t>
  </si>
  <si>
    <t>target_base_year_qty</t>
  </si>
  <si>
    <t>target_base_year_unit</t>
  </si>
  <si>
    <t>target_year</t>
  </si>
  <si>
    <t>target_reduction_ambition</t>
  </si>
  <si>
    <t>intensity</t>
  </si>
  <si>
    <t>S1+S2</t>
  </si>
  <si>
    <t>absolute</t>
  </si>
  <si>
    <t>S1+S2+S3</t>
  </si>
  <si>
    <t>549300T12EZ1F6PWWU29</t>
  </si>
  <si>
    <t>S1</t>
  </si>
  <si>
    <t>S3</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</si>
  <si>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</si>
  <si>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</si>
  <si>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</si>
  <si>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</si>
  <si>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</si>
  <si>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</si>
  <si>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</si>
  <si>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</si>
  <si>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</si>
  <si>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</si>
  <si>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</si>
  <si>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</si>
  <si>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</si>
  <si>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</si>
  <si>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</si>
  <si>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</si>
  <si>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</si>
  <si>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</si>
  <si>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</si>
  <si>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</si>
  <si>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</si>
  <si>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</si>
  <si>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</si>
  <si>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</si>
  <si>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</si>
  <si>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</si>
  <si>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</si>
  <si>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</si>
  <si>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</si>
  <si>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</si>
  <si>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</si>
  <si>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</si>
  <si>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</si>
  <si>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t>CO2: kg CO2, t CO2, Mt CO2, Gt CO2, etc.</t>
  </si>
  <si>
    <t>Production Metrics</t>
  </si>
  <si>
    <t>Intensity Metric (unit of output measured for sector)</t>
  </si>
  <si>
    <t xml:space="preserve">Electricity:  MWh, TWh, GJ, PJ; 
Steel: Fe_ton, M Fe_ton;  
Oil &amp; Gas: mboe, PJ;  
Autos: passenger km, passenger mi </t>
  </si>
  <si>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</si>
  <si>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</si>
  <si>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</si>
  <si>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</si>
  <si>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</si>
  <si>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</si>
  <si>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</si>
  <si>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</si>
  <si>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</si>
  <si>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</si>
  <si>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</si>
  <si>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</si>
  <si>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</si>
  <si>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</si>
  <si>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</si>
  <si>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</si>
  <si>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</si>
  <si>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</si>
  <si>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</si>
  <si>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</si>
  <si>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</si>
  <si>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</si>
  <si>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</si>
  <si>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</si>
  <si>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</si>
  <si>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</si>
  <si>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</si>
  <si>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</si>
  <si>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</si>
  <si>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t>CO2: kg CO2, t CO2, Mt CO2, Gt CO2, etc.; 
Electricity: MWh, TWh, GJ, PJ; 
Steel: Fe_ton, M Fe_ton; 
Oil &amp; Gas: mboe, PJ; 
Autos: passenger mi, M passenger km</t>
  </si>
  <si>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</si>
  <si>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</si>
  <si>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</si>
  <si>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</si>
  <si>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</si>
  <si>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</si>
  <si>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</si>
  <si>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fx_quote</t>
  </si>
  <si>
    <t>fx_rate</t>
  </si>
  <si>
    <t>metric</t>
  </si>
  <si>
    <t>unit</t>
  </si>
  <si>
    <t>s1</t>
  </si>
  <si>
    <t>s2</t>
  </si>
  <si>
    <t>location</t>
  </si>
  <si>
    <t>s1s2</t>
  </si>
  <si>
    <t>s3</t>
  </si>
  <si>
    <t>combined</t>
  </si>
  <si>
    <t>production</t>
  </si>
  <si>
    <t>pdf</t>
  </si>
  <si>
    <t>https://www.aes.com/sites/default/files/2021-09/2020%20Performance%20Indicators.pdf</t>
  </si>
  <si>
    <t>market</t>
  </si>
  <si>
    <t>full</t>
  </si>
  <si>
    <t>https://www.aes.com/sites/default/files/2022-05/2021%20Improving%20Lives%20report.pdf</t>
  </si>
  <si>
    <t>gross</t>
  </si>
  <si>
    <t>net</t>
  </si>
  <si>
    <t>https://www.aes.com/sites/default/files/2021-02/AES-2019-Sustainability-Report.pdf</t>
  </si>
  <si>
    <t>https://www.aes.com/sites/default/files/2021-02/2018-Sustainability-Report.pdf</t>
  </si>
  <si>
    <t>kt CO2e</t>
  </si>
  <si>
    <t>t CO2e</t>
  </si>
  <si>
    <t>Mt CO2e</t>
  </si>
  <si>
    <t>t CO2e/MWh</t>
  </si>
  <si>
    <t>g CO2e/(passenger km)</t>
  </si>
  <si>
    <t>t CO2e/Fe_ton</t>
  </si>
  <si>
    <t>g CO2e/MJ</t>
  </si>
  <si>
    <t>g CO2e/kWh</t>
  </si>
  <si>
    <t>g CO2e/(passenger mi)</t>
  </si>
  <si>
    <t>t CO2e/mboe</t>
  </si>
  <si>
    <t>lb CO2e/MWh</t>
  </si>
  <si>
    <t>kg CO2e/boe</t>
  </si>
  <si>
    <t>myriametric_ton CO2e</t>
  </si>
  <si>
    <t>kg CO2e/kWh</t>
  </si>
  <si>
    <t>kg CO2e/ft**2</t>
  </si>
  <si>
    <t>4, 9</t>
  </si>
  <si>
    <t>total</t>
  </si>
  <si>
    <t>all</t>
  </si>
  <si>
    <t>https://www.bmwgroup.com/content/dam/grpw/websites/bmwgroup_com/ir/downloads/en/2022/hv/E3.7.1.pdf</t>
  </si>
  <si>
    <t>https://www.bmwgroup.com/content/dam/grpw/websites/bmwgroup_com/ir/downloads/en/2022/hv/E3.7.2.pdf</t>
  </si>
  <si>
    <t>g CO2/pkm</t>
  </si>
  <si>
    <t>https://www.bmwgroup.com/content/dam/grpw/websites/bmwgroup_com/responsibility/downloads/en/2020/2020-BMW-Group-SVR-2019-Englisch.pdf</t>
  </si>
  <si>
    <t>generation</t>
  </si>
  <si>
    <t>fleet vehicles</t>
  </si>
  <si>
    <t>small plant</t>
  </si>
  <si>
    <t>plant mobile equipment</t>
  </si>
  <si>
    <t>fugitive sf6</t>
  </si>
  <si>
    <t>electricity use in buildings</t>
  </si>
  <si>
    <t>gas use in buildings</t>
  </si>
  <si>
    <t>gas operations</t>
  </si>
  <si>
    <t>gas purchased for end use customers</t>
  </si>
  <si>
    <t>employee commuting</t>
  </si>
  <si>
    <t>business travel</t>
  </si>
  <si>
    <t>2021_Sustainability_Report_DRAFT.pdf</t>
  </si>
  <si>
    <t>2022_NEE_ESG_Report_Final.pdf</t>
  </si>
  <si>
    <t>coal</t>
  </si>
  <si>
    <t>natural gas</t>
  </si>
  <si>
    <t>nuclear</t>
  </si>
  <si>
    <t>oil</t>
  </si>
  <si>
    <t>hydro</t>
  </si>
  <si>
    <t>landfill gas</t>
  </si>
  <si>
    <t>solar</t>
  </si>
  <si>
    <t>wind</t>
  </si>
  <si>
    <t>other</t>
  </si>
  <si>
    <t>renewables (total)</t>
  </si>
  <si>
    <t>3, 6, 11</t>
  </si>
  <si>
    <t>xlsx</t>
  </si>
  <si>
    <t>residential</t>
  </si>
  <si>
    <t>commercial</t>
  </si>
  <si>
    <t>industrial</t>
  </si>
  <si>
    <t>all other retailers</t>
  </si>
  <si>
    <t>wholesale</t>
  </si>
  <si>
    <t>Xcel-Energy-Sustainability-Summary-2021_EEI-AGA-ESG-Template.pdf</t>
  </si>
  <si>
    <t>market sales</t>
  </si>
  <si>
    <t>sf6</t>
  </si>
  <si>
    <t>building energy use</t>
  </si>
  <si>
    <t>line loss</t>
  </si>
  <si>
    <t>purchased electricity</t>
  </si>
  <si>
    <t>transportation</t>
  </si>
  <si>
    <t>use of sold products</t>
  </si>
  <si>
    <t>s1s2s3</t>
  </si>
  <si>
    <t>petroleum</t>
  </si>
  <si>
    <t>biomass/biogas</t>
  </si>
  <si>
    <t>geothermal</t>
  </si>
  <si>
    <t>Xcel Energy, Inc. (Gas)</t>
  </si>
  <si>
    <t>Xcel Energy, Inc. (Electricity)</t>
  </si>
  <si>
    <t>fugitive ch4</t>
  </si>
  <si>
    <t>s1s3</t>
  </si>
  <si>
    <t>n/a</t>
  </si>
  <si>
    <t>EEI_Quantitative_PGE.pdf</t>
  </si>
  <si>
    <t>purchased goods and services</t>
  </si>
  <si>
    <t>capital goods</t>
  </si>
  <si>
    <t>upstream transportation</t>
  </si>
  <si>
    <t>waste generated</t>
  </si>
  <si>
    <t>investments</t>
  </si>
  <si>
    <t>myriat Steel</t>
  </si>
  <si>
    <t>report2022en.pdf</t>
  </si>
  <si>
    <t>crap report</t>
  </si>
  <si>
    <t>kt Steel</t>
  </si>
  <si>
    <t xml:space="preserve">Coal </t>
  </si>
  <si>
    <t>Natural Gas</t>
  </si>
  <si>
    <t>Nuclear</t>
  </si>
  <si>
    <t>Petroleum</t>
  </si>
  <si>
    <t>Total Renewable Energy Resources</t>
  </si>
  <si>
    <t>Biomass/Biogas</t>
  </si>
  <si>
    <t>Geothermal</t>
  </si>
  <si>
    <t>Hydroelectric</t>
  </si>
  <si>
    <t>Solar</t>
  </si>
  <si>
    <t>Wind</t>
  </si>
  <si>
    <t>Other</t>
  </si>
  <si>
    <t>facilities</t>
  </si>
  <si>
    <t>vehicle fleet</t>
  </si>
  <si>
    <t>gas distribution</t>
  </si>
  <si>
    <t>RWE AG</t>
  </si>
  <si>
    <t>529900GB7KCA94ACC940</t>
  </si>
  <si>
    <t>DE0007037129</t>
  </si>
  <si>
    <t>TotalEnergies</t>
  </si>
  <si>
    <t>FR0000120271</t>
  </si>
  <si>
    <t>529900S21EQ1BO4ESM68</t>
  </si>
  <si>
    <t>BUCRF72VH5RBN7X3VL35</t>
  </si>
  <si>
    <t>IT0003132476</t>
  </si>
  <si>
    <t>US6745991058</t>
  </si>
  <si>
    <t>IM7X0T3ECJW4C1T7ON55</t>
  </si>
  <si>
    <t>IT</t>
  </si>
  <si>
    <t>Sempra-Sustainability-Report-Full.pdf</t>
  </si>
  <si>
    <t>https://www.rwe.com/-/media/RWE/documents/09-verantwortung-nachhaltigkeit/cr-berichte/EN/rwe-non-financial-report-2021.pdf</t>
  </si>
  <si>
    <t>https://www.rwe.com/-/media/RWE/documents/09-verantwortung-nachhaltigkeit/cr-berichte/EN/cr-report-2020.pdf</t>
  </si>
  <si>
    <t>base_year</t>
  </si>
  <si>
    <t>operated</t>
  </si>
  <si>
    <t>https://totalenergies.com/sites/g/files/nytnzq121/files/documents/2022-05/Sustainability_Climate_2022_Progress_Report_accessible_version_EN.pdf</t>
  </si>
  <si>
    <t>https://www.enel.com/content/dam/enel-com/documenti/investitori/sostenibilita/2021/sustainability-report_2021.pdf</t>
  </si>
  <si>
    <t>https://www.eni.com/assets/documents/eng/reports/2021/Fact-Book-2021-eng.pdf</t>
  </si>
  <si>
    <t>electricity</t>
  </si>
  <si>
    <t>gas</t>
  </si>
  <si>
    <t>Eni S.P.A. - Global Gas &amp; LNG</t>
  </si>
  <si>
    <t>Eni S.P.A. - Refining &amp; Marketing and Chemicals</t>
  </si>
  <si>
    <t>Eni S.P.A. - Plenitude &amp; Power</t>
  </si>
  <si>
    <t>81560041C853AE5B9057</t>
  </si>
  <si>
    <t>IT0003132476-LNG</t>
  </si>
  <si>
    <t>IT0003132476-Oil</t>
  </si>
  <si>
    <t>IT0003132476-Power</t>
  </si>
  <si>
    <t>Eni S.P.A. - Oil</t>
  </si>
  <si>
    <t>IT0003132476-Chem</t>
  </si>
  <si>
    <t>Chemicals</t>
  </si>
  <si>
    <t>Eni S.P.A. - Group</t>
  </si>
  <si>
    <t>upstream</t>
  </si>
  <si>
    <t>t CO2e/kboe</t>
  </si>
  <si>
    <t>kboe/d</t>
  </si>
  <si>
    <t>lng</t>
  </si>
  <si>
    <t>biofuels</t>
  </si>
  <si>
    <t>Mt Petroleum</t>
  </si>
  <si>
    <t>kt Biofuel</t>
  </si>
  <si>
    <t>petrochemicals</t>
  </si>
  <si>
    <t>Mt Petrochemicals</t>
  </si>
  <si>
    <t>t CO2e/kt</t>
  </si>
  <si>
    <t>kbbl/d</t>
  </si>
  <si>
    <t>https://www.oxy.com/globalassets/documents/publications/oxy-climate-report-2021.pdf</t>
  </si>
  <si>
    <t>Occidental Petroleum - Group</t>
  </si>
  <si>
    <t>OXY OIL AND GAS</t>
  </si>
  <si>
    <t>OXYCHEM</t>
  </si>
  <si>
    <t>Mt CO2e/boe</t>
  </si>
  <si>
    <t>OXY CHEM</t>
  </si>
  <si>
    <t>CCS</t>
  </si>
  <si>
    <t>page</t>
  </si>
  <si>
    <t>https://www.eni.com/assets/documents/eng/just-transition/2021/eni-for-2021-carbon-neutrality-2050-eng.pdf</t>
  </si>
  <si>
    <t>https://www.alliantenergy.com/-/media/alliant/documents/cleanenergy/responsibility-report/eeiesgquantitativetemplate.xlsx</t>
  </si>
  <si>
    <t>https://www.alliantenergy.com/-/media/alliant/documents/cleanenergy/responsibility-report/esgperformancesummary.pdf</t>
  </si>
  <si>
    <t>https://s26.q4cdn.com/888045447/files/doc_downloads/2022/10/2022-ESG-Report_10-13-22_Final.pdf</t>
  </si>
  <si>
    <t>base year</t>
  </si>
  <si>
    <t>own</t>
  </si>
  <si>
    <t>s1 intensity</t>
  </si>
  <si>
    <t>Other (Ludington Pumped Storage Plant)</t>
  </si>
  <si>
    <t>https://d1io3yog0oux5.cloudfront.net/clevelandcliffs/files/pages/clevelandcliffs/db/CLF_SustainabilityReport_062022.pdf</t>
  </si>
  <si>
    <t>https://www.carpentertechnology.com/hubfs/2022_CRS_Sustainability_Report.pdf</t>
  </si>
  <si>
    <t>https://www.bp.com/content/dam/bp/business-sites/en/global/corporate/pdfs/sustainability/group-reports/bp-esg-datasheet-2021.pdf</t>
  </si>
  <si>
    <t>https://www.cmc.com/getmedia/f81a63c4-6285-4c8a-a573-35f79d71fe24/CMC_2021_Sustainability_Report.pdf</t>
  </si>
  <si>
    <t>https://cms-cleco.ae-admin.com/docs/default-source/investor-information/2022-eei-investor-deck_november-2022_final.pdf</t>
  </si>
  <si>
    <t>https://investor.conedison.com/static-files/20ccb3a6-7a84-4f12-aaaf-5b01a287327b</t>
  </si>
  <si>
    <t>https://investor.conedison.com/static-files/04a92512-a720-4044-bdcc-3410e56bdb59</t>
  </si>
  <si>
    <t>N/A</t>
  </si>
  <si>
    <t>distribution</t>
  </si>
  <si>
    <t>CECONY</t>
  </si>
  <si>
    <t>O&amp;R</t>
  </si>
  <si>
    <t>https://dteempowermi.wpenginepowered.com/wp-content/uploads/2021SustainabilityReport.pdf</t>
  </si>
  <si>
    <t>https://dteempowermi.wpenginepowered.com/wp-content/uploads/2021KeyPerformanceData.xlsx</t>
  </si>
  <si>
    <t>boundary</t>
  </si>
  <si>
    <t>consumption</t>
  </si>
  <si>
    <t>purchased</t>
  </si>
  <si>
    <t>own+purchased</t>
  </si>
  <si>
    <t>us</t>
  </si>
  <si>
    <t>us+uk</t>
  </si>
  <si>
    <t>gas - supplier emissions</t>
  </si>
  <si>
    <t>component</t>
  </si>
  <si>
    <t>s1s2 intensity</t>
  </si>
  <si>
    <t>s1s2s3 intensity</t>
  </si>
  <si>
    <t>s2 intensity</t>
  </si>
  <si>
    <t>s3 intensity</t>
  </si>
  <si>
    <t>submetric</t>
  </si>
  <si>
    <t>megaEUR</t>
  </si>
  <si>
    <t>https://www.posco.co.kr/docs/eng6/jsp/dn/irinfo/posco_factbook_2021.pdf</t>
  </si>
  <si>
    <t>upstream leased assets</t>
  </si>
  <si>
    <t>t CO2e/(t Steel)</t>
  </si>
  <si>
    <t>US6745991058-oil</t>
  </si>
  <si>
    <t>US6745991058-chem</t>
  </si>
  <si>
    <t>g CO2/MJ</t>
  </si>
  <si>
    <t>raw_steel</t>
  </si>
  <si>
    <t>alloys</t>
  </si>
  <si>
    <t>kt Alloys</t>
  </si>
  <si>
    <t>lifecycle</t>
  </si>
  <si>
    <t>X</t>
  </si>
  <si>
    <t>MMscf CH4</t>
  </si>
  <si>
    <t>alloys+raw_steel</t>
  </si>
  <si>
    <t>https://aepsustainability.com/performance/report/docs/2022_AEP-Sustainability-Report.pdf</t>
  </si>
  <si>
    <t>https://s201.q4cdn.com/583395453/files/doc_downloads/2022/climate-report-2022.pdf</t>
  </si>
  <si>
    <t>fleet</t>
  </si>
  <si>
    <t>equipment</t>
  </si>
  <si>
    <t>refrigerants</t>
  </si>
  <si>
    <t>heat</t>
  </si>
  <si>
    <t>transmission</t>
  </si>
  <si>
    <t>upstream gas</t>
  </si>
  <si>
    <t>upstream generation</t>
  </si>
  <si>
    <t>upstream purchased power</t>
  </si>
  <si>
    <t>other fuel</t>
  </si>
  <si>
    <t>https://s201.q4cdn.com/583395453/files/doc_downloads/esg-key-documents/2021-esg-summary.pdf</t>
  </si>
  <si>
    <t>upstream coal</t>
  </si>
  <si>
    <t>S3.11</t>
  </si>
  <si>
    <t>S1+S3.3</t>
  </si>
  <si>
    <t>2021 report is lame and conflates emissions</t>
  </si>
  <si>
    <t>html</t>
  </si>
  <si>
    <t>https://materials.proxyvote.com/Approved/981811/20220801/AR_514436/INDEX.HTML?page=42</t>
  </si>
  <si>
    <t>https://www.worthingtonindustries.com/docs/default-source/default-document-library/worthington-sustainability-report-2022-final-oct6.pdf</t>
  </si>
  <si>
    <t>https://fecorporateresponsibility.com/content/dam/fecorporateresponsibility/files/reports-resources/eei/EEI2022.pdf</t>
  </si>
  <si>
    <t>bscf CH4</t>
  </si>
  <si>
    <t>s1 - market sales</t>
  </si>
  <si>
    <t>s1 - natural gas</t>
  </si>
  <si>
    <t>s1 - fleet</t>
  </si>
  <si>
    <t>s1 - sf6</t>
  </si>
  <si>
    <t>s1 - other</t>
  </si>
  <si>
    <t>s1 - generation</t>
  </si>
  <si>
    <t>s2 - buildings</t>
  </si>
  <si>
    <t>s2 - line loss</t>
  </si>
  <si>
    <t>t CO2e/(t Petrochemicals)</t>
  </si>
  <si>
    <t>LG&amp;E and KU</t>
  </si>
  <si>
    <t>PPL Electric</t>
  </si>
  <si>
    <t>https://pplweb.wpenginepowered.com/wp-content/uploads/2022/07/PPL-Corporation-2021-Sustainability-Report.pdf</t>
  </si>
  <si>
    <t>as indicated on the report</t>
  </si>
  <si>
    <t>Purchased goods and services</t>
  </si>
  <si>
    <t>Capital Goods</t>
  </si>
  <si>
    <t>Upstream Transportation</t>
  </si>
  <si>
    <t>Business travel</t>
  </si>
  <si>
    <t>Employee commuting</t>
  </si>
  <si>
    <t>Use of sold products</t>
  </si>
  <si>
    <t>Downstream leased assets</t>
  </si>
  <si>
    <t>Total</t>
  </si>
  <si>
    <t>Revenue</t>
  </si>
  <si>
    <t>M€</t>
  </si>
  <si>
    <t>2021-sustainability-report.pdf (airliquide.com)</t>
  </si>
  <si>
    <t>Millions t CO2e</t>
  </si>
  <si>
    <t>Total biogenic CO₂ emissions from combustion of biofuels</t>
  </si>
  <si>
    <t>Other upstream categories</t>
  </si>
  <si>
    <t>end of life treatment</t>
  </si>
  <si>
    <t>other downstream categories</t>
  </si>
  <si>
    <t>EUR Millions</t>
  </si>
  <si>
    <t>https://annualreport.dsm.com/ar2021/_assets/downloads/entire-dsm-ar21.pdf</t>
  </si>
  <si>
    <t>https://annualreport.dsm.com/ar2020/_assets/downloads/entire-dsm-ar20.pdf</t>
  </si>
  <si>
    <t>https://annualreport.dsm.com/ar2019/xmlpages/resources/TXP/dsm/ar_2019/files/DSM-Annual-Report-2019.pdf</t>
  </si>
  <si>
    <t>https://www.dsm.com/content/dam/dsm/corporate/en_US/documents/dsm-annual-report-2018.pdf</t>
  </si>
  <si>
    <t>https://www.dsm.com/content/dam/dsm/corporate/en_US/documents/dsm-annual-report-2017.pdf</t>
  </si>
  <si>
    <t>EUR billions</t>
  </si>
  <si>
    <t>climate-report-2021.pdf (loreal.com)</t>
  </si>
  <si>
    <t>From Direct energy sources</t>
  </si>
  <si>
    <t>From Biogenic sources</t>
  </si>
  <si>
    <t>From indirect energy sources</t>
  </si>
  <si>
    <t>Raw Materials</t>
  </si>
  <si>
    <t>Other indirect materials &amp; services categories (excluding existing categories)</t>
  </si>
  <si>
    <t>Packaging</t>
  </si>
  <si>
    <t>Fuel and Energy-related activities</t>
  </si>
  <si>
    <t>Upstream Transportation and distribution</t>
  </si>
  <si>
    <t>Waste generated in operations</t>
  </si>
  <si>
    <t>Downstream Transportation and distribution</t>
  </si>
  <si>
    <t>Outbound product to customers</t>
  </si>
  <si>
    <t>Outbound intercompany deliveries</t>
  </si>
  <si>
    <t>CHF Millions</t>
  </si>
  <si>
    <t>GIV_Integrated_Annual_Report_2020.pdf (givaudan.com)</t>
  </si>
  <si>
    <t>GIV_2021_IntegratedAnnualReport_4.pdf (givaudan.com)</t>
  </si>
  <si>
    <t>Resetated in 2020</t>
  </si>
  <si>
    <t>restated</t>
  </si>
  <si>
    <t>Indirect materials &amp; services  (excluding packaging)</t>
  </si>
  <si>
    <t>GIV_2019_SustainabilityGRIIndex.pdf (givaudan.com)</t>
  </si>
  <si>
    <t>Restated</t>
  </si>
  <si>
    <t>Packaging of finished products</t>
  </si>
  <si>
    <t>GIV_2018_SustainabilityProgressReview.pdf (givaudan.com)</t>
  </si>
  <si>
    <t>GIV_2017_SustainabilityReport.pdf (givaudan.com)</t>
  </si>
  <si>
    <t>Carbon Dioxide</t>
  </si>
  <si>
    <t>Nitrous Oxide</t>
  </si>
  <si>
    <t>Methane</t>
  </si>
  <si>
    <t>Hydrofluorocarbons</t>
  </si>
  <si>
    <t>Sulfur hexaflouride</t>
  </si>
  <si>
    <t>market-based</t>
  </si>
  <si>
    <t>Location-based*</t>
  </si>
  <si>
    <t>Location-based</t>
  </si>
  <si>
    <t>transport upstream</t>
  </si>
  <si>
    <t>waste in operations</t>
  </si>
  <si>
    <t>Business Travel</t>
  </si>
  <si>
    <t>Leased assets upstream</t>
  </si>
  <si>
    <t>Transport downstream</t>
  </si>
  <si>
    <t>Disposal/end-of-life treatment of sold products</t>
  </si>
  <si>
    <t>Investments</t>
  </si>
  <si>
    <t>https://report.basf.com/2021/en/managements-report/sustainability-along-the-value-chain/safe-and-efficient-production/energy-and-climate-protection.html</t>
  </si>
  <si>
    <t>Sale of energy to third parties</t>
  </si>
  <si>
    <t xml:space="preserve">location-based </t>
  </si>
  <si>
    <t>Purchased products, services and capital goods (Categories 1,2, 3a)</t>
  </si>
  <si>
    <t>Production (including generation of steam and electricity)</t>
  </si>
  <si>
    <t>Transport of products, employees commuting and business travel (categories 4,6,7,9)</t>
  </si>
  <si>
    <t>Emissions from the use of end-products (Category 11)</t>
  </si>
  <si>
    <t>icineration with energy recovery, landfilling (category 12)</t>
  </si>
  <si>
    <t>Other (categories 3b,3c, 5,8,13,15)</t>
  </si>
  <si>
    <t>gby-business-year-basf-basf-ar21.pdf</t>
  </si>
  <si>
    <t>basf-report-2020-basf-ar20.pdf</t>
  </si>
  <si>
    <t>Icineration with energy recovery, landfilling (category 12)</t>
  </si>
  <si>
    <t>BASF_Report_2019.pdf</t>
  </si>
  <si>
    <t>location-based</t>
  </si>
  <si>
    <t>icineratiom with energy recovery, landfilling (category 12)</t>
  </si>
  <si>
    <t>https://report.basf.com/2018/en/servicepages/downloads/files/BASF_Report_2018.pdf</t>
  </si>
  <si>
    <t>https://report.basf.com/2017/en/servicepages/downloads/files/BASF_Report_2017.pdf</t>
  </si>
  <si>
    <t>Co2</t>
  </si>
  <si>
    <t>HFC</t>
  </si>
  <si>
    <t>Others</t>
  </si>
  <si>
    <t>Other direct emissions (Montreal Protocol)</t>
  </si>
  <si>
    <t>(figures from the targets on website)</t>
  </si>
  <si>
    <t>Fuel-and-energy-related activities</t>
  </si>
  <si>
    <t>Upstream leased assets</t>
  </si>
  <si>
    <t>Downstream transportation and distribution</t>
  </si>
  <si>
    <t>Processing of sold products</t>
  </si>
  <si>
    <t>End-of-life treatment of sold products</t>
  </si>
  <si>
    <t>Franchises</t>
  </si>
  <si>
    <t>Sum total from above categories</t>
  </si>
  <si>
    <t>From website</t>
  </si>
  <si>
    <t>ARK2021_ARKEMA_URD_EN_V4BAT_MEL_2022_03_29.pdf</t>
  </si>
  <si>
    <t>Downstream Leased Assets</t>
  </si>
  <si>
    <t>2021-sustainable-development-report-v2.pdf (linde.com)</t>
  </si>
  <si>
    <t>USD Millions</t>
  </si>
  <si>
    <t>sustainable-development-report.pdf (linde.com)</t>
  </si>
  <si>
    <t>Linde 2018 Sustainable Development Report</t>
  </si>
  <si>
    <t>Sustainable Development Report and Annex 2019 (linde.com)</t>
  </si>
  <si>
    <t>Praxair</t>
  </si>
  <si>
    <t>Linde AG</t>
  </si>
  <si>
    <t>Linde plc: CDP Climate Change Questionnaire 2020</t>
  </si>
  <si>
    <t>of which HyCO Plants</t>
  </si>
  <si>
    <t xml:space="preserve">Other GHG </t>
  </si>
  <si>
    <t>CO2 emissions</t>
  </si>
  <si>
    <t>Of which by air separation plants</t>
  </si>
  <si>
    <t>2017_linde_corporate_responsibility_report.pdf</t>
  </si>
  <si>
    <t>Transportation</t>
  </si>
  <si>
    <t>SEK Millions</t>
  </si>
  <si>
    <t>https://www.nolato.com/-/media/Files/Publications/Annual-report-2021/Nolato_annualreport-2021.pdf</t>
  </si>
  <si>
    <t>JPY Billions</t>
  </si>
  <si>
    <t>https://www.nolato.com/-/media/Files/Publications/Sustainability-Report/nolato-sustainability-report-2020.pdf</t>
  </si>
  <si>
    <t>https://www.nolato.com/-/media/Files/Publications/Sustainability-Report/Nolato-Sustainability-report-2019.pdf</t>
  </si>
  <si>
    <t>https://www.nolato.com/-/media/Files/Publications/Sustainability-Report/nolato_sustainable-2018.pdf</t>
  </si>
  <si>
    <t>https://www.nolato.com/-/media/Files/Publications/Sustainability-Report/nolato-sustainable-2017.pdf</t>
  </si>
  <si>
    <t>Fuel and energy-related activities not in scope 1&amp;2</t>
  </si>
  <si>
    <t>Transportation and delivery (upstream)</t>
  </si>
  <si>
    <t>Leased assets (upstream)</t>
  </si>
  <si>
    <t>Franchise</t>
  </si>
  <si>
    <t>Investment</t>
  </si>
  <si>
    <t>Sustainability2022E.pdf (shinetsu.co.jp)</t>
  </si>
  <si>
    <t>Enlarged Group</t>
  </si>
  <si>
    <t>GBP Millions</t>
  </si>
  <si>
    <t>synthomer_ar21.pdf</t>
  </si>
  <si>
    <t>Legacy Synthomer</t>
  </si>
  <si>
    <t>synthomer_ar2020.pdf</t>
  </si>
  <si>
    <t>s1+s2+s3</t>
  </si>
  <si>
    <t>Synthomer_Annual Report 2019.pdf</t>
  </si>
  <si>
    <t>synthomer_2018_ar.pdf</t>
  </si>
  <si>
    <t>Synthomer plc Annual Report 2017</t>
  </si>
  <si>
    <t>KRW Billions</t>
  </si>
  <si>
    <t>21_LGHH_ESG_REPORT_SR_ENG_fin.pdf (lghnh.com)</t>
  </si>
  <si>
    <t>2020_LG_H&amp;H_CSR_en_low.pdf (lghnh.com)</t>
  </si>
  <si>
    <t>2019_LG_H&amp;H_CSR_en_low.pdf (lghnh.com)</t>
  </si>
  <si>
    <t>2018_LG_H&amp;H_CSR_Report_en_spread.pdf (lghnh.com)</t>
  </si>
  <si>
    <t>2017_LG_H&amp;H_CSR_Report_en_spread.pdf (lghnh.com)</t>
  </si>
  <si>
    <t xml:space="preserve">Total </t>
  </si>
  <si>
    <t>Fuel and energy-related activities</t>
  </si>
  <si>
    <t>Upstream transportation and distribution</t>
  </si>
  <si>
    <t>Waste-generated in operations</t>
  </si>
  <si>
    <t>Other categories</t>
  </si>
  <si>
    <t>Covestro_GRI_Supplementary_Report_2017.pdf (rootdom.net)</t>
  </si>
  <si>
    <t>Covestro_GRI_Supplement_2018.pdf (rootdom.net)</t>
  </si>
  <si>
    <t>Covestro_mgmt_report_incl_sustainability_information_2019_EN.pdf (rootdom.net)</t>
  </si>
  <si>
    <t>https://report.covestro.com/annual-report-2021/servicepages/downloads/files/entire-covestro-ar21.pdf</t>
  </si>
  <si>
    <t>https://www.covestro.com/en/investors/reports-and-presentations/-/media/4AC8903B82F5498791FAF8649049CE55.ashx</t>
  </si>
  <si>
    <t>https://www.covestro.com/-/media/covestro/corporate/investors/financial-documents-and-presentations/presentations-and-documents/2019/covestro_mgmt_report_incl_sustainability_information_2019_en.pdf?rev=505bd5187aa147f9aa442a1dd1982e98</t>
  </si>
  <si>
    <t>https://www.covestro.com/-/media/covestro/corporate/investors/financial-documents-and-presentations/presentations-and-documents/2018/covestro_gri_supplement_2018.pdf?rev=e04f5f6b6cd54771989a051a062920c5</t>
  </si>
  <si>
    <t>https://www.covestro.com/-/media/covestro/corporate/investors/financial-documents-and-presentations/presentations-and-documents/2017/covestro_gri_supplementary_report_2017.pdf?rev=45f46aedfaaf41419d43ac5935f8c970</t>
  </si>
  <si>
    <t>Thousands EUR</t>
  </si>
  <si>
    <t>NOK Millions</t>
  </si>
  <si>
    <t>d29c052b-ec61-4215-ba8e-02c358787d74 (globenewswire.com)</t>
  </si>
  <si>
    <t>25d37dd8-ce84-47e6-96f2-40a6c69d8d0f (globenewswire.com)</t>
  </si>
  <si>
    <t>b4cf2ad0-9d6b-444a-b201-b295ea6f3062 (globenewswire.com)</t>
  </si>
  <si>
    <t>882492.pdf (hugin.info)</t>
  </si>
  <si>
    <t>840448.pdf (hugin.info)</t>
  </si>
  <si>
    <t>Commuting</t>
  </si>
  <si>
    <t>https://www.symrise.com/newsroom/downloads/index.php/?eID=tx_securedownloads&amp;p=458&amp;u=0&amp;g=0&amp;t=1670676125&amp;hash=1f12a1d50d6759b8e5ac69bd727659cc783846fb&amp;file=fileadmin/symrise/Downloads_reports/reports/documents/2022/220301_Symrise_Corporate_Report_2021.pdf</t>
  </si>
  <si>
    <t>https://www.symrise.com/newsroom/downloads/index.php/?eID=tx_securedownloads&amp;p=458&amp;u=0&amp;g=0&amp;t=1670676125&amp;hash=8d2e93483c44891f9cbf0739902653a6ca718bf1&amp;file=fileadmin/symrise/Downloads_reports/sustainability/GRI_Balances/EN/SYM_Sustainability_Record_2021.pdf</t>
  </si>
  <si>
    <t>https://www.symrise.com/newsroom/downloads/index.php/?eID=tx_securedownloads&amp;p=458&amp;u=0&amp;g=0&amp;t=1670937682&amp;hash=0c0b05e6a5cb45916d8974a13ef8cdbaf5ff52da&amp;file=fileadmin/symrise/Downloads_reports/sustainability/GRI_Balances/EN/SYM_Sustainability_Record_2020.pdf</t>
  </si>
  <si>
    <t>https://www.symrise.com/newsroom/downloads/index.php/?eID=tx_securedownloads&amp;p=458&amp;u=0&amp;g=0&amp;t=1670937682&amp;hash=92bbb8d6aea3b870ef3efa45c04336a066b8341b&amp;file=fileadmin/symrise/Downloads_reports/sustainability/GRI_Balances/EN/SYM_Sustainability_Record_2019.pdf</t>
  </si>
  <si>
    <t>https://www.symrise.com/newsroom/downloads/index.php/?eID=tx_securedownloads&amp;p=458&amp;u=0&amp;g=0&amp;t=1670937708&amp;hash=5ed930ed38d73cd58dc0e7969c1d17e360a62731&amp;file=fileadmin/symrise/Downloads_reports/sustainability/GRI_Balances/EN/SYM_Sustainability_Record_2018.pdf</t>
  </si>
  <si>
    <t>https://www.symrise.com/newsroom/downloads/index.php/?eID=tx_securedownloads&amp;p=458&amp;u=0&amp;g=0&amp;t=1670937708&amp;hash=e1996a9ec25e86036f552c68d0a322811a123097&amp;file=fileadmin/symrise/Downloads_reports/sustainability/GRI_Balances/EN/SYM_Sustainability_Record_2017.pdf</t>
  </si>
  <si>
    <t>thousand t CO2e</t>
  </si>
  <si>
    <t>JPY Millions</t>
  </si>
  <si>
    <t>TokaiCarbon_H1-H4_English_fin</t>
  </si>
  <si>
    <t>Capital goods</t>
  </si>
  <si>
    <t>Fuel and energy-related activities not included in scope 1 and scope 2</t>
  </si>
  <si>
    <t>upstream transport and delivery</t>
  </si>
  <si>
    <t>Waste generated by business operations</t>
  </si>
  <si>
    <t>Downstream transport and delivery</t>
  </si>
  <si>
    <t>End of life treatments of sold products</t>
  </si>
  <si>
    <t>all.pdf (tokaicarbon.co.jp)</t>
  </si>
  <si>
    <t>Korea</t>
  </si>
  <si>
    <t>excl. Korea</t>
  </si>
  <si>
    <t>Purchased Goods and services</t>
  </si>
  <si>
    <t>Upstream transportation</t>
  </si>
  <si>
    <t>Waste</t>
  </si>
  <si>
    <t>Employee Commuting</t>
  </si>
  <si>
    <t>Other Upstream</t>
  </si>
  <si>
    <t>KRW</t>
  </si>
  <si>
    <t>LGChem_2021_Sustainability_Report_ENG.pdf</t>
  </si>
  <si>
    <t>Purchased Goods and services-Emissions from other than land-use change</t>
  </si>
  <si>
    <t>Purchased Goods and services-Emissions from Land-use change</t>
  </si>
  <si>
    <t>End of life treatment of sold products</t>
  </si>
  <si>
    <t>Other Categories (3,6,7)</t>
  </si>
  <si>
    <t>Total (in this calculation)</t>
  </si>
  <si>
    <t>Total (on the website source)</t>
  </si>
  <si>
    <t>Sustainablity Report 2021 | Shiseido Company</t>
  </si>
  <si>
    <t>Other Categories (2,3,4,5,6,7,13)</t>
  </si>
  <si>
    <t>2020.pdf (shiseido.com)</t>
  </si>
  <si>
    <t>Shiseido_SR2019_EN</t>
  </si>
  <si>
    <t>Zeon Corporation Only</t>
  </si>
  <si>
    <t>Zeon Group Companies in Japan</t>
  </si>
  <si>
    <t>Zeon Group Companies outside Japan</t>
  </si>
  <si>
    <t>200324916.pdf (zeon.co.jp)</t>
  </si>
  <si>
    <t>200324902.pdf (zeon.co.jp)</t>
  </si>
  <si>
    <t>debt</t>
  </si>
  <si>
    <t>cash</t>
  </si>
  <si>
    <t>shares outstanding</t>
  </si>
  <si>
    <t>share price on report date</t>
  </si>
  <si>
    <t>Air Liquide SA</t>
  </si>
  <si>
    <t>529900KDAQXRLFTJYL75</t>
  </si>
  <si>
    <t>FR0000120073</t>
  </si>
  <si>
    <t>France</t>
  </si>
  <si>
    <t>EUR</t>
  </si>
  <si>
    <t>FR0000053951</t>
  </si>
  <si>
    <t>Koninklijke DSM NV</t>
  </si>
  <si>
    <t>NL0000009827</t>
  </si>
  <si>
    <t>Netherlands</t>
  </si>
  <si>
    <t>L'Oreal SA</t>
  </si>
  <si>
    <t>FR0000120321</t>
  </si>
  <si>
    <t>Givaudan SA</t>
  </si>
  <si>
    <t>CH0010645932</t>
  </si>
  <si>
    <t>Switzerland</t>
  </si>
  <si>
    <t>CHF</t>
  </si>
  <si>
    <t>BASF SE</t>
  </si>
  <si>
    <t>DE000BASF111</t>
  </si>
  <si>
    <t>Germany</t>
  </si>
  <si>
    <t>Arkema SA</t>
  </si>
  <si>
    <t>FR0010313833</t>
  </si>
  <si>
    <t>Linde Plc</t>
  </si>
  <si>
    <t>IE00BZ12WP82</t>
  </si>
  <si>
    <t>Ireland</t>
  </si>
  <si>
    <t>Nolato AB</t>
  </si>
  <si>
    <t>SE0015962477</t>
  </si>
  <si>
    <t>Sweden</t>
  </si>
  <si>
    <t>SEK</t>
  </si>
  <si>
    <t>Shin-Etsu Chemical Co Ltd</t>
  </si>
  <si>
    <t>JP3371200001</t>
  </si>
  <si>
    <t>Japan</t>
  </si>
  <si>
    <t>JPY</t>
  </si>
  <si>
    <t>Synthomer Plc</t>
  </si>
  <si>
    <t>GB0009887422</t>
  </si>
  <si>
    <t>Great Britain</t>
  </si>
  <si>
    <t>GBP</t>
  </si>
  <si>
    <t>LG H&amp;H Co Ltd</t>
  </si>
  <si>
    <t>KR7051900009</t>
  </si>
  <si>
    <t>South Korea</t>
  </si>
  <si>
    <t>Covestro AG</t>
  </si>
  <si>
    <t>DE0006062144</t>
  </si>
  <si>
    <t>Inter Parfums Inc</t>
  </si>
  <si>
    <t>FR0004024222</t>
  </si>
  <si>
    <t>Borregaard ASA</t>
  </si>
  <si>
    <t>NO0010657505</t>
  </si>
  <si>
    <t>Norway</t>
  </si>
  <si>
    <t>NOK</t>
  </si>
  <si>
    <t>Symrise AG</t>
  </si>
  <si>
    <t>DE000SYM9999</t>
  </si>
  <si>
    <t>Tokai Carbon Co Ltd</t>
  </si>
  <si>
    <t>JP3560800009</t>
  </si>
  <si>
    <t>LG Chem Ltd</t>
  </si>
  <si>
    <t>KR7051910008</t>
  </si>
  <si>
    <t>Shiseido Co Ltd</t>
  </si>
  <si>
    <t>JP3351600006</t>
  </si>
  <si>
    <t>Zeon Corp</t>
  </si>
  <si>
    <t>JP3725400000</t>
  </si>
  <si>
    <t>kg CO2e/EUR</t>
  </si>
  <si>
    <t xml:space="preserve">s1+s2 </t>
  </si>
  <si>
    <t>t CO2e / EUR</t>
  </si>
  <si>
    <t>t CO2e/kg of formulas sold</t>
  </si>
  <si>
    <t>s1+s2</t>
  </si>
  <si>
    <t>tons CO2e/(million SEK)</t>
  </si>
  <si>
    <t>t CO2e/(million JPY)</t>
  </si>
  <si>
    <t>CRH Plc</t>
  </si>
  <si>
    <t>549300MIDJNNTH068E74</t>
  </si>
  <si>
    <t>IE0001827041</t>
  </si>
  <si>
    <t>Breedon Group Plc</t>
  </si>
  <si>
    <t>213800ZQKCIVCPN9H229</t>
  </si>
  <si>
    <t>JE00B2419D89</t>
  </si>
  <si>
    <t>UK</t>
  </si>
  <si>
    <t>Cement</t>
  </si>
  <si>
    <t>Holcim AG</t>
  </si>
  <si>
    <t>CH0012214059</t>
  </si>
  <si>
    <t>529900M5G5HGXW4Z4S17</t>
  </si>
  <si>
    <t>Siam Cement PCL, The</t>
  </si>
  <si>
    <t>529900SEH9QK8ZZDCQ89</t>
  </si>
  <si>
    <t>TH0003010Z04</t>
  </si>
  <si>
    <t>Thailand</t>
  </si>
  <si>
    <t>THB</t>
  </si>
  <si>
    <t>Anhui Conch Cement Co Ltd</t>
  </si>
  <si>
    <t>529900HS6X8TTV0FHV63</t>
  </si>
  <si>
    <t>CNE0000019V8</t>
  </si>
  <si>
    <t>China</t>
  </si>
  <si>
    <t>HeidelbergCement AG</t>
  </si>
  <si>
    <t>LZ2C6E0W5W7LQMX5ZI37</t>
  </si>
  <si>
    <t>DE0006047004</t>
  </si>
  <si>
    <t>Summit Materials Inc</t>
  </si>
  <si>
    <t>549300XNOLX5GIOSO108</t>
  </si>
  <si>
    <t>US86614U1007</t>
  </si>
  <si>
    <t>Martin Marietta Materials Inc</t>
  </si>
  <si>
    <t>5299005MZ4WZECVATV08</t>
  </si>
  <si>
    <t>US5732841060</t>
  </si>
  <si>
    <t>Vulcan Materials Co</t>
  </si>
  <si>
    <t>549300Q8LSNHAVWBNI21</t>
  </si>
  <si>
    <t>US9291601097</t>
  </si>
  <si>
    <t>Asia Cement Corp</t>
  </si>
  <si>
    <t>213800EFQXH43HMGJL59</t>
  </si>
  <si>
    <t>TW0001102002</t>
  </si>
  <si>
    <t>Taiwan</t>
  </si>
  <si>
    <t>TWD</t>
  </si>
  <si>
    <t>Lafarge Maroc SAS</t>
  </si>
  <si>
    <t>Not Available</t>
  </si>
  <si>
    <t>MA0000012320</t>
  </si>
  <si>
    <t>Morocco</t>
  </si>
  <si>
    <t>Africa</t>
  </si>
  <si>
    <t>Cemex SAB de CV</t>
  </si>
  <si>
    <t>549300RIG2CXWN6IV731</t>
  </si>
  <si>
    <t>US1512908898</t>
  </si>
  <si>
    <t>Mexico</t>
  </si>
  <si>
    <t>YTL Corp Bhd</t>
  </si>
  <si>
    <t>529900GODDPYOHZ8BZ03</t>
  </si>
  <si>
    <t>MYL3794OO004</t>
  </si>
  <si>
    <t>Malaysia</t>
  </si>
  <si>
    <t>China National Building Material Co Ltd</t>
  </si>
  <si>
    <t>52990085PGF8YEPLBZ26</t>
  </si>
  <si>
    <t>CNE1000002N9</t>
  </si>
  <si>
    <t>x</t>
  </si>
  <si>
    <t>crh-2021-sustainability-report_interactive.pdf</t>
  </si>
  <si>
    <t>crh-2020-sustainability-report.pdf</t>
  </si>
  <si>
    <t>crh-sustainability-report-2019-interactive.pdf</t>
  </si>
  <si>
    <t>crh-sustainability-report-2018.pdf</t>
  </si>
  <si>
    <t>crh-2017-sustainability-report.pdf</t>
  </si>
  <si>
    <t>process</t>
  </si>
  <si>
    <t>Annual Report 2021 (breedongroup.com)</t>
  </si>
  <si>
    <t>https://tools.eurolandir.com/tools/IA/Export/File/?companycode=uk-mmat&amp;lang=en-GB&amp;v=sustainability&amp;t0=0&amp;t=0&amp;t2=0&amp;series=1|1|1|1|1|1&amp;periods=1|1|1&amp;version=3-5&amp;type=pdf</t>
  </si>
  <si>
    <t>Annual Report 2020 (breedongroup.com)</t>
  </si>
  <si>
    <t>Annual Report 2019 (breedongroup.com)</t>
  </si>
  <si>
    <t>Holcim Sustainability Performance Report 2021</t>
  </si>
  <si>
    <t>Sustainability Performance Report 2020 (holcim.com)</t>
  </si>
  <si>
    <t>LafargeHolcim Sustainability Performance Report 2019</t>
  </si>
  <si>
    <t>SCG-Sustainability-Report-2021-Highlight.pdf (scgsustainability.com)</t>
  </si>
  <si>
    <t>SD Report 2021-EN_full_mar2_new2258 (d1bqwgblvv2dye.cloudfront.net)</t>
  </si>
  <si>
    <t>SD2020.pdf (scgsustainability.com)</t>
  </si>
  <si>
    <t>SD2019FULL.pdf (scgsustainability.com)</t>
  </si>
  <si>
    <t>SD2018.pdf (scgsustainability.com)</t>
  </si>
  <si>
    <t>HeidelbergCement Annual Report 2021 (heidelbergmaterials.com)</t>
  </si>
  <si>
    <t>HeidelbergCement Annual Report 2020 (heidelbergmaterials.com)</t>
  </si>
  <si>
    <t>Summit-ESG Report-2021-Compressed (q4cdn.com)</t>
  </si>
  <si>
    <t>0001628280-22-003521 (d18rn0p25nwr6d.cloudfront.net)</t>
  </si>
  <si>
    <t>Vulcan-Materials-Company-2021-ESG-Report-for-web.pdf</t>
  </si>
  <si>
    <t>2021--Asia Cement Sustainability Report-cn.pdf (acc.com.tw)</t>
  </si>
  <si>
    <t>Annual Report</t>
  </si>
  <si>
    <t>2021 Annaul Report.pdf (acc.com.tw)</t>
  </si>
  <si>
    <t>2020--Asia Cement CSR report--V2.0.pdf (acc.com.tw)</t>
  </si>
  <si>
    <t>https://www.acc.com.tw/download/Annual Report/2020/2020.pdf</t>
  </si>
  <si>
    <t>2019--Asia Cement CSR report-V2.0.pdf (acc.com.tw)</t>
  </si>
  <si>
    <t>AsiaCement_2019_Annual_Report0.pdf (acc.com.tw)</t>
  </si>
  <si>
    <t>2018--Asia Cement CSR report--for print.pdf (acc.com.tw)</t>
  </si>
  <si>
    <t>ae ae 2018e ae c a a e a.pdf (acc.com.tw)</t>
  </si>
  <si>
    <t>2--2017--Asia Cement CSR report.pdf (acc.com.tw)</t>
  </si>
  <si>
    <t>ca7f90b7-d742-314c-de70-7de4bf8f5431 (cemex.com)</t>
  </si>
  <si>
    <t>CEMEX &gt; 2020 Integrated Report</t>
  </si>
  <si>
    <t>4e1b2519-b75f-e61a-7cce-2a2f2f6f09dc (cemex.com)</t>
  </si>
  <si>
    <t>a147346a-339e-a49b-7d3f-fb53be8e46c9 (cemex.com)</t>
  </si>
  <si>
    <t>ca7c946f-a7ee-3d73-e574-c8f6e89cd698 (cemex.com)</t>
  </si>
  <si>
    <t>Below 500 KgCO2e/t</t>
  </si>
  <si>
    <t>1.6-2.0</t>
  </si>
  <si>
    <t>0.5-1.2</t>
  </si>
  <si>
    <t>50-75%</t>
  </si>
  <si>
    <t>more than 40% reduction</t>
  </si>
  <si>
    <t>CNY</t>
  </si>
  <si>
    <t>MYR</t>
  </si>
  <si>
    <t>MAD</t>
  </si>
  <si>
    <t>t Cement</t>
  </si>
  <si>
    <t>parent</t>
  </si>
  <si>
    <t>subsidiaries</t>
  </si>
  <si>
    <t>cement</t>
  </si>
  <si>
    <t>clinker</t>
  </si>
  <si>
    <t>Mt Cement</t>
  </si>
  <si>
    <t>Mt Aggregates</t>
  </si>
  <si>
    <t>Mt Concrete</t>
  </si>
  <si>
    <t>Mt Asphalt</t>
  </si>
  <si>
    <t>1,3,4,5,7</t>
  </si>
  <si>
    <t>combustion</t>
  </si>
  <si>
    <t>t CO2e / (t Cement)</t>
  </si>
  <si>
    <t>aggregates</t>
  </si>
  <si>
    <t>concrete</t>
  </si>
  <si>
    <t>kg CO2e per (t Cement)</t>
  </si>
  <si>
    <t>kg CO2e/(t Cement)</t>
  </si>
  <si>
    <t>https://cdn.ytlcement.com/ytl-media/ytl-media/assets/Malayan_Cement_Berhad_SR_2022_5a4ffc31c1.pdf</t>
  </si>
  <si>
    <t>kt CO2e/(t Cement)</t>
  </si>
  <si>
    <t>kt Cement</t>
  </si>
  <si>
    <t>kt</t>
  </si>
  <si>
    <t>asphalt</t>
  </si>
  <si>
    <t>yd**3</t>
  </si>
  <si>
    <t>Mt CO2e/(Mt Cement)</t>
  </si>
  <si>
    <t>t CO2e/(t Cement)</t>
  </si>
  <si>
    <t>https://labrador.cld.bz/EDF-2019-Universal-Registration-Document/II/</t>
  </si>
  <si>
    <t>https://labrador.cld.bz/EDF-2020-Universal-Registration-Document/5/</t>
  </si>
  <si>
    <t>https://www.edf.fr/sites/groupe/files/contrib/groupe-edf/espaces-dedies/espace-finance-en/financial-information/publications/facts-figures/facts-and-figures-2018-en.pdf</t>
  </si>
  <si>
    <t>https://www.edf.fr/sites/groupe/files/2022-03/edf-2021-universal-registration-document.pdf</t>
  </si>
  <si>
    <t>kWh</t>
  </si>
  <si>
    <t>https://www.nationalgrid.com/document/146706/download</t>
  </si>
  <si>
    <t>https://www.nationalgrid.com/document/146711/download</t>
  </si>
  <si>
    <t>t CO2e/GWh</t>
  </si>
  <si>
    <t>bcm CH4</t>
  </si>
  <si>
    <t>Mscf CH4</t>
  </si>
  <si>
    <t>Energy</t>
  </si>
  <si>
    <t>Oil</t>
  </si>
  <si>
    <t>Gas</t>
  </si>
  <si>
    <t>Ag Chem</t>
  </si>
  <si>
    <t>Consumer Products</t>
  </si>
  <si>
    <t>Pharmaceuticals</t>
  </si>
  <si>
    <t>Petrochem &amp; Plastics</t>
  </si>
  <si>
    <t>Fiber &amp; Rubber</t>
  </si>
  <si>
    <t>https://loreal-finance.publispeak.com/2021-universal-registration-document/article/220/</t>
  </si>
  <si>
    <t>https://mcdn.martinmarietta.com/assets/sustainability/flip/sustainability2021-e/index.html</t>
  </si>
  <si>
    <t>https://www.exeloncorp.com/sustainability/interactive-csr?year=2021&amp;page=128#</t>
  </si>
  <si>
    <t>customer-driven</t>
  </si>
  <si>
    <t>operations-driven</t>
  </si>
  <si>
    <t>Constellation Energy Corp</t>
  </si>
  <si>
    <t>US21037T1097</t>
  </si>
  <si>
    <t>549300F8Y20RYGNGV346</t>
  </si>
  <si>
    <t>https://www.constellationenergy.com/content/dam/constellationenergy/pdfs/Constellation-2022-Sustainability-Report.pdf</t>
  </si>
  <si>
    <t>s1 biogenic</t>
  </si>
  <si>
    <t>dekatherms</t>
  </si>
  <si>
    <t>produced gas</t>
  </si>
  <si>
    <t>s3.3</t>
  </si>
  <si>
    <t>s3.11</t>
  </si>
  <si>
    <t>bscf</t>
  </si>
  <si>
    <t>https://s24.q4cdn.com/970999156/files/doc_downloads/2022/12/2021SustainabilityReport.pdf</t>
  </si>
  <si>
    <t>Coal</t>
  </si>
  <si>
    <t>Mscf natural_gas</t>
  </si>
  <si>
    <t>US2333311072+Electricity Utilities</t>
  </si>
  <si>
    <t>US2333311072+Gas Utilities</t>
  </si>
  <si>
    <t>DTE Electric</t>
  </si>
  <si>
    <t>DTE Gas</t>
  </si>
  <si>
    <t>Gas Utilities</t>
  </si>
  <si>
    <t>US0236081024+Electricity Utilities</t>
  </si>
  <si>
    <t>US0236081024+Gas Utilities</t>
  </si>
  <si>
    <t>Ameren Corp. Electric</t>
  </si>
  <si>
    <t>Ameren Corp. Gas</t>
  </si>
  <si>
    <t>https://s21.q4cdn.com/448935352/files/doc_downloads/esg/2022/2022_Ameren_EEI_AGA_SustainTemplate.pdf</t>
  </si>
  <si>
    <t>Purchased</t>
  </si>
  <si>
    <t>https://s2.q4cdn.com/268623243/files/doc_downloads/2022/04/HEI_ESG_2022_R10.pdf</t>
  </si>
  <si>
    <t>https://www.mdu.com/wp-content/uploads/2022/08/MDU_Resources_Sustainability_Report_2021.pdf</t>
  </si>
  <si>
    <t>US5526901096+Electricity Utilities</t>
  </si>
  <si>
    <t>US5526901096+Gas Utilities</t>
  </si>
  <si>
    <t>fugitive CH4</t>
  </si>
  <si>
    <t>https://www.oge.com/wps/wcm/connect/06e19163-1c1a-4ebe-a4aa-fd491b12a0b1/OGE+2022+EEI+ESG-Sustainability+Template.pdf?MOD=AJPERES&amp;CVID=ofSho7a</t>
  </si>
  <si>
    <t>Bscf CH4</t>
  </si>
  <si>
    <t>MMbbl</t>
  </si>
  <si>
    <t>CA87807B1076+Electricity Utilities</t>
  </si>
  <si>
    <t>CA87807B1076+Gas</t>
  </si>
  <si>
    <t>CA87807B1076+Oil</t>
  </si>
  <si>
    <t>ng</t>
  </si>
  <si>
    <t>t CO2e/(Bscf CH4)</t>
  </si>
  <si>
    <t>t CO2e/MMbbl</t>
  </si>
  <si>
    <t>US6362744095+Electricity Utilities</t>
  </si>
  <si>
    <t>US6362744095+Gas Utilities</t>
  </si>
  <si>
    <t>ignore</t>
  </si>
  <si>
    <t>Mt Steel</t>
  </si>
  <si>
    <t>https://investors.exeloncorp.com/node/35191/html</t>
  </si>
  <si>
    <t>https://lite.conedison.com/ehs/2019-sustainability-report/files/ConEd_SR_2019_EEI-AGA-ESG-Sustainability-Template-Version-2-Quantitative-External.xlsx</t>
  </si>
  <si>
    <t>t CO2e / (t Steel)</t>
  </si>
  <si>
    <t>https://www.fortisinc.com/docs/default-source/environment-reports/2022-sustainability-report.pdf?sfvrsn=f2b07598_6</t>
  </si>
  <si>
    <t>Fortis, Inc. Electric</t>
  </si>
  <si>
    <t>Fortis, Inc. Gas</t>
  </si>
  <si>
    <t>decatherms</t>
  </si>
  <si>
    <t>https://issuu.com/northwesternenergy/docs/esg_report_2022_final_pages</t>
  </si>
  <si>
    <t>pdf pages</t>
  </si>
  <si>
    <t>https://www.pnmresources.com/~/media/Files/P/PNM-Resources/PNM%20EEI%20ESG%20Report%202021.xlsx</t>
  </si>
  <si>
    <t>https://s27.q4cdn.com/273397814/files/doc_presentations/2022/11/SO-Shareholder-Update-Fall-2022.pdf</t>
  </si>
  <si>
    <t>https://www.southerncompany.com/content/dam/southerncompany/sustainability/pdfs/esg-data-table-excel.xlsx</t>
  </si>
  <si>
    <t>https://stld.steeldynamics.com/wp-content/uploads/2023/02/LAB-22004-SDI-2022-Sustainability-web-spreads.pdf</t>
  </si>
  <si>
    <t>s1+s2 intensity</t>
  </si>
  <si>
    <t>http://flip.tenaris.com/books/yiev</t>
  </si>
  <si>
    <t>https://us.ternium.com/media/z4wbozjn/ternium-sustainability-report-2021.pdf</t>
  </si>
  <si>
    <t>https://www.ussteel.com/documents/40705/43725/USS_CSR21_Full_Report.pdf/b990344d-2d81-f112-2a8f-b1c584989345?t=1658343821405</t>
  </si>
  <si>
    <t>Astellas Pharma Inc.</t>
  </si>
  <si>
    <t>AstraZeneca</t>
  </si>
  <si>
    <t>Atlassian Corporation Plc</t>
  </si>
  <si>
    <t>Azbil Corporation</t>
  </si>
  <si>
    <t>Bayer AG</t>
  </si>
  <si>
    <t>CASIO COMPUTER CO., LTD.</t>
  </si>
  <si>
    <t>Consumer Durables, Household and Personal Products</t>
  </si>
  <si>
    <t>529900IB708DY2HBBB35</t>
  </si>
  <si>
    <t>JP3942400007</t>
  </si>
  <si>
    <t>PY6ZZQWO2IZFZC3IOL08</t>
  </si>
  <si>
    <t>GB0009895292</t>
  </si>
  <si>
    <t>United Kingdom (UK)</t>
  </si>
  <si>
    <t>549300AGBII4MWBVJY22</t>
  </si>
  <si>
    <t>GB00BZ09BD16</t>
  </si>
  <si>
    <t>Software and Services</t>
  </si>
  <si>
    <t>JP3937200008</t>
  </si>
  <si>
    <t>Electrical Equipment and Machinery</t>
  </si>
  <si>
    <t>549300J4U55H3WP1XT59</t>
  </si>
  <si>
    <t>DE000BAY0017</t>
  </si>
  <si>
    <t>353800JRMIABSXKHV344</t>
  </si>
  <si>
    <t>JP3209000003</t>
  </si>
  <si>
    <t>1296.2</t>
  </si>
  <si>
    <t>ESG Data | Astellas Pharma Inc.</t>
  </si>
  <si>
    <t>Road Fleet</t>
  </si>
  <si>
    <t>Site Energy</t>
  </si>
  <si>
    <t>Site non-energy</t>
  </si>
  <si>
    <t>combined s1 and s2 (simply adding the provided numbers scope 1 Total and market based scope 2)</t>
  </si>
  <si>
    <t>Sustainability_Data_Summary_2021.pdf (astrazeneca.com)</t>
  </si>
  <si>
    <t>Sustainability_Data_Summary_2020.pdf (astrazeneca.com)</t>
  </si>
  <si>
    <t>Diesel</t>
  </si>
  <si>
    <t>Fugitive emissions not covered by EACs</t>
  </si>
  <si>
    <t>Purchased electricity covered by EACs</t>
  </si>
  <si>
    <t>Purchased heating not covered by EACs</t>
  </si>
  <si>
    <t>Colocation datacenters covered by EACs</t>
  </si>
  <si>
    <t>Scope 2 market-based total before EACs</t>
  </si>
  <si>
    <t>Scope 2 market-based total w/RECs</t>
  </si>
  <si>
    <t>Location based-Fugitive Emissions</t>
  </si>
  <si>
    <t>Location based-Purchased electricity</t>
  </si>
  <si>
    <t>Location based-Purchased heating</t>
  </si>
  <si>
    <t>Location based- Colocation Datacenters</t>
  </si>
  <si>
    <t>Work from home electricity</t>
  </si>
  <si>
    <t>Work from home gas</t>
  </si>
  <si>
    <t>Leased Assets</t>
  </si>
  <si>
    <t>https://www.atlassian.com/company/corporate-social-responsibility/report</t>
  </si>
  <si>
    <t>Waste Generated from operations</t>
  </si>
  <si>
    <t>Use of Products sold</t>
  </si>
  <si>
    <t>Disposal of Products sold</t>
  </si>
  <si>
    <t>azbil report 2022 (A3-size)</t>
  </si>
  <si>
    <t>report2021_e.pdf (azbil.com)</t>
  </si>
  <si>
    <t>azbil report 2020</t>
  </si>
  <si>
    <t>azbil report 2019</t>
  </si>
  <si>
    <t>CO2</t>
  </si>
  <si>
    <t>ozone-depleting substances</t>
  </si>
  <si>
    <t>HFCs</t>
  </si>
  <si>
    <t>N2O</t>
  </si>
  <si>
    <t>CH4</t>
  </si>
  <si>
    <t>Market-Based</t>
  </si>
  <si>
    <t>Materiality considered (Categories 1,2,3,4,6) which is 91% of scope 3 considered for attainment of the SBT</t>
  </si>
  <si>
    <t>Bayer Sustainability Report 2021</t>
  </si>
  <si>
    <t>Ozone-depleting substances</t>
  </si>
  <si>
    <t>Bayer Sustainability Report 2020</t>
  </si>
  <si>
    <t>Bayer Sustainability Report 2019</t>
  </si>
  <si>
    <t>Cat 1: Purchased goods and services</t>
  </si>
  <si>
    <t>Cat 2: Capital Goods</t>
  </si>
  <si>
    <t>Cat 3: Fuel and energy-related activities not included in Scope 1 or S2</t>
  </si>
  <si>
    <t>Cat 4: Upstream Transportation and distribution</t>
  </si>
  <si>
    <t>Cat 5: Waste generated in operations</t>
  </si>
  <si>
    <t>Cat 6: Business travel</t>
  </si>
  <si>
    <t>Cat 7: Employee commuting</t>
  </si>
  <si>
    <t>Cat 8: Upstream Leased assets</t>
  </si>
  <si>
    <t>Cat 11: Use of sold products</t>
  </si>
  <si>
    <t>Cat 12: End of life treatment of sold products</t>
  </si>
  <si>
    <t>Cat 13: Downstream leased assets</t>
  </si>
  <si>
    <t>Cat 15: Investments</t>
  </si>
  <si>
    <t>SustainabilityReport 2022 (casio.com)</t>
  </si>
  <si>
    <t>scope 3-Business Travel</t>
  </si>
  <si>
    <t>scope 3-+Purchased Goods and services, capital goods</t>
  </si>
  <si>
    <t>Fuel- and energy-related activities</t>
  </si>
  <si>
    <t>Downstream transportation and distribution (surface)</t>
  </si>
  <si>
    <t>Downstream transportation and distribution (air)</t>
  </si>
  <si>
    <t>biogenic</t>
  </si>
  <si>
    <t>4,2</t>
  </si>
  <si>
    <t>https://www.tcenergy.com/siteassets/pdfs/sustainability/sustainability-report/2022/tce-2022-esg-data-sheet.pdf</t>
  </si>
  <si>
    <t>Avangrid, Inc. (Gas)</t>
  </si>
  <si>
    <t>US05351W1036-G</t>
  </si>
  <si>
    <t>decatherm</t>
  </si>
  <si>
    <t>t CO2e/(billion JPY)</t>
  </si>
  <si>
    <t>t CO2e/(GBP Millions)</t>
  </si>
  <si>
    <t>Mt CO2e/(GBP Billions)</t>
  </si>
  <si>
    <t>fuel- and energy-related</t>
  </si>
  <si>
    <t>Fuel- and energy-related</t>
  </si>
  <si>
    <t>Fuel- and energy-related activities not included in Scope 1&amp;2</t>
  </si>
  <si>
    <t>Downstream transportation</t>
  </si>
  <si>
    <t>Downstream Transportation</t>
  </si>
  <si>
    <t>Waste Generated in operations</t>
  </si>
  <si>
    <t>Fleet</t>
  </si>
  <si>
    <t>End-of-life treatment of sold product</t>
  </si>
  <si>
    <t>kt Clinker</t>
  </si>
  <si>
    <t>g CO2e/Wh</t>
  </si>
  <si>
    <t>https://www.airliquide.com/sites/airliquide.com/files/2023-03/air-liquide-sustainability-report-2022.pdf</t>
  </si>
  <si>
    <t>ENGIE</t>
  </si>
  <si>
    <t>LAXUQCHT4FH58LRZDY46</t>
  </si>
  <si>
    <t>FR0010208488</t>
  </si>
  <si>
    <t>Ørsted</t>
  </si>
  <si>
    <t>W9NG6WMZIYEU8VEDOG48</t>
  </si>
  <si>
    <t>DK0060094928</t>
  </si>
  <si>
    <t>DK</t>
  </si>
  <si>
    <t>DKK</t>
  </si>
  <si>
    <t>EnBW</t>
  </si>
  <si>
    <t>529900JSFZ4TS59HKD79</t>
  </si>
  <si>
    <t>DE0005220008</t>
  </si>
  <si>
    <t>Kansai Electric Power</t>
  </si>
  <si>
    <t>353800PFUKP5ONPJNZ86</t>
  </si>
  <si>
    <t>9503.T</t>
  </si>
  <si>
    <t>https://www.kepco.co.jp/english/corporate/list/esg/pdf/esg2022_e_05.pdf</t>
  </si>
  <si>
    <t>https://www.enbw.com/media/bericht/bericht_2021/downloads_5/investor-relations/esg-figures.xlsx</t>
  </si>
  <si>
    <t>https://www.engie.com/sites/default/files/assets/documents/2023-03/ENGIE_RI23_VA_VDEF.pdf</t>
  </si>
  <si>
    <t>https://www.engie.com/sites/default/files/assets/documents/2022-03/Integrated_Report_2022.pdf</t>
  </si>
  <si>
    <t>https://www.engie.com/sites/default/files/assets/documents/2021-05/RI-Engie2021-ENG-vdef.pdf</t>
  </si>
  <si>
    <t>https://orsted.com/-/media/annual2019/esg-performance-report-2019.pdf</t>
  </si>
  <si>
    <t>https://orsted.com/esgperformance2020</t>
  </si>
  <si>
    <t>https://orstedcdn.azureedge.net/-/media/annual2021/orsted-esg-performance-report-2021.ashx?rev=c025b5bb5f304fdbaaef0f94c70a60a8</t>
  </si>
  <si>
    <t>https://orsted.com/en/sustainability/sustainability-report</t>
  </si>
  <si>
    <t>https://www.verbund.com/-/media/verbund/ueber-verbund/investor-relations/finanzpublikationen/en/2022/verbund-integrated-annual-report-2021-englisch-final.ashx</t>
  </si>
  <si>
    <t>https://www.verbund.com/-/media/verbund/ueber-verbund/investor-relations/finanzpublikationen/en/2023/verbund-integrated-annual-report-2022-englisch-final.ashx</t>
  </si>
  <si>
    <t>ENGIE Electric</t>
  </si>
  <si>
    <t>ENGIE Gas</t>
  </si>
  <si>
    <t>FR0010208488+Electricity Utilities</t>
  </si>
  <si>
    <t>FR0010208488+Gas Utilities</t>
  </si>
  <si>
    <t>DE0005220008+Electricity Utilities</t>
  </si>
  <si>
    <t>DE0005220008+Gas Utilities</t>
  </si>
  <si>
    <t>EnBW Electric</t>
  </si>
  <si>
    <t>EnBW Gas</t>
  </si>
  <si>
    <t>DK0060094928+Electricity Utilities</t>
  </si>
  <si>
    <t>DK0060094928+Gas Utilities</t>
  </si>
  <si>
    <t>ENGIE Utility</t>
  </si>
  <si>
    <t>EnBW Utility</t>
  </si>
  <si>
    <t>DTE Energy Utility</t>
  </si>
  <si>
    <t>DTE Energy Electirc</t>
  </si>
  <si>
    <t>DTE Energy Gas</t>
  </si>
  <si>
    <t>Ørsted Utility</t>
  </si>
  <si>
    <t>Ørsted Electric</t>
  </si>
  <si>
    <t>Ørsted Gas</t>
  </si>
  <si>
    <t>CA3495531079+Electricity Utilities</t>
  </si>
  <si>
    <t>CA3495531079+Gas Utilities</t>
  </si>
  <si>
    <t>National Grid Electric</t>
  </si>
  <si>
    <t>National Grid Gas</t>
  </si>
  <si>
    <t>https://www.enel.com/content/dam/enel-com/documenti/investitori/sostenibilita/2019/sustainability-report_2019.pdf</t>
  </si>
  <si>
    <t>US26441C2044+Electricity Utilities</t>
  </si>
  <si>
    <t>US26441C2044+Gas Utilities</t>
  </si>
  <si>
    <t>US29274F1049+Electricity Utilities</t>
  </si>
  <si>
    <t>https://www.enel.com/content/dam/enel-com/documenti/investitori/investire-in-enel/programmi-principali/en/sustainability-linked-financing-framework_february2023.pdf</t>
  </si>
  <si>
    <t>US29274F1049+Gas Utilities</t>
  </si>
  <si>
    <t>Duke Energy Electric</t>
  </si>
  <si>
    <t>Duke Energy Gas</t>
  </si>
  <si>
    <t>Enel Americas Electric</t>
  </si>
  <si>
    <t>Enel Americas Gas</t>
  </si>
  <si>
    <t>https://d1io3yog0oux5.cloudfront.net/clevelandcliffs/files/pages/clevelandcliffs/db/1149/description/CLF_SustainabilityReport_2023_04032023.pdf</t>
  </si>
  <si>
    <t>investment_value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</si>
</sst>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yyyy\-mm\-dd;@"/>
    <numFmt numFmtId="165" formatCode="0.0000"/>
    <numFmt numFmtId="166" formatCode="yyyy\-mm\-dd"/>
    <numFmt numFmtId="167" formatCode="0.000"/>
    <numFmt numFmtId="168" formatCode="#,##0.000"/>
    <numFmt numFmtId="169" formatCode="_(* #,##0_);_(* \(#,##0\);_(* &quot;-&quot;??_);_(@_)"/>
    <numFmt numFmtId="170" formatCode="_(* #,##0.0_);_(* \(#,##0.0\);_(* &quot;-&quot;??_);_(@_)"/>
    <numFmt numFmtId="171" formatCode="#,##0.0"/>
    <numFmt numFmtId="172" formatCode="_-* #,##0_-;\-* #,##0_-;_-* &quot;-&quot;??_-;_-@_-"/>
    <numFmt numFmtId="173" formatCode="_-* #,##0.0\ _€_-;\-* #,##0.0\ _€_-;_-* &quot;-&quot;?\ _€_-;_-@_-"/>
  </numFmts>
  <fonts count="36">
    <font>
      <sz val="11"/>
      <color rgb="FF000000"/>
      <name val="Calibri"/>
      <family val="2"/>
      <charset val="1"/>
    </font>
    <font>
      <sz val="11"/>
      <color rgb="FFA6A6A6"/>
      <name val="Calibri (Body)"/>
      <charset val="1"/>
    </font>
    <font>
      <i/>
      <sz val="11"/>
      <color rgb="FF808080"/>
      <name val="Calibri"/>
      <family val="2"/>
      <charset val="1"/>
    </font>
    <font>
      <b/>
      <sz val="11"/>
      <color rgb="FF000000"/>
      <name val="Calibri"/>
      <family val="2"/>
      <charset val="1"/>
    </font>
    <font>
      <b/>
      <i/>
      <sz val="11"/>
      <color rgb="FF808080"/>
      <name val="Calibri"/>
      <family val="2"/>
      <charset val="1"/>
    </font>
    <font>
      <i/>
      <sz val="11"/>
      <color rgb="FFFF0000"/>
      <name val="Calibri"/>
      <family val="2"/>
      <charset val="1"/>
    </font>
    <font>
      <sz val="11"/>
      <name val="Calibri"/>
      <family val="2"/>
      <charset val="1"/>
    </font>
    <font>
      <sz val="11"/>
      <color rgb="FFFF0000"/>
      <name val="Calibri"/>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b/>
      <sz val="11"/>
      <name val="Calibri"/>
      <family val="2"/>
    </font>
    <font>
      <b/>
      <sz val="11"/>
      <color rgb="FF888888"/>
      <name val="Calibri"/>
      <family val="2"/>
    </font>
    <font>
      <sz val="11"/>
      <color rgb="FF888888"/>
      <name val="Calibri"/>
      <family val="2"/>
      <charset val="1"/>
    </font>
    <font>
      <u/>
      <sz val="11"/>
      <color theme="10"/>
      <name val="Calibri"/>
      <family val="2"/>
      <charset val="1"/>
    </font>
    <font>
      <sz val="10"/>
      <color rgb="FF000000"/>
      <name val="Tahoma"/>
      <family val="2"/>
    </font>
    <font>
      <b/>
      <sz val="10"/>
      <color rgb="FF000000"/>
      <name val="Tahoma"/>
      <family val="2"/>
    </font>
    <font>
      <sz val="11"/>
      <color rgb="FF000000"/>
      <name val="Calibri"/>
      <family val="2"/>
      <charset val="1"/>
    </font>
    <font>
      <b/>
      <sz val="11"/>
      <color rgb="FF000000"/>
      <name val="Calibri"/>
      <family val="2"/>
    </font>
    <font>
      <b/>
      <sz val="11"/>
      <color rgb="FFFF0000"/>
      <name val="Calibri"/>
      <family val="2"/>
      <charset val="1"/>
    </font>
    <font>
      <sz val="11"/>
      <color rgb="FF444444"/>
      <name val="Calibri"/>
      <family val="2"/>
      <charset val="1"/>
    </font>
    <font>
      <sz val="10"/>
      <color rgb="FFFF0000"/>
      <name val="Arial"/>
      <family val="2"/>
    </font>
    <font>
      <b/>
      <sz val="11"/>
      <color rgb="FFFF0000"/>
      <name val="Calibri"/>
      <family val="2"/>
    </font>
    <font>
      <u/>
      <sz val="11"/>
      <color rgb="FFFF0000"/>
      <name val="Calibri"/>
      <family val="2"/>
      <charset val="1"/>
    </font>
    <font>
      <sz val="11"/>
      <color rgb="FF000000"/>
      <name val="+mn-lt"/>
      <charset val="1"/>
    </font>
    <font>
      <sz val="11"/>
      <name val="Calibri"/>
      <family val="2"/>
    </font>
    <font>
      <u/>
      <sz val="11"/>
      <name val="Calibri"/>
      <family val="2"/>
    </font>
    <font>
      <sz val="11"/>
      <color rgb="FF000000"/>
      <name val="Calibri"/>
      <family val="2"/>
    </font>
    <font>
      <b/>
      <sz val="9"/>
      <color indexed="81"/>
      <name val="Tahoma"/>
      <family val="2"/>
    </font>
    <font>
      <sz val="9"/>
      <color indexed="81"/>
      <name val="Tahoma"/>
      <family val="2"/>
    </font>
    <font>
      <b/>
      <sz val="9"/>
      <color rgb="FF000000"/>
      <name val="Tahoma"/>
      <family val="2"/>
    </font>
    <font>
      <sz val="9"/>
      <color rgb="FF000000"/>
      <name val="Tahoma"/>
      <family val="2"/>
    </font>
  </fonts>
  <fills count="25">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FFCC99"/>
        <bgColor rgb="FFFFD966"/>
      </patternFill>
    </fill>
    <fill>
      <patternFill patternType="solid">
        <fgColor rgb="FFFFD966"/>
        <bgColor rgb="FFFFCC99"/>
      </patternFill>
    </fill>
    <fill>
      <patternFill patternType="solid">
        <fgColor rgb="FFA9D18E"/>
        <bgColor rgb="FFC9C9C9"/>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rgb="FFEEEEEE"/>
      </patternFill>
    </fill>
    <fill>
      <patternFill patternType="solid">
        <fgColor rgb="FFFFFFFF"/>
      </patternFill>
    </fill>
    <fill>
      <patternFill patternType="solid">
        <fgColor rgb="FFE5D0FE"/>
        <bgColor indexed="64"/>
      </patternFill>
    </fill>
    <fill>
      <patternFill patternType="solid">
        <fgColor rgb="FFFFC000"/>
        <bgColor indexed="64"/>
      </patternFill>
    </fill>
    <fill>
      <patternFill patternType="solid">
        <fgColor rgb="FF92D050"/>
        <bgColor indexed="64"/>
      </patternFill>
    </fill>
    <fill>
      <patternFill patternType="solid">
        <fgColor rgb="FFFFC000"/>
        <bgColor rgb="FF92D050"/>
      </patternFill>
    </fill>
    <fill>
      <patternFill patternType="solid">
        <fgColor rgb="FFE1BFFF"/>
        <bgColor rgb="FFC9C9C9"/>
      </patternFill>
    </fill>
    <fill>
      <patternFill patternType="solid">
        <fgColor rgb="FFFFFFFF"/>
        <bgColor indexed="64"/>
      </patternFill>
    </fill>
    <fill>
      <patternFill patternType="solid">
        <fgColor rgb="FFFF0000"/>
        <bgColor indexed="64"/>
      </patternFill>
    </fill>
    <fill>
      <patternFill patternType="solid">
        <fgColor theme="9" tint="0.79998168889431442"/>
        <bgColor indexed="64"/>
      </patternFill>
    </fill>
    <fill>
      <patternFill patternType="solid">
        <fgColor rgb="FFFFFF00"/>
        <bgColor rgb="FF000000"/>
      </patternFill>
    </fill>
  </fills>
  <borders count="50">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C6C6C6"/>
      </left>
      <right style="thin">
        <color rgb="FFC6C6C6"/>
      </right>
      <top style="thin">
        <color rgb="FFC6C6C6"/>
      </top>
      <bottom style="thin">
        <color rgb="FFC6C6C6"/>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rgb="FFC6C6C6"/>
      </left>
      <right style="thin">
        <color rgb="FFC6C6C6"/>
      </right>
      <top/>
      <bottom/>
      <diagonal/>
    </border>
    <border>
      <left/>
      <right/>
      <top style="thin">
        <color rgb="FF000000"/>
      </top>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style="thin">
        <color auto="1"/>
      </left>
      <right/>
      <top style="thin">
        <color auto="1"/>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auto="1"/>
      </right>
      <top/>
      <bottom style="thin">
        <color auto="1"/>
      </bottom>
      <diagonal/>
    </border>
    <border>
      <left/>
      <right/>
      <top style="thin">
        <color auto="1"/>
      </top>
      <bottom style="thin">
        <color auto="1"/>
      </bottom>
      <diagonal/>
    </border>
    <border>
      <left/>
      <right/>
      <top style="thin">
        <color auto="1"/>
      </top>
      <bottom/>
      <diagonal/>
    </border>
    <border>
      <left style="thin">
        <color rgb="FF000000"/>
      </left>
      <right style="thin">
        <color rgb="FF000000"/>
      </right>
      <top/>
      <bottom style="thin">
        <color rgb="FF000000"/>
      </bottom>
      <diagonal/>
    </border>
    <border>
      <left/>
      <right style="thin">
        <color auto="1"/>
      </right>
      <top/>
      <bottom/>
      <diagonal/>
    </border>
    <border>
      <left style="thin">
        <color rgb="FF000000"/>
      </left>
      <right style="thin">
        <color auto="1"/>
      </right>
      <top style="thin">
        <color rgb="FF000000"/>
      </top>
      <bottom style="thin">
        <color auto="1"/>
      </bottom>
      <diagonal/>
    </border>
    <border>
      <left style="thin">
        <color rgb="FF000000"/>
      </left>
      <right style="thin">
        <color auto="1"/>
      </right>
      <top style="thin">
        <color auto="1"/>
      </top>
      <bottom style="thin">
        <color auto="1"/>
      </bottom>
      <diagonal/>
    </border>
    <border>
      <left style="thin">
        <color rgb="FF000000"/>
      </left>
      <right style="thin">
        <color auto="1"/>
      </right>
      <top style="thin">
        <color auto="1"/>
      </top>
      <bottom/>
      <diagonal/>
    </border>
    <border>
      <left/>
      <right/>
      <top/>
      <bottom style="thin">
        <color auto="1"/>
      </bottom>
      <diagonal/>
    </border>
    <border>
      <left/>
      <right style="thin">
        <color auto="1"/>
      </right>
      <top style="thin">
        <color rgb="FF000000"/>
      </top>
      <bottom style="thin">
        <color auto="1"/>
      </bottom>
      <diagonal/>
    </border>
    <border>
      <left style="thin">
        <color auto="1"/>
      </left>
      <right style="thin">
        <color auto="1"/>
      </right>
      <top/>
      <bottom style="thin">
        <color rgb="FF000000"/>
      </bottom>
      <diagonal/>
    </border>
    <border>
      <left style="thin">
        <color auto="1"/>
      </left>
      <right style="thin">
        <color auto="1"/>
      </right>
      <top style="thin">
        <color rgb="FF000000"/>
      </top>
      <bottom style="thin">
        <color auto="1"/>
      </bottom>
      <diagonal/>
    </border>
    <border>
      <left style="thin">
        <color rgb="FFC6C6C6"/>
      </left>
      <right style="thin">
        <color rgb="FFC6C6C6"/>
      </right>
      <top style="thin">
        <color rgb="FF000000"/>
      </top>
      <bottom style="thin">
        <color rgb="FFC6C6C6"/>
      </bottom>
      <diagonal/>
    </border>
    <border>
      <left style="thin">
        <color auto="1"/>
      </left>
      <right style="thin">
        <color auto="1"/>
      </right>
      <top style="thin">
        <color auto="1"/>
      </top>
      <bottom style="thin">
        <color rgb="FF000000"/>
      </bottom>
      <diagonal/>
    </border>
    <border>
      <left/>
      <right/>
      <top/>
      <bottom style="thin">
        <color rgb="FF000000"/>
      </bottom>
      <diagonal/>
    </border>
    <border>
      <left style="thin">
        <color rgb="FFC6C6C6"/>
      </left>
      <right style="thin">
        <color rgb="FFC6C6C6"/>
      </right>
      <top style="thin">
        <color rgb="FFC6C6C6"/>
      </top>
      <bottom style="thin">
        <color rgb="FF000000"/>
      </bottom>
      <diagonal/>
    </border>
    <border>
      <left style="thin">
        <color auto="1"/>
      </left>
      <right/>
      <top style="thin">
        <color rgb="FF000000"/>
      </top>
      <bottom style="thin">
        <color auto="1"/>
      </bottom>
      <diagonal/>
    </border>
    <border>
      <left style="thin">
        <color auto="1"/>
      </left>
      <right/>
      <top style="thin">
        <color auto="1"/>
      </top>
      <bottom style="thin">
        <color rgb="FF000000"/>
      </bottom>
      <diagonal/>
    </border>
    <border>
      <left style="thin">
        <color rgb="FFC6C6C6"/>
      </left>
      <right style="thin">
        <color rgb="FFC6C6C6"/>
      </right>
      <top/>
      <bottom style="thin">
        <color rgb="FFC6C6C6"/>
      </bottom>
      <diagonal/>
    </border>
    <border>
      <left style="thin">
        <color rgb="FFC6C6C6"/>
      </left>
      <right style="thin">
        <color rgb="FFC6C6C6"/>
      </right>
      <top style="thin">
        <color rgb="FFC6C6C6"/>
      </top>
      <bottom/>
      <diagonal/>
    </border>
    <border>
      <left style="thin">
        <color auto="1"/>
      </left>
      <right style="thin">
        <color auto="1"/>
      </right>
      <top style="thin">
        <color rgb="FF000000"/>
      </top>
      <bottom/>
      <diagonal/>
    </border>
    <border>
      <left/>
      <right style="thin">
        <color auto="1"/>
      </right>
      <top style="thin">
        <color rgb="FF000000"/>
      </top>
      <bottom/>
      <diagonal/>
    </border>
    <border>
      <left style="thin">
        <color auto="1"/>
      </left>
      <right style="thin">
        <color rgb="FF000000"/>
      </right>
      <top style="thin">
        <color auto="1"/>
      </top>
      <bottom style="thin">
        <color auto="1"/>
      </bottom>
      <diagonal/>
    </border>
    <border>
      <left style="thin">
        <color rgb="FFC6C6C6"/>
      </left>
      <right style="thin">
        <color rgb="FFC6C6C6"/>
      </right>
      <top style="thin">
        <color indexed="64"/>
      </top>
      <bottom style="thin">
        <color rgb="FFC6C6C6"/>
      </bottom>
      <diagonal/>
    </border>
    <border>
      <left/>
      <right style="thin">
        <color indexed="64"/>
      </right>
      <top/>
      <bottom style="thin">
        <color rgb="FF000000"/>
      </bottom>
      <diagonal/>
    </border>
    <border>
      <left style="thin">
        <color rgb="FFC6C6C6"/>
      </left>
      <right/>
      <top style="thin">
        <color rgb="FFC6C6C6"/>
      </top>
      <bottom style="thin">
        <color rgb="FFC6C6C6"/>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style="thin">
        <color auto="1"/>
      </top>
      <bottom/>
      <diagonal/>
    </border>
    <border>
      <left style="thin">
        <color rgb="FF000000"/>
      </left>
      <right style="thin">
        <color rgb="FF000000"/>
      </right>
      <top/>
      <bottom style="thin">
        <color auto="1"/>
      </bottom>
      <diagonal/>
    </border>
  </borders>
  <cellStyleXfs count="4">
    <xf numFmtId="0" fontId="0" fillId="0" borderId="0"/>
    <xf numFmtId="0" fontId="18" fillId="0" borderId="0" applyNumberFormat="0" applyFill="0" applyBorder="0" applyAlignment="0" applyProtection="0"/>
    <xf numFmtId="43" fontId="21" fillId="0" borderId="0" applyFont="0" applyFill="0" applyBorder="0" applyAlignment="0" applyProtection="0"/>
    <xf numFmtId="0" fontId="31" fillId="0" borderId="0"/>
  </cellStyleXfs>
  <cellXfs count="338">
    <xf numFmtId="0" fontId="0" fillId="0" borderId="0" xfId="0"/>
    <xf numFmtId="0" fontId="1" fillId="0" borderId="0" xfId="0" applyFont="1"/>
    <xf numFmtId="0" fontId="3" fillId="2" borderId="0" xfId="0" applyFont="1" applyFill="1"/>
    <xf numFmtId="0" fontId="5" fillId="0" borderId="0" xfId="0" applyFont="1"/>
    <xf numFmtId="11" fontId="0" fillId="0" borderId="0" xfId="0" applyNumberFormat="1"/>
    <xf numFmtId="0" fontId="8" fillId="9" borderId="0" xfId="0" applyFont="1" applyFill="1"/>
    <xf numFmtId="0" fontId="8" fillId="10" borderId="0" xfId="0" applyFont="1" applyFill="1"/>
    <xf numFmtId="0" fontId="9" fillId="10" borderId="0" xfId="0" applyFont="1" applyFill="1"/>
    <xf numFmtId="0" fontId="3" fillId="10" borderId="0" xfId="0" applyFont="1" applyFill="1"/>
    <xf numFmtId="0" fontId="10" fillId="0" borderId="0" xfId="0" applyFont="1"/>
    <xf numFmtId="0" fontId="12" fillId="0" borderId="0" xfId="0" applyFont="1"/>
    <xf numFmtId="9" fontId="11" fillId="0" borderId="0" xfId="0" applyNumberFormat="1" applyFont="1"/>
    <xf numFmtId="9" fontId="5" fillId="0" borderId="0" xfId="0" applyNumberFormat="1" applyFont="1"/>
    <xf numFmtId="3" fontId="0" fillId="0" borderId="0" xfId="0" applyNumberFormat="1" applyAlignment="1">
      <alignment horizontal="right" vertical="center"/>
    </xf>
    <xf numFmtId="3" fontId="14" fillId="0" borderId="0" xfId="0" applyNumberFormat="1" applyFont="1"/>
    <xf numFmtId="165" fontId="0" fillId="8" borderId="0" xfId="0" applyNumberFormat="1" applyFill="1"/>
    <xf numFmtId="9" fontId="0" fillId="8" borderId="0" xfId="0" applyNumberFormat="1" applyFill="1"/>
    <xf numFmtId="0" fontId="3" fillId="11" borderId="1" xfId="0" applyFont="1" applyFill="1" applyBorder="1" applyAlignment="1">
      <alignment vertical="center"/>
    </xf>
    <xf numFmtId="0" fontId="3" fillId="11" borderId="2" xfId="0" applyFont="1" applyFill="1" applyBorder="1" applyAlignment="1">
      <alignment vertical="center" wrapText="1"/>
    </xf>
    <xf numFmtId="0" fontId="3" fillId="11" borderId="2" xfId="0" applyFont="1" applyFill="1" applyBorder="1" applyAlignment="1">
      <alignment wrapText="1"/>
    </xf>
    <xf numFmtId="0" fontId="3" fillId="11" borderId="2" xfId="0" applyFont="1" applyFill="1" applyBorder="1"/>
    <xf numFmtId="0" fontId="3" fillId="11" borderId="3" xfId="0" applyFont="1" applyFill="1" applyBorder="1"/>
    <xf numFmtId="0" fontId="0" fillId="2" borderId="0" xfId="0" applyFill="1" applyAlignment="1">
      <alignment vertical="center"/>
    </xf>
    <xf numFmtId="0" fontId="3"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4" fillId="0" borderId="0" xfId="0" applyFont="1" applyAlignment="1">
      <alignment horizontal="left" vertical="center" wrapText="1"/>
    </xf>
    <xf numFmtId="0" fontId="2" fillId="0" borderId="0" xfId="0" applyFont="1" applyAlignment="1">
      <alignment vertical="center" wrapText="1"/>
    </xf>
    <xf numFmtId="0" fontId="2" fillId="0" borderId="0" xfId="0" applyFont="1"/>
    <xf numFmtId="0" fontId="13" fillId="0" borderId="0" xfId="0" applyFont="1" applyAlignment="1">
      <alignment wrapText="1"/>
    </xf>
    <xf numFmtId="164" fontId="3" fillId="0" borderId="0" xfId="0" applyNumberFormat="1" applyFont="1" applyAlignment="1">
      <alignment horizontal="left" vertical="center" wrapText="1"/>
    </xf>
    <xf numFmtId="0" fontId="0" fillId="3" borderId="0" xfId="0" applyFill="1" applyAlignment="1">
      <alignment vertical="center" wrapText="1"/>
    </xf>
    <xf numFmtId="0" fontId="3" fillId="0" borderId="0" xfId="0" applyFont="1" applyAlignment="1">
      <alignment vertical="center" wrapText="1"/>
    </xf>
    <xf numFmtId="0" fontId="0" fillId="0" borderId="0" xfId="0" applyAlignment="1">
      <alignment vertical="center"/>
    </xf>
    <xf numFmtId="0" fontId="0" fillId="4" borderId="0" xfId="0" applyFill="1" applyAlignment="1">
      <alignment vertical="center"/>
    </xf>
    <xf numFmtId="0" fontId="3" fillId="6" borderId="0" xfId="0" applyFont="1" applyFill="1" applyAlignment="1">
      <alignment vertical="center" wrapText="1"/>
    </xf>
    <xf numFmtId="0" fontId="5" fillId="0" borderId="0" xfId="0" applyFont="1" applyAlignment="1">
      <alignment wrapText="1"/>
    </xf>
    <xf numFmtId="0" fontId="11" fillId="0" borderId="0" xfId="0" applyFont="1"/>
    <xf numFmtId="0" fontId="3" fillId="5" borderId="0" xfId="0" applyFont="1" applyFill="1" applyAlignment="1">
      <alignment vertical="center" wrapText="1"/>
    </xf>
    <xf numFmtId="0" fontId="3" fillId="12" borderId="0" xfId="0" applyFont="1" applyFill="1" applyAlignment="1">
      <alignment vertical="center" wrapText="1"/>
    </xf>
    <xf numFmtId="0" fontId="0" fillId="7" borderId="0" xfId="0" applyFill="1" applyAlignment="1">
      <alignment vertical="center" wrapText="1"/>
    </xf>
    <xf numFmtId="0" fontId="0" fillId="10" borderId="0" xfId="0" applyFill="1" applyAlignment="1">
      <alignment vertical="center"/>
    </xf>
    <xf numFmtId="0" fontId="2" fillId="0" borderId="0" xfId="0" applyFont="1" applyAlignment="1">
      <alignment wrapText="1"/>
    </xf>
    <xf numFmtId="0" fontId="3" fillId="0" borderId="0" xfId="0" applyFont="1" applyAlignment="1">
      <alignment wrapText="1"/>
    </xf>
    <xf numFmtId="0" fontId="6" fillId="9" borderId="0" xfId="0" applyFont="1" applyFill="1" applyAlignment="1">
      <alignment vertical="center"/>
    </xf>
    <xf numFmtId="0" fontId="0" fillId="13" borderId="0" xfId="0" applyFill="1"/>
    <xf numFmtId="0" fontId="1" fillId="13" borderId="0" xfId="0" applyFont="1" applyFill="1"/>
    <xf numFmtId="0" fontId="6" fillId="13" borderId="0" xfId="0" applyFont="1" applyFill="1"/>
    <xf numFmtId="0" fontId="7" fillId="13" borderId="0" xfId="0" applyFont="1" applyFill="1"/>
    <xf numFmtId="3" fontId="0" fillId="13" borderId="0" xfId="0" applyNumberFormat="1" applyFill="1"/>
    <xf numFmtId="0" fontId="11" fillId="13" borderId="0" xfId="0" applyFont="1" applyFill="1"/>
    <xf numFmtId="9" fontId="0" fillId="13" borderId="0" xfId="0" applyNumberFormat="1" applyFill="1"/>
    <xf numFmtId="11" fontId="0" fillId="13" borderId="0" xfId="0" applyNumberFormat="1" applyFill="1"/>
    <xf numFmtId="0" fontId="0" fillId="0" borderId="0" xfId="0" applyAlignment="1">
      <alignment wrapText="1"/>
    </xf>
    <xf numFmtId="0" fontId="6" fillId="0" borderId="0" xfId="0" applyFont="1"/>
    <xf numFmtId="0" fontId="7" fillId="0" borderId="0" xfId="0" applyFont="1"/>
    <xf numFmtId="3" fontId="0" fillId="0" borderId="0" xfId="0" applyNumberFormat="1"/>
    <xf numFmtId="9" fontId="0" fillId="0" borderId="0" xfId="0" applyNumberFormat="1"/>
    <xf numFmtId="165" fontId="0" fillId="13" borderId="0" xfId="0" applyNumberFormat="1" applyFill="1"/>
    <xf numFmtId="165" fontId="0" fillId="0" borderId="0" xfId="0" applyNumberFormat="1"/>
    <xf numFmtId="0" fontId="15" fillId="0" borderId="4" xfId="0" applyFont="1" applyBorder="1" applyAlignment="1">
      <alignment horizontal="left" vertical="center"/>
    </xf>
    <xf numFmtId="0" fontId="15" fillId="2" borderId="4" xfId="0" applyFont="1" applyFill="1" applyBorder="1" applyAlignment="1">
      <alignment horizontal="center" vertical="top"/>
    </xf>
    <xf numFmtId="0" fontId="16" fillId="2" borderId="4" xfId="0" applyFont="1" applyFill="1" applyBorder="1" applyAlignment="1">
      <alignment horizontal="center" vertical="top"/>
    </xf>
    <xf numFmtId="166" fontId="15" fillId="2" borderId="4" xfId="0" applyNumberFormat="1" applyFont="1" applyFill="1" applyBorder="1" applyAlignment="1">
      <alignment horizontal="center" vertical="top"/>
    </xf>
    <xf numFmtId="0" fontId="17" fillId="0" borderId="0" xfId="0" applyFont="1"/>
    <xf numFmtId="166" fontId="0" fillId="0" borderId="0" xfId="0" applyNumberFormat="1"/>
    <xf numFmtId="0" fontId="15" fillId="0" borderId="4" xfId="0" applyFont="1" applyBorder="1" applyAlignment="1">
      <alignment horizontal="center" vertical="top"/>
    </xf>
    <xf numFmtId="0" fontId="15" fillId="3" borderId="4" xfId="0" applyFont="1" applyFill="1" applyBorder="1" applyAlignment="1">
      <alignment horizontal="center" vertical="top"/>
    </xf>
    <xf numFmtId="166" fontId="15" fillId="0" borderId="4" xfId="0" applyNumberFormat="1" applyFont="1" applyBorder="1" applyAlignment="1">
      <alignment horizontal="center" vertical="top"/>
    </xf>
    <xf numFmtId="0" fontId="15" fillId="14" borderId="5" xfId="0" applyFont="1" applyFill="1" applyBorder="1" applyAlignment="1">
      <alignment horizontal="center" vertical="top"/>
    </xf>
    <xf numFmtId="0" fontId="15" fillId="15" borderId="5" xfId="0" applyFont="1" applyFill="1" applyBorder="1" applyAlignment="1">
      <alignment horizontal="center" vertical="top"/>
    </xf>
    <xf numFmtId="0" fontId="0" fillId="14" borderId="5" xfId="0" applyFill="1" applyBorder="1"/>
    <xf numFmtId="0" fontId="0" fillId="15" borderId="5" xfId="0" applyFill="1" applyBorder="1"/>
    <xf numFmtId="0" fontId="18" fillId="14" borderId="5" xfId="1" applyFill="1" applyBorder="1"/>
    <xf numFmtId="0" fontId="18" fillId="15" borderId="5" xfId="1" applyFill="1" applyBorder="1"/>
    <xf numFmtId="0" fontId="15" fillId="13" borderId="4" xfId="0" applyFont="1" applyFill="1" applyBorder="1" applyAlignment="1">
      <alignment horizontal="center" vertical="top"/>
    </xf>
    <xf numFmtId="0" fontId="15" fillId="16" borderId="4" xfId="0" applyFont="1" applyFill="1" applyBorder="1" applyAlignment="1">
      <alignment horizontal="center" vertical="top"/>
    </xf>
    <xf numFmtId="0" fontId="0" fillId="16" borderId="0" xfId="0" applyFill="1"/>
    <xf numFmtId="166" fontId="0" fillId="16" borderId="0" xfId="0" applyNumberFormat="1" applyFill="1"/>
    <xf numFmtId="0" fontId="0" fillId="16" borderId="5" xfId="0" applyFill="1" applyBorder="1"/>
    <xf numFmtId="0" fontId="0" fillId="16" borderId="0" xfId="0" applyFill="1" applyAlignment="1">
      <alignment horizontal="center"/>
    </xf>
    <xf numFmtId="0" fontId="0" fillId="17" borderId="5" xfId="0" applyFill="1" applyBorder="1"/>
    <xf numFmtId="0" fontId="0" fillId="18" borderId="5" xfId="0" applyFill="1" applyBorder="1"/>
    <xf numFmtId="0" fontId="0" fillId="19" borderId="5" xfId="0" applyFill="1" applyBorder="1"/>
    <xf numFmtId="0" fontId="0" fillId="13" borderId="5" xfId="0" applyFill="1" applyBorder="1"/>
    <xf numFmtId="3" fontId="0" fillId="15" borderId="5" xfId="0" applyNumberFormat="1" applyFill="1" applyBorder="1"/>
    <xf numFmtId="3" fontId="0" fillId="14" borderId="5" xfId="0" applyNumberFormat="1" applyFill="1" applyBorder="1"/>
    <xf numFmtId="4" fontId="0" fillId="0" borderId="0" xfId="0" applyNumberFormat="1"/>
    <xf numFmtId="0" fontId="15" fillId="0" borderId="9" xfId="0" applyFont="1" applyBorder="1" applyAlignment="1">
      <alignment horizontal="left" vertical="center"/>
    </xf>
    <xf numFmtId="1" fontId="15" fillId="0" borderId="0" xfId="0" applyNumberFormat="1" applyFont="1" applyAlignment="1">
      <alignment horizontal="center" vertical="top"/>
    </xf>
    <xf numFmtId="1" fontId="0" fillId="0" borderId="0" xfId="0" applyNumberFormat="1"/>
    <xf numFmtId="1" fontId="0" fillId="16" borderId="0" xfId="0" applyNumberFormat="1" applyFill="1"/>
    <xf numFmtId="0" fontId="8" fillId="20" borderId="0" xfId="0" applyFont="1" applyFill="1"/>
    <xf numFmtId="0" fontId="18" fillId="0" borderId="0" xfId="1"/>
    <xf numFmtId="0" fontId="22" fillId="15" borderId="5" xfId="0" applyFont="1" applyFill="1" applyBorder="1"/>
    <xf numFmtId="0" fontId="22" fillId="14" borderId="5" xfId="0" applyFont="1" applyFill="1" applyBorder="1"/>
    <xf numFmtId="167" fontId="0" fillId="0" borderId="0" xfId="0" applyNumberFormat="1"/>
    <xf numFmtId="0" fontId="0" fillId="0" borderId="0" xfId="0" applyAlignment="1">
      <alignment horizontal="left" indent="2"/>
    </xf>
    <xf numFmtId="0" fontId="0" fillId="0" borderId="0" xfId="0" applyAlignment="1">
      <alignment horizontal="left" indent="4"/>
    </xf>
    <xf numFmtId="168" fontId="0" fillId="0" borderId="0" xfId="0" applyNumberFormat="1"/>
    <xf numFmtId="0" fontId="7" fillId="15" borderId="5" xfId="0" applyFont="1" applyFill="1" applyBorder="1"/>
    <xf numFmtId="0" fontId="15" fillId="14" borderId="10" xfId="0" applyFont="1" applyFill="1" applyBorder="1" applyAlignment="1">
      <alignment horizontal="center" vertical="top"/>
    </xf>
    <xf numFmtId="0" fontId="0" fillId="14" borderId="5" xfId="2" applyNumberFormat="1" applyFont="1" applyFill="1" applyBorder="1"/>
    <xf numFmtId="0" fontId="0" fillId="15" borderId="5" xfId="2" applyNumberFormat="1" applyFont="1" applyFill="1" applyBorder="1"/>
    <xf numFmtId="1" fontId="0" fillId="13" borderId="0" xfId="0" applyNumberFormat="1" applyFill="1"/>
    <xf numFmtId="0" fontId="15" fillId="0" borderId="7" xfId="0" applyFont="1" applyBorder="1" applyAlignment="1">
      <alignment horizontal="left" vertical="center"/>
    </xf>
    <xf numFmtId="0" fontId="0" fillId="0" borderId="11" xfId="0" applyBorder="1"/>
    <xf numFmtId="166" fontId="3" fillId="0" borderId="0" xfId="0" applyNumberFormat="1" applyFont="1"/>
    <xf numFmtId="14" fontId="0" fillId="0" borderId="0" xfId="0" applyNumberFormat="1"/>
    <xf numFmtId="0" fontId="0" fillId="0" borderId="5" xfId="0" applyBorder="1"/>
    <xf numFmtId="169" fontId="0" fillId="15" borderId="5" xfId="0" applyNumberFormat="1" applyFill="1" applyBorder="1"/>
    <xf numFmtId="0" fontId="18" fillId="0" borderId="5" xfId="1" applyFill="1" applyBorder="1"/>
    <xf numFmtId="0" fontId="15" fillId="0" borderId="6" xfId="0" applyFont="1" applyBorder="1" applyAlignment="1">
      <alignment horizontal="center" vertical="top"/>
    </xf>
    <xf numFmtId="0" fontId="15" fillId="0" borderId="12" xfId="0" applyFont="1" applyBorder="1" applyAlignment="1">
      <alignment horizontal="left" vertical="center"/>
    </xf>
    <xf numFmtId="0" fontId="0" fillId="0" borderId="13" xfId="0" applyBorder="1"/>
    <xf numFmtId="0" fontId="15" fillId="0" borderId="15" xfId="0" applyFont="1" applyBorder="1" applyAlignment="1">
      <alignment horizontal="left" vertical="center"/>
    </xf>
    <xf numFmtId="0" fontId="15" fillId="0" borderId="13" xfId="0" applyFont="1" applyBorder="1" applyAlignment="1">
      <alignment horizontal="left" vertical="center"/>
    </xf>
    <xf numFmtId="0" fontId="15" fillId="0" borderId="14" xfId="0" applyFont="1" applyBorder="1" applyAlignment="1">
      <alignment horizontal="center" vertical="top"/>
    </xf>
    <xf numFmtId="0" fontId="15" fillId="0" borderId="15" xfId="0" applyFont="1" applyBorder="1" applyAlignment="1">
      <alignment horizontal="center" vertical="top"/>
    </xf>
    <xf numFmtId="0" fontId="0" fillId="0" borderId="19" xfId="0" applyBorder="1"/>
    <xf numFmtId="166" fontId="0" fillId="13" borderId="0" xfId="0" applyNumberFormat="1" applyFill="1"/>
    <xf numFmtId="0" fontId="15" fillId="13" borderId="14" xfId="0" applyFont="1" applyFill="1" applyBorder="1" applyAlignment="1">
      <alignment horizontal="center" vertical="top"/>
    </xf>
    <xf numFmtId="166" fontId="3" fillId="13" borderId="0" xfId="0" applyNumberFormat="1" applyFont="1" applyFill="1"/>
    <xf numFmtId="0" fontId="15" fillId="0" borderId="20" xfId="0" applyFont="1" applyBorder="1" applyAlignment="1">
      <alignment horizontal="center" vertical="top"/>
    </xf>
    <xf numFmtId="0" fontId="3" fillId="0" borderId="0" xfId="0" applyFont="1"/>
    <xf numFmtId="0" fontId="3" fillId="0" borderId="5" xfId="0" applyFont="1" applyBorder="1"/>
    <xf numFmtId="0" fontId="15" fillId="21" borderId="14" xfId="0" applyFont="1" applyFill="1" applyBorder="1" applyAlignment="1">
      <alignment horizontal="center" vertical="top"/>
    </xf>
    <xf numFmtId="0" fontId="3" fillId="15" borderId="5" xfId="0" applyFont="1" applyFill="1" applyBorder="1"/>
    <xf numFmtId="0" fontId="15" fillId="0" borderId="17" xfId="0" applyFont="1" applyBorder="1" applyAlignment="1">
      <alignment horizontal="left" vertical="center"/>
    </xf>
    <xf numFmtId="169" fontId="0" fillId="0" borderId="5" xfId="0" applyNumberFormat="1" applyBorder="1"/>
    <xf numFmtId="169" fontId="3" fillId="0" borderId="0" xfId="0" applyNumberFormat="1" applyFont="1"/>
    <xf numFmtId="169" fontId="3" fillId="0" borderId="5" xfId="0" applyNumberFormat="1" applyFont="1" applyBorder="1"/>
    <xf numFmtId="169" fontId="3" fillId="15" borderId="5" xfId="0" applyNumberFormat="1" applyFont="1" applyFill="1" applyBorder="1"/>
    <xf numFmtId="166" fontId="23" fillId="0" borderId="0" xfId="0" applyNumberFormat="1" applyFont="1"/>
    <xf numFmtId="0" fontId="0" fillId="0" borderId="0" xfId="0" applyAlignment="1">
      <alignment horizontal="left"/>
    </xf>
    <xf numFmtId="169" fontId="0" fillId="14" borderId="5" xfId="0" applyNumberFormat="1" applyFill="1" applyBorder="1"/>
    <xf numFmtId="0" fontId="15" fillId="21" borderId="4" xfId="0" applyFont="1" applyFill="1" applyBorder="1" applyAlignment="1">
      <alignment horizontal="center" vertical="top"/>
    </xf>
    <xf numFmtId="0" fontId="0" fillId="21" borderId="0" xfId="0" applyFill="1"/>
    <xf numFmtId="0" fontId="0" fillId="21" borderId="5" xfId="0" applyFill="1" applyBorder="1"/>
    <xf numFmtId="0" fontId="15" fillId="0" borderId="13" xfId="0" applyFont="1" applyBorder="1" applyAlignment="1">
      <alignment horizontal="center" vertical="top"/>
    </xf>
    <xf numFmtId="0" fontId="15" fillId="13" borderId="13" xfId="0" applyFont="1" applyFill="1" applyBorder="1" applyAlignment="1">
      <alignment horizontal="center" vertical="top"/>
    </xf>
    <xf numFmtId="0" fontId="24" fillId="0" borderId="0" xfId="0" applyFont="1"/>
    <xf numFmtId="169" fontId="0" fillId="0" borderId="0" xfId="0" applyNumberFormat="1"/>
    <xf numFmtId="0" fontId="3" fillId="0" borderId="0" xfId="0" applyFont="1" applyAlignment="1">
      <alignment horizontal="left"/>
    </xf>
    <xf numFmtId="0" fontId="15" fillId="0" borderId="0" xfId="0" applyFont="1" applyAlignment="1">
      <alignment horizontal="left" vertical="center"/>
    </xf>
    <xf numFmtId="0" fontId="15" fillId="0" borderId="21" xfId="0" applyFont="1" applyBorder="1" applyAlignment="1">
      <alignment horizontal="left" vertical="center"/>
    </xf>
    <xf numFmtId="0" fontId="15" fillId="0" borderId="24" xfId="0" applyFont="1" applyBorder="1" applyAlignment="1">
      <alignment horizontal="center" vertical="top"/>
    </xf>
    <xf numFmtId="0" fontId="15" fillId="0" borderId="25" xfId="0" applyFont="1" applyBorder="1" applyAlignment="1">
      <alignment horizontal="center" vertical="top"/>
    </xf>
    <xf numFmtId="0" fontId="15" fillId="0" borderId="26" xfId="0" applyFont="1" applyBorder="1" applyAlignment="1">
      <alignment horizontal="center" vertical="top"/>
    </xf>
    <xf numFmtId="0" fontId="0" fillId="0" borderId="0" xfId="0" applyAlignment="1">
      <alignment horizontal="center"/>
    </xf>
    <xf numFmtId="0" fontId="15" fillId="0" borderId="27" xfId="0" applyFont="1" applyBorder="1" applyAlignment="1">
      <alignment horizontal="center" vertical="top"/>
    </xf>
    <xf numFmtId="14" fontId="3" fillId="0" borderId="0" xfId="0" applyNumberFormat="1" applyFont="1"/>
    <xf numFmtId="0" fontId="15" fillId="0" borderId="24" xfId="0" applyFont="1" applyBorder="1" applyAlignment="1">
      <alignment horizontal="left" vertical="center"/>
    </xf>
    <xf numFmtId="0" fontId="15" fillId="0" borderId="29" xfId="0" applyFont="1" applyBorder="1" applyAlignment="1">
      <alignment horizontal="center" vertical="top"/>
    </xf>
    <xf numFmtId="0" fontId="15" fillId="13" borderId="4" xfId="0" applyFont="1" applyFill="1" applyBorder="1" applyAlignment="1">
      <alignment horizontal="left" vertical="center"/>
    </xf>
    <xf numFmtId="0" fontId="15" fillId="17" borderId="4" xfId="0" applyFont="1" applyFill="1" applyBorder="1" applyAlignment="1">
      <alignment horizontal="left" vertical="center"/>
    </xf>
    <xf numFmtId="0" fontId="17" fillId="13" borderId="0" xfId="0" applyFont="1" applyFill="1"/>
    <xf numFmtId="169" fontId="0" fillId="13" borderId="0" xfId="0" applyNumberFormat="1" applyFill="1"/>
    <xf numFmtId="2" fontId="12" fillId="0" borderId="0" xfId="0" applyNumberFormat="1" applyFont="1"/>
    <xf numFmtId="0" fontId="25" fillId="13" borderId="0" xfId="0" applyFont="1" applyFill="1"/>
    <xf numFmtId="171" fontId="0" fillId="0" borderId="0" xfId="0" applyNumberFormat="1"/>
    <xf numFmtId="2" fontId="6" fillId="0" borderId="0" xfId="0" applyNumberFormat="1" applyFont="1"/>
    <xf numFmtId="4" fontId="0" fillId="13" borderId="0" xfId="0" applyNumberFormat="1" applyFill="1"/>
    <xf numFmtId="0" fontId="0" fillId="22" borderId="0" xfId="0" applyFill="1"/>
    <xf numFmtId="0" fontId="6" fillId="22" borderId="0" xfId="0" applyFont="1" applyFill="1"/>
    <xf numFmtId="0" fontId="11" fillId="22" borderId="0" xfId="0" applyFont="1" applyFill="1"/>
    <xf numFmtId="0" fontId="26" fillId="0" borderId="4" xfId="0" applyFont="1" applyBorder="1" applyAlignment="1">
      <alignment horizontal="left" vertical="center"/>
    </xf>
    <xf numFmtId="0" fontId="26" fillId="13" borderId="4" xfId="0" applyFont="1" applyFill="1" applyBorder="1" applyAlignment="1">
      <alignment horizontal="left" vertical="center"/>
    </xf>
    <xf numFmtId="43" fontId="0" fillId="13" borderId="0" xfId="0" applyNumberFormat="1" applyFill="1"/>
    <xf numFmtId="166" fontId="7" fillId="13" borderId="0" xfId="0" applyNumberFormat="1" applyFont="1" applyFill="1"/>
    <xf numFmtId="169" fontId="7" fillId="13" borderId="0" xfId="0" applyNumberFormat="1" applyFont="1" applyFill="1"/>
    <xf numFmtId="170" fontId="0" fillId="13" borderId="0" xfId="0" applyNumberFormat="1" applyFill="1"/>
    <xf numFmtId="0" fontId="15" fillId="0" borderId="31" xfId="0" applyFont="1" applyBorder="1" applyAlignment="1">
      <alignment horizontal="center" vertical="top"/>
    </xf>
    <xf numFmtId="164" fontId="3" fillId="0" borderId="0" xfId="0" applyNumberFormat="1" applyFont="1"/>
    <xf numFmtId="0" fontId="0" fillId="0" borderId="32" xfId="0" applyBorder="1"/>
    <xf numFmtId="0" fontId="15" fillId="0" borderId="33" xfId="0" applyFont="1" applyBorder="1" applyAlignment="1">
      <alignment horizontal="center" vertical="top"/>
    </xf>
    <xf numFmtId="0" fontId="0" fillId="0" borderId="34" xfId="0" applyBorder="1"/>
    <xf numFmtId="0" fontId="0" fillId="14" borderId="35" xfId="0" applyFill="1" applyBorder="1"/>
    <xf numFmtId="0" fontId="15" fillId="0" borderId="7" xfId="0" applyFont="1" applyBorder="1" applyAlignment="1">
      <alignment horizontal="center" vertical="top"/>
    </xf>
    <xf numFmtId="0" fontId="15" fillId="0" borderId="8" xfId="0" applyFont="1" applyBorder="1" applyAlignment="1">
      <alignment horizontal="center" vertical="top"/>
    </xf>
    <xf numFmtId="0" fontId="15" fillId="0" borderId="29" xfId="0" applyFont="1" applyBorder="1" applyAlignment="1">
      <alignment horizontal="left" vertical="center"/>
    </xf>
    <xf numFmtId="0" fontId="15" fillId="0" borderId="40" xfId="0" applyFont="1" applyBorder="1" applyAlignment="1">
      <alignment horizontal="center" vertical="top"/>
    </xf>
    <xf numFmtId="166" fontId="0" fillId="0" borderId="11" xfId="0" applyNumberFormat="1" applyBorder="1"/>
    <xf numFmtId="0" fontId="15" fillId="0" borderId="11" xfId="0" applyFont="1" applyBorder="1" applyAlignment="1">
      <alignment horizontal="left" vertical="center"/>
    </xf>
    <xf numFmtId="0" fontId="18" fillId="0" borderId="0" xfId="1" applyBorder="1"/>
    <xf numFmtId="0" fontId="15" fillId="0" borderId="41" xfId="0" applyFont="1" applyBorder="1" applyAlignment="1">
      <alignment horizontal="center" vertical="top"/>
    </xf>
    <xf numFmtId="166" fontId="0" fillId="0" borderId="34" xfId="0" applyNumberFormat="1" applyBorder="1"/>
    <xf numFmtId="0" fontId="0" fillId="0" borderId="35" xfId="0" applyBorder="1"/>
    <xf numFmtId="0" fontId="18" fillId="0" borderId="35" xfId="1" applyFill="1" applyBorder="1"/>
    <xf numFmtId="0" fontId="26" fillId="13" borderId="31" xfId="0" applyFont="1" applyFill="1" applyBorder="1" applyAlignment="1">
      <alignment horizontal="center" vertical="top"/>
    </xf>
    <xf numFmtId="0" fontId="7" fillId="13" borderId="11" xfId="0" applyFont="1" applyFill="1" applyBorder="1"/>
    <xf numFmtId="166" fontId="7" fillId="13" borderId="11" xfId="0" applyNumberFormat="1" applyFont="1" applyFill="1" applyBorder="1"/>
    <xf numFmtId="0" fontId="7" fillId="13" borderId="32" xfId="0" applyFont="1" applyFill="1" applyBorder="1"/>
    <xf numFmtId="0" fontId="26" fillId="13" borderId="4" xfId="0" applyFont="1" applyFill="1" applyBorder="1" applyAlignment="1">
      <alignment horizontal="center" vertical="top"/>
    </xf>
    <xf numFmtId="0" fontId="7" fillId="13" borderId="5" xfId="0" applyFont="1" applyFill="1" applyBorder="1"/>
    <xf numFmtId="0" fontId="26" fillId="13" borderId="6" xfId="0" applyFont="1" applyFill="1" applyBorder="1" applyAlignment="1">
      <alignment horizontal="center" vertical="top"/>
    </xf>
    <xf numFmtId="0" fontId="7" fillId="13" borderId="39" xfId="0" applyFont="1" applyFill="1" applyBorder="1"/>
    <xf numFmtId="0" fontId="27" fillId="13" borderId="39" xfId="1" applyFont="1" applyFill="1" applyBorder="1"/>
    <xf numFmtId="0" fontId="15" fillId="0" borderId="4" xfId="0" applyFont="1" applyBorder="1" applyAlignment="1">
      <alignment horizontal="center" vertical="top" wrapText="1"/>
    </xf>
    <xf numFmtId="164" fontId="3" fillId="0" borderId="11" xfId="0" applyNumberFormat="1" applyFont="1" applyBorder="1"/>
    <xf numFmtId="0" fontId="15" fillId="0" borderId="42" xfId="0" applyFont="1" applyBorder="1" applyAlignment="1">
      <alignment horizontal="center" vertical="top"/>
    </xf>
    <xf numFmtId="0" fontId="0" fillId="0" borderId="16" xfId="0" applyBorder="1"/>
    <xf numFmtId="0" fontId="0" fillId="0" borderId="28" xfId="0" applyBorder="1"/>
    <xf numFmtId="166" fontId="0" fillId="0" borderId="28" xfId="0" applyNumberFormat="1" applyBorder="1"/>
    <xf numFmtId="0" fontId="0" fillId="0" borderId="17" xfId="0" applyBorder="1"/>
    <xf numFmtId="0" fontId="0" fillId="0" borderId="22" xfId="0" applyBorder="1"/>
    <xf numFmtId="166" fontId="0" fillId="0" borderId="22" xfId="0" applyNumberFormat="1" applyBorder="1"/>
    <xf numFmtId="0" fontId="18" fillId="0" borderId="0" xfId="1" applyFill="1"/>
    <xf numFmtId="164" fontId="3" fillId="0" borderId="22" xfId="0" applyNumberFormat="1" applyFont="1" applyBorder="1"/>
    <xf numFmtId="164" fontId="3" fillId="0" borderId="28" xfId="0" applyNumberFormat="1" applyFont="1" applyBorder="1"/>
    <xf numFmtId="0" fontId="15" fillId="0" borderId="0" xfId="0" applyFont="1" applyAlignment="1">
      <alignment horizontal="center" vertical="top"/>
    </xf>
    <xf numFmtId="0" fontId="0" fillId="14" borderId="43" xfId="0" applyFill="1" applyBorder="1"/>
    <xf numFmtId="0" fontId="0" fillId="0" borderId="9" xfId="0" applyBorder="1"/>
    <xf numFmtId="3" fontId="0" fillId="17" borderId="0" xfId="0" applyNumberFormat="1" applyFill="1"/>
    <xf numFmtId="0" fontId="11" fillId="17" borderId="0" xfId="0" applyFont="1" applyFill="1"/>
    <xf numFmtId="0" fontId="15" fillId="23" borderId="5" xfId="0" applyFont="1" applyFill="1" applyBorder="1" applyAlignment="1">
      <alignment horizontal="center" vertical="top"/>
    </xf>
    <xf numFmtId="0" fontId="0" fillId="23" borderId="5" xfId="0" applyFill="1" applyBorder="1"/>
    <xf numFmtId="0" fontId="18" fillId="23" borderId="5" xfId="1" applyFill="1" applyBorder="1"/>
    <xf numFmtId="0" fontId="22" fillId="23" borderId="5" xfId="0" applyFont="1" applyFill="1" applyBorder="1"/>
    <xf numFmtId="0" fontId="0" fillId="23" borderId="0" xfId="0" applyFill="1"/>
    <xf numFmtId="169" fontId="0" fillId="23" borderId="5" xfId="0" applyNumberFormat="1" applyFill="1" applyBorder="1"/>
    <xf numFmtId="0" fontId="18" fillId="23" borderId="0" xfId="1" applyFill="1" applyBorder="1"/>
    <xf numFmtId="0" fontId="0" fillId="23" borderId="43" xfId="0" applyFill="1" applyBorder="1"/>
    <xf numFmtId="0" fontId="7" fillId="23" borderId="32" xfId="0" applyFont="1" applyFill="1" applyBorder="1"/>
    <xf numFmtId="0" fontId="7" fillId="23" borderId="5" xfId="0" applyFont="1" applyFill="1" applyBorder="1"/>
    <xf numFmtId="0" fontId="7" fillId="23" borderId="39" xfId="0" applyFont="1" applyFill="1" applyBorder="1"/>
    <xf numFmtId="0" fontId="18" fillId="23" borderId="35" xfId="1" applyFill="1" applyBorder="1"/>
    <xf numFmtId="0" fontId="0" fillId="15" borderId="45" xfId="0" applyFill="1" applyBorder="1"/>
    <xf numFmtId="43" fontId="0" fillId="0" borderId="0" xfId="0" applyNumberFormat="1"/>
    <xf numFmtId="0" fontId="29" fillId="0" borderId="0" xfId="0" applyFont="1"/>
    <xf numFmtId="166" fontId="29" fillId="0" borderId="0" xfId="0" applyNumberFormat="1" applyFont="1"/>
    <xf numFmtId="0" fontId="29" fillId="0" borderId="38" xfId="0" applyFont="1" applyBorder="1"/>
    <xf numFmtId="0" fontId="29" fillId="0" borderId="5" xfId="0" applyFont="1" applyBorder="1"/>
    <xf numFmtId="0" fontId="30" fillId="0" borderId="0" xfId="1" applyFont="1" applyFill="1"/>
    <xf numFmtId="0" fontId="0" fillId="15" borderId="43" xfId="0" applyFill="1" applyBorder="1"/>
    <xf numFmtId="167" fontId="29" fillId="0" borderId="0" xfId="0" applyNumberFormat="1" applyFont="1"/>
    <xf numFmtId="0" fontId="29" fillId="23" borderId="38" xfId="0" applyFont="1" applyFill="1" applyBorder="1"/>
    <xf numFmtId="0" fontId="29" fillId="23" borderId="5" xfId="0" applyFont="1" applyFill="1" applyBorder="1"/>
    <xf numFmtId="0" fontId="13" fillId="13" borderId="0" xfId="0" applyFont="1" applyFill="1"/>
    <xf numFmtId="3" fontId="0" fillId="23" borderId="5" xfId="0" applyNumberFormat="1" applyFill="1" applyBorder="1"/>
    <xf numFmtId="172" fontId="0" fillId="0" borderId="0" xfId="2" applyNumberFormat="1" applyFont="1"/>
    <xf numFmtId="0" fontId="22" fillId="0" borderId="0" xfId="0" applyFont="1"/>
    <xf numFmtId="172" fontId="22" fillId="0" borderId="0" xfId="2" applyNumberFormat="1" applyFont="1"/>
    <xf numFmtId="0" fontId="15" fillId="0" borderId="7" xfId="0" applyFont="1" applyBorder="1" applyAlignment="1">
      <alignment vertical="center"/>
    </xf>
    <xf numFmtId="0" fontId="15" fillId="0" borderId="12" xfId="0" applyFont="1" applyBorder="1" applyAlignment="1">
      <alignment vertical="center"/>
    </xf>
    <xf numFmtId="0" fontId="29" fillId="0" borderId="4" xfId="0" applyFont="1" applyBorder="1" applyAlignment="1">
      <alignment horizontal="center" vertical="top"/>
    </xf>
    <xf numFmtId="0" fontId="13" fillId="0" borderId="0" xfId="0" applyFont="1"/>
    <xf numFmtId="166" fontId="13" fillId="0" borderId="0" xfId="0" applyNumberFormat="1" applyFont="1"/>
    <xf numFmtId="172" fontId="13" fillId="0" borderId="0" xfId="2" applyNumberFormat="1" applyFont="1"/>
    <xf numFmtId="166" fontId="22" fillId="0" borderId="0" xfId="0" applyNumberFormat="1" applyFont="1"/>
    <xf numFmtId="0" fontId="0" fillId="0" borderId="0" xfId="0" applyAlignment="1">
      <alignment horizontal="left" indent="1"/>
    </xf>
    <xf numFmtId="0" fontId="22" fillId="0" borderId="0" xfId="0" applyFont="1" applyAlignment="1">
      <alignment horizontal="left"/>
    </xf>
    <xf numFmtId="172" fontId="0" fillId="15" borderId="5" xfId="2" applyNumberFormat="1" applyFont="1" applyFill="1" applyBorder="1"/>
    <xf numFmtId="172" fontId="0" fillId="0" borderId="5" xfId="0" applyNumberFormat="1" applyBorder="1"/>
    <xf numFmtId="172" fontId="22" fillId="15" borderId="5" xfId="2" applyNumberFormat="1" applyFont="1" applyFill="1" applyBorder="1"/>
    <xf numFmtId="172" fontId="0" fillId="15" borderId="10" xfId="2" applyNumberFormat="1" applyFont="1" applyFill="1" applyBorder="1"/>
    <xf numFmtId="172" fontId="0" fillId="0" borderId="5" xfId="2" applyNumberFormat="1" applyFont="1" applyBorder="1"/>
    <xf numFmtId="0" fontId="15" fillId="0" borderId="13" xfId="0" applyFont="1" applyBorder="1" applyAlignment="1">
      <alignment vertical="center"/>
    </xf>
    <xf numFmtId="0" fontId="15" fillId="0" borderId="16" xfId="0" applyFont="1" applyBorder="1" applyAlignment="1">
      <alignment vertical="center"/>
    </xf>
    <xf numFmtId="0" fontId="15" fillId="0" borderId="46" xfId="0" applyFont="1" applyBorder="1" applyAlignment="1">
      <alignment vertical="center"/>
    </xf>
    <xf numFmtId="0" fontId="15" fillId="0" borderId="0" xfId="0" applyFont="1" applyAlignment="1">
      <alignment vertical="center"/>
    </xf>
    <xf numFmtId="172" fontId="22" fillId="0" borderId="5" xfId="2" applyNumberFormat="1" applyFont="1" applyBorder="1"/>
    <xf numFmtId="172" fontId="26" fillId="0" borderId="5" xfId="2" applyNumberFormat="1" applyFont="1" applyBorder="1"/>
    <xf numFmtId="172" fontId="26" fillId="0" borderId="0" xfId="2" applyNumberFormat="1" applyFont="1"/>
    <xf numFmtId="172" fontId="0" fillId="0" borderId="10" xfId="2" applyNumberFormat="1" applyFont="1" applyFill="1" applyBorder="1"/>
    <xf numFmtId="173" fontId="22" fillId="0" borderId="0" xfId="0" applyNumberFormat="1" applyFont="1"/>
    <xf numFmtId="172" fontId="22" fillId="0" borderId="0" xfId="0" applyNumberFormat="1" applyFont="1"/>
    <xf numFmtId="0" fontId="15" fillId="0" borderId="4" xfId="0" applyFont="1" applyBorder="1" applyAlignment="1">
      <alignment vertical="center"/>
    </xf>
    <xf numFmtId="0" fontId="15" fillId="0" borderId="17" xfId="0" applyFont="1" applyBorder="1" applyAlignment="1">
      <alignment vertical="center"/>
    </xf>
    <xf numFmtId="0" fontId="15" fillId="0" borderId="9" xfId="0" applyFont="1" applyBorder="1" applyAlignment="1">
      <alignment vertical="center"/>
    </xf>
    <xf numFmtId="0" fontId="15" fillId="0" borderId="36" xfId="0" applyFont="1" applyBorder="1" applyAlignment="1">
      <alignment vertical="center"/>
    </xf>
    <xf numFmtId="0" fontId="15" fillId="0" borderId="11" xfId="0" applyFont="1" applyBorder="1" applyAlignment="1">
      <alignment vertical="center"/>
    </xf>
    <xf numFmtId="172" fontId="0" fillId="23" borderId="0" xfId="2" applyNumberFormat="1" applyFont="1" applyFill="1"/>
    <xf numFmtId="172" fontId="0" fillId="23" borderId="0" xfId="2" applyNumberFormat="1" applyFont="1" applyFill="1" applyAlignment="1">
      <alignment horizontal="right"/>
    </xf>
    <xf numFmtId="0" fontId="18" fillId="23" borderId="0" xfId="1" applyFill="1"/>
    <xf numFmtId="172" fontId="22" fillId="23" borderId="0" xfId="2" applyNumberFormat="1" applyFont="1" applyFill="1"/>
    <xf numFmtId="172" fontId="13" fillId="23" borderId="0" xfId="2" applyNumberFormat="1" applyFont="1" applyFill="1"/>
    <xf numFmtId="172" fontId="0" fillId="23" borderId="5" xfId="2" applyNumberFormat="1" applyFont="1" applyFill="1" applyBorder="1"/>
    <xf numFmtId="172" fontId="22" fillId="23" borderId="5" xfId="2" applyNumberFormat="1" applyFont="1" applyFill="1" applyBorder="1"/>
    <xf numFmtId="172" fontId="0" fillId="23" borderId="10" xfId="2" applyNumberFormat="1" applyFont="1" applyFill="1" applyBorder="1"/>
    <xf numFmtId="0" fontId="0" fillId="24" borderId="5" xfId="0" applyFill="1" applyBorder="1"/>
    <xf numFmtId="0" fontId="7" fillId="14" borderId="5" xfId="0" applyFont="1" applyFill="1" applyBorder="1"/>
    <xf numFmtId="11" fontId="29" fillId="0" borderId="0" xfId="0" applyNumberFormat="1" applyFont="1" applyAlignment="1">
      <alignment horizontal="center" vertical="top"/>
    </xf>
    <xf numFmtId="0" fontId="29" fillId="0" borderId="0" xfId="0" applyFont="1" applyAlignment="1">
      <alignment horizontal="left" vertical="center"/>
    </xf>
    <xf numFmtId="9" fontId="6" fillId="0" borderId="0" xfId="0" applyNumberFormat="1" applyFont="1"/>
    <xf numFmtId="0" fontId="15" fillId="0" borderId="40" xfId="0" applyFont="1" applyBorder="1" applyAlignment="1">
      <alignment vertical="center"/>
    </xf>
    <xf numFmtId="0" fontId="15" fillId="0" borderId="7" xfId="0" applyFont="1" applyBorder="1" applyAlignment="1">
      <alignment vertical="center"/>
    </xf>
    <xf numFmtId="0" fontId="15" fillId="0" borderId="30" xfId="0" applyFont="1" applyBorder="1" applyAlignment="1">
      <alignment vertical="center"/>
    </xf>
    <xf numFmtId="0" fontId="15" fillId="0" borderId="40" xfId="0" applyFont="1" applyBorder="1" applyAlignment="1">
      <alignment horizontal="left" vertical="center"/>
    </xf>
    <xf numFmtId="0" fontId="15" fillId="0" borderId="7" xfId="0" applyFont="1" applyBorder="1" applyAlignment="1">
      <alignment horizontal="left" vertical="center"/>
    </xf>
    <xf numFmtId="0" fontId="15" fillId="0" borderId="30" xfId="0" applyFont="1" applyBorder="1" applyAlignment="1">
      <alignment horizontal="left" vertical="center"/>
    </xf>
    <xf numFmtId="0" fontId="15" fillId="0" borderId="6" xfId="0" applyFont="1" applyBorder="1" applyAlignment="1">
      <alignment vertical="center"/>
    </xf>
    <xf numFmtId="0" fontId="15" fillId="0" borderId="6" xfId="0" applyFont="1" applyBorder="1" applyAlignment="1">
      <alignment horizontal="left" vertical="center"/>
    </xf>
    <xf numFmtId="0" fontId="15" fillId="0" borderId="8" xfId="0" applyFont="1" applyBorder="1" applyAlignment="1">
      <alignment horizontal="left" vertical="center"/>
    </xf>
    <xf numFmtId="0" fontId="15" fillId="0" borderId="8" xfId="0" applyFont="1" applyBorder="1" applyAlignment="1">
      <alignment vertical="center"/>
    </xf>
    <xf numFmtId="0" fontId="15" fillId="0" borderId="4" xfId="0" applyFont="1" applyBorder="1" applyAlignment="1">
      <alignment vertical="center"/>
    </xf>
    <xf numFmtId="0" fontId="15" fillId="0" borderId="4" xfId="0" applyFont="1" applyBorder="1" applyAlignment="1">
      <alignment horizontal="left" vertical="center"/>
    </xf>
    <xf numFmtId="0" fontId="26" fillId="13" borderId="4" xfId="0" applyFont="1" applyFill="1" applyBorder="1" applyAlignment="1">
      <alignment vertical="center"/>
    </xf>
    <xf numFmtId="0" fontId="26" fillId="13" borderId="6" xfId="0" applyFont="1" applyFill="1" applyBorder="1" applyAlignment="1">
      <alignment horizontal="left" vertical="center"/>
    </xf>
    <xf numFmtId="0" fontId="26" fillId="13" borderId="7" xfId="0" applyFont="1" applyFill="1" applyBorder="1" applyAlignment="1">
      <alignment horizontal="left" vertical="center"/>
    </xf>
    <xf numFmtId="0" fontId="26" fillId="13" borderId="8" xfId="0" applyFont="1" applyFill="1" applyBorder="1" applyAlignment="1">
      <alignment horizontal="left" vertical="center"/>
    </xf>
    <xf numFmtId="0" fontId="26" fillId="13" borderId="4" xfId="0" applyFont="1" applyFill="1" applyBorder="1" applyAlignment="1">
      <alignment horizontal="left" vertical="center"/>
    </xf>
    <xf numFmtId="0" fontId="15" fillId="0" borderId="33" xfId="0" applyFont="1" applyBorder="1" applyAlignment="1">
      <alignment vertical="center"/>
    </xf>
    <xf numFmtId="0" fontId="15" fillId="0" borderId="33" xfId="0" applyFont="1" applyBorder="1" applyAlignment="1">
      <alignment horizontal="left" vertical="center"/>
    </xf>
    <xf numFmtId="0" fontId="15" fillId="0" borderId="31" xfId="0" applyFont="1" applyBorder="1" applyAlignment="1">
      <alignment vertical="center"/>
    </xf>
    <xf numFmtId="0" fontId="15" fillId="0" borderId="31" xfId="0" applyFont="1" applyBorder="1" applyAlignment="1">
      <alignment horizontal="left" vertical="center"/>
    </xf>
    <xf numFmtId="0" fontId="15" fillId="0" borderId="12" xfId="0" applyFont="1" applyBorder="1" applyAlignment="1">
      <alignment vertical="center"/>
    </xf>
    <xf numFmtId="0" fontId="15" fillId="0" borderId="12" xfId="0" applyFont="1" applyBorder="1" applyAlignment="1">
      <alignment horizontal="left" vertical="center"/>
    </xf>
    <xf numFmtId="0" fontId="15" fillId="0" borderId="15" xfId="0" applyFont="1" applyBorder="1" applyAlignment="1">
      <alignment horizontal="left" vertical="center"/>
    </xf>
    <xf numFmtId="0" fontId="15" fillId="0" borderId="24" xfId="0" applyFont="1" applyBorder="1" applyAlignment="1">
      <alignment horizontal="left" vertical="center"/>
    </xf>
    <xf numFmtId="0" fontId="15" fillId="0" borderId="44" xfId="0" applyFont="1" applyBorder="1" applyAlignment="1">
      <alignment horizontal="left" vertical="center"/>
    </xf>
    <xf numFmtId="0" fontId="15" fillId="0" borderId="36" xfId="0" applyFont="1" applyBorder="1" applyAlignment="1">
      <alignment vertical="center"/>
    </xf>
    <xf numFmtId="0" fontId="15" fillId="0" borderId="37" xfId="0" applyFont="1" applyBorder="1" applyAlignment="1">
      <alignment vertical="center"/>
    </xf>
    <xf numFmtId="0" fontId="15" fillId="0" borderId="36" xfId="0" applyFont="1" applyBorder="1" applyAlignment="1">
      <alignment horizontal="left" vertical="center"/>
    </xf>
    <xf numFmtId="0" fontId="15" fillId="0" borderId="37" xfId="0" applyFont="1" applyBorder="1" applyAlignment="1">
      <alignment horizontal="left" vertical="center"/>
    </xf>
    <xf numFmtId="0" fontId="15" fillId="0" borderId="16" xfId="0" applyFont="1" applyBorder="1" applyAlignment="1">
      <alignment vertical="center"/>
    </xf>
    <xf numFmtId="0" fontId="15" fillId="0" borderId="17" xfId="0" applyFont="1" applyBorder="1" applyAlignment="1">
      <alignment vertical="center"/>
    </xf>
    <xf numFmtId="0" fontId="15" fillId="0" borderId="16" xfId="0" applyFont="1" applyBorder="1" applyAlignment="1">
      <alignment horizontal="left" vertical="center"/>
    </xf>
    <xf numFmtId="0" fontId="15" fillId="0" borderId="17" xfId="0" applyFont="1" applyBorder="1" applyAlignment="1">
      <alignment horizontal="left" vertical="center"/>
    </xf>
    <xf numFmtId="0" fontId="15" fillId="0" borderId="13" xfId="0" applyFont="1" applyBorder="1" applyAlignment="1">
      <alignment vertical="center"/>
    </xf>
    <xf numFmtId="0" fontId="15" fillId="0" borderId="18" xfId="0" applyFont="1" applyBorder="1" applyAlignment="1">
      <alignment horizontal="left" vertical="center"/>
    </xf>
    <xf numFmtId="0" fontId="15" fillId="0" borderId="47" xfId="0" applyFont="1" applyBorder="1" applyAlignment="1">
      <alignment horizontal="left" vertical="center"/>
    </xf>
    <xf numFmtId="0" fontId="15" fillId="0" borderId="23" xfId="0" applyFont="1" applyBorder="1" applyAlignment="1">
      <alignment horizontal="left" vertical="center"/>
    </xf>
    <xf numFmtId="0" fontId="15" fillId="0" borderId="13" xfId="0" applyFont="1" applyBorder="1" applyAlignment="1">
      <alignment horizontal="left" vertical="center"/>
    </xf>
    <xf numFmtId="0" fontId="15" fillId="0" borderId="9" xfId="0" applyFont="1" applyBorder="1" applyAlignment="1">
      <alignment vertical="center"/>
    </xf>
    <xf numFmtId="0" fontId="15" fillId="0" borderId="9" xfId="0" applyFont="1" applyBorder="1" applyAlignment="1">
      <alignment horizontal="left" vertical="center"/>
    </xf>
    <xf numFmtId="0" fontId="15" fillId="0" borderId="18" xfId="0" applyFont="1" applyBorder="1" applyAlignment="1">
      <alignment vertical="center"/>
    </xf>
    <xf numFmtId="0" fontId="15" fillId="0" borderId="47" xfId="0" applyFont="1" applyBorder="1" applyAlignment="1">
      <alignment vertical="center"/>
    </xf>
    <xf numFmtId="0" fontId="15" fillId="0" borderId="23" xfId="0" applyFont="1" applyBorder="1" applyAlignment="1">
      <alignment vertical="center"/>
    </xf>
    <xf numFmtId="0" fontId="15" fillId="0" borderId="48" xfId="0" applyFont="1" applyBorder="1" applyAlignment="1">
      <alignment horizontal="left" vertical="center"/>
    </xf>
    <xf numFmtId="0" fontId="15" fillId="0" borderId="49" xfId="0" applyFont="1" applyBorder="1" applyAlignment="1">
      <alignment horizontal="left"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8" xfId="0" applyFont="1" applyBorder="1" applyAlignment="1">
      <alignment horizontal="center" vertical="center"/>
    </xf>
    <xf numFmtId="0" fontId="15" fillId="0" borderId="4" xfId="0" applyFont="1" applyBorder="1" applyAlignment="1">
      <alignment horizontal="center" vertical="center"/>
    </xf>
    <xf numFmtId="0" fontId="15" fillId="0" borderId="6" xfId="0" applyFont="1" applyBorder="1" applyAlignment="1">
      <alignment vertical="center" wrapText="1"/>
    </xf>
    <xf numFmtId="0" fontId="15" fillId="0" borderId="7" xfId="0" applyFont="1" applyBorder="1" applyAlignment="1">
      <alignment vertical="center" wrapText="1"/>
    </xf>
    <xf numFmtId="0" fontId="15" fillId="0" borderId="8" xfId="0" applyFont="1" applyBorder="1" applyAlignment="1">
      <alignment vertical="center" wrapText="1"/>
    </xf>
  </cellXfs>
  <cellStyles count="4">
    <cellStyle name="Comma" xfId="2" builtinId="3"/>
    <cellStyle name="Hyperlink" xfId="1" builtinId="8"/>
    <cellStyle name="Normal" xfId="0" builtinId="0"/>
    <cellStyle name="Normal 2 2" xfId="3" xr:uid="{B62C9684-7BE4-F74F-AFE8-96D9DF812818}"/>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mruColors>
      <color rgb="FFE1BFFF"/>
      <color rgb="FFE5D0FE"/>
      <color rgb="FFB096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297160</xdr:colOff>
      <xdr:row>52</xdr:row>
      <xdr:rowOff>60120</xdr:rowOff>
    </xdr:to>
    <xdr:sp macro="" textlink="">
      <xdr:nvSpPr>
        <xdr:cNvPr id="2" name="TextBox 1">
          <a:extLst>
            <a:ext uri="{FF2B5EF4-FFF2-40B4-BE49-F238E27FC236}">
              <a16:creationId xmlns:a16="http://schemas.microsoft.com/office/drawing/2014/main" id="{4936A436-A307-A540-93E1-1C335151C930}"/>
            </a:ext>
          </a:extLst>
        </xdr:cNvPr>
        <xdr:cNvSpPr/>
      </xdr:nvSpPr>
      <xdr:spPr>
        <a:xfrm>
          <a:off x="660400" y="194733"/>
          <a:ext cx="6240760" cy="999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Ndungu, Grace Wangeci (AIM SE)" id="{EFF0660C-3480-D24C-848E-FC8C4ACC0EA9}" userId="S::grace-wangeci.ndungu@allianz.com::38e4d5fd-58c6-4237-a1d1-e5147837591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4" dT="2022-10-28T06:53:20.36" personId="{EFF0660C-3480-D24C-848E-FC8C4ACC0EA9}" id="{5E0A9095-93F4-EF40-8831-AA497A23CFAE}">
    <text>LEI is currently lapsed</text>
  </threadedComment>
  <threadedComment ref="B118" dT="2022-10-28T07:02:50.48" personId="{EFF0660C-3480-D24C-848E-FC8C4ACC0EA9}" id="{FDED2E2C-7C7C-BE4F-9AE2-B9BC68A08A84}">
    <text>LEI currently lapsed</text>
  </threadedComment>
  <threadedComment ref="B119" dT="2022-10-28T07:03:52.98" personId="{EFF0660C-3480-D24C-848E-FC8C4ACC0EA9}" id="{525437A1-0012-C44C-97C2-34EFD519414A}">
    <text>LEI Currently lapsed</text>
  </threadedComment>
  <threadedComment ref="B120" dT="2022-10-28T07:20:50.50" personId="{EFF0660C-3480-D24C-848E-FC8C4ACC0EA9}" id="{46E54433-8262-B842-B06E-352B0EBFA844}">
    <text>LEI registration is lapsed</text>
  </threadedComment>
  <threadedComment ref="B124" dT="2022-10-28T07:36:08.08" personId="{EFF0660C-3480-D24C-848E-FC8C4ACC0EA9}" id="{FBE079CD-D986-A347-A648-783DDC2F0EF0}">
    <text>LEI lapsed</text>
  </threadedComment>
</ThreadedComments>
</file>

<file path=xl/threadedComments/threadedComment2.xml><?xml version="1.0" encoding="utf-8"?>
<ThreadedComments xmlns="http://schemas.microsoft.com/office/spreadsheetml/2018/threadedcomments" xmlns:x="http://schemas.openxmlformats.org/spreadsheetml/2006/main">
  <threadedComment ref="E2069" dT="2022-10-31T08:25:23.35" personId="{EFF0660C-3480-D24C-848E-FC8C4ACC0EA9}" id="{F0D4B364-029C-3245-9CC4-D1A2A4C9EDF8}">
    <text>Emissions from purchased goods, fuel and energy-related activities, contracted transport, waste generated and employee commuting</text>
  </threadedComment>
  <threadedComment ref="E2077" dT="2022-10-31T08:25:23.35" personId="{EFF0660C-3480-D24C-848E-FC8C4ACC0EA9}" id="{75A5425B-2E39-3B44-9F99-D852FB3B6FEF}">
    <text>Emissions from purchased goods, fuel and energy-related activities, contracted transport, waste generated and employee commuting</text>
  </threadedComment>
  <threadedComment ref="E2083" dT="2022-10-31T08:25:23.35" personId="{EFF0660C-3480-D24C-848E-FC8C4ACC0EA9}" id="{5D185C4F-4850-BD46-8190-623A56B116A1}">
    <text>Emissions from purchased goods, fuel and energy-related activities, contracted transport, waste generated and employee commuting</text>
  </threadedComment>
  <threadedComment ref="E2091" dT="2022-10-31T08:25:23.35" personId="{EFF0660C-3480-D24C-848E-FC8C4ACC0EA9}" id="{BD468610-1ADA-104F-A44F-310E5E0A79A6}">
    <text>Emissions from purchased goods, fuel and energy-related activities, contracted transport, waste generated and employee commuting</text>
  </threadedComment>
  <threadedComment ref="E2099" dT="2022-10-31T08:25:23.35" personId="{EFF0660C-3480-D24C-848E-FC8C4ACC0EA9}" id="{D939CD8D-C6EB-3B48-B527-A7354A22DFAB}">
    <text>Emissions from purchased goods, fuel and energy-related activities, contracted transport, waste generated and employee commuting</text>
  </threadedComment>
  <threadedComment ref="E2108" dT="2022-10-31T15:21:17.56" personId="{EFF0660C-3480-D24C-848E-FC8C4ACC0EA9}" id="{967899ED-2DDF-184D-B986-8F48A2BCE0D4}">
    <text>includes process emissions</text>
  </threadedComment>
  <threadedComment ref="E2118" dT="2022-10-31T15:21:17.56" personId="{EFF0660C-3480-D24C-848E-FC8C4ACC0EA9}" id="{A5D736DF-B53D-B949-A25C-17637C00B471}">
    <text>includes process emissions</text>
  </threadedComment>
  <threadedComment ref="E2128" dT="2022-10-31T15:21:17.56" personId="{EFF0660C-3480-D24C-848E-FC8C4ACC0EA9}" id="{61F40D2A-049D-0242-8B58-656A98694B1C}">
    <text>includes process emissions</text>
  </threadedComment>
  <threadedComment ref="E2142" dT="2022-11-02T15:12:43.87" personId="{EFF0660C-3480-D24C-848E-FC8C4ACC0EA9}" id="{5870F9B0-5B60-9F48-A6BB-0E2E8C6E693D}">
    <text xml:space="preserve">There are different quantities of product displayed in addition to cement. No guidance on which one to choose </text>
  </threadedComment>
  <threadedComment ref="E2149" dT="2022-11-02T15:12:43.87" personId="{EFF0660C-3480-D24C-848E-FC8C4ACC0EA9}" id="{4034B1D1-FFA3-4842-B201-94EC34289DD0}">
    <text xml:space="preserve">There are different quantities of product displayed in addition to cement. No guidance on which one to choose </text>
  </threadedComment>
  <threadedComment ref="E2155" dT="2022-11-02T15:12:43.87" personId="{EFF0660C-3480-D24C-848E-FC8C4ACC0EA9}" id="{32B31AF7-9BA3-B943-A839-EA0FAD6E2B2B}">
    <text xml:space="preserve">There are different quantities of product displayed in addition to cement. No guidance on which one to choose </text>
  </threadedComment>
  <threadedComment ref="D2168" dT="2022-11-03T10:09:09.63" personId="{EFF0660C-3480-D24C-848E-FC8C4ACC0EA9}" id="{A52FF204-0C49-C14D-8182-692BB9869AE6}">
    <text>Includes Production 39.85Mt (Production includes Cement-62%, Chemicals-20%, Building materials-9% and Packaging-9%)+Raw Materials 52.77Mt+ Recycled Materials 5.65Mt</text>
  </threadedComment>
  <threadedComment ref="D2175" dT="2022-11-03T10:09:09.63" personId="{EFF0660C-3480-D24C-848E-FC8C4ACC0EA9}" id="{EEE48545-2E4A-9840-92C4-E7CD91F51052}">
    <text>Includes Production 39.85Mt (Production includes Cement-62%, Chemicals-20%, Building materials-9% and Packaging-9%)+Raw Materials 52.77Mt+ Recycled Materials 5.65Mt</text>
  </threadedComment>
  <threadedComment ref="D2182" dT="2022-11-03T10:09:09.63" personId="{EFF0660C-3480-D24C-848E-FC8C4ACC0EA9}" id="{51D2CF1C-F00D-EA4B-A00E-4C309AC07DF3}">
    <text>Includes Production 39.85Mt (Production includes Cement-62%, Chemicals-20%, Building materials-9% and Packaging-9%)+Raw Materials 52.77Mt+ Recycled Materials 5.65Mt</text>
  </threadedComment>
</ThreadedComments>
</file>

<file path=xl/threadedComments/threadedComment3.xml><?xml version="1.0" encoding="utf-8"?>
<ThreadedComments xmlns="http://schemas.microsoft.com/office/spreadsheetml/2018/threadedcomments" xmlns:x="http://schemas.openxmlformats.org/spreadsheetml/2006/main">
  <threadedComment ref="M194" dT="2022-10-31T09:26:05.92" personId="{EFF0660C-3480-D24C-848E-FC8C4ACC0EA9}" id="{AA249BEA-77A3-B546-9F37-A253C6367C06}">
    <text>reduce to &lt;520kg CO2 emissions by 2030</text>
  </threadedComment>
  <threadedComment ref="M201" dT="2022-11-02T09:26:43.58" personId="{EFF0660C-3480-D24C-848E-FC8C4ACC0EA9}" id="{CA8C9C04-1742-E447-9A4E-9ACBCF0FD8F5}">
    <text>-20% kg CO2e/t of purchased clinker and cement
-20% kg CO2e/t of purchased fuels
-24% kg CO2e/t of material transported</text>
  </threadedComment>
  <threadedComment ref="I204" dT="2022-11-02T16:01:28.33" personId="{EFF0660C-3480-D24C-848E-FC8C4ACC0EA9}" id="{6D9409B0-DC83-9443-B5FA-E2465B7C3335}">
    <text>no data provided</text>
  </threadedComment>
  <threadedComment ref="J206" dT="2022-11-03T15:38:08.19" personId="{EFF0660C-3480-D24C-848E-FC8C4ACC0EA9}" id="{ADA6A937-95AA-BC43-9A9D-55C15946EBFC}">
    <text>in the sustainability report, the 2007 figure is indicated as 20.06MT but it is said that emissions in 2020 are a 2.86 MT reduction from 2007 and the 2020 emissions are indicated as 23.34. Therefore, this figure is 23.34+2.86</text>
  </threadedComment>
  <threadedComment ref="J207" dT="2022-11-03T15:38:08.19" personId="{EFF0660C-3480-D24C-848E-FC8C4ACC0EA9}" id="{26C2080D-C9E2-7442-A759-886EF52FFC74}">
    <text>This figure is restated from the figure reported in 2020 which was 23.34</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acc.com.tw/download/Annual%20Report/2021/2021%20Annaul%20Report.pdf" TargetMode="External"/><Relationship Id="rId21" Type="http://schemas.openxmlformats.org/officeDocument/2006/relationships/hyperlink" Target="https://s26.q4cdn.com/888045447/files/doc_downloads/2022/10/2022-ESG-Report_10-13-22_Final.pdf" TargetMode="External"/><Relationship Id="rId42" Type="http://schemas.openxmlformats.org/officeDocument/2006/relationships/hyperlink" Target="https://www.givaudan.com/sites/givaudanweb.int/files/2022-02/GIV_2021_IntegratedAnnualReport_4.pdf" TargetMode="External"/><Relationship Id="rId63" Type="http://schemas.openxmlformats.org/officeDocument/2006/relationships/hyperlink" Target="https://www.symrise.com/newsroom/downloads/index.php/?eID=tx_securedownloads&amp;p=458&amp;u=0&amp;g=0&amp;t=1670937708&amp;hash=e1996a9ec25e86036f552c68d0a322811a123097&amp;file=fileadmin/symrise/Downloads_reports/sustainability/GRI_Balances/EN/SYM_Sustainability_Record_2017.pdf" TargetMode="External"/><Relationship Id="rId84" Type="http://schemas.openxmlformats.org/officeDocument/2006/relationships/hyperlink" Target="https://report.basf.com/2019/en/servicepages/downloads/files/BASF_Report_2019.pdf" TargetMode="External"/><Relationship Id="rId138" Type="http://schemas.openxmlformats.org/officeDocument/2006/relationships/hyperlink" Target="https://csr.acc.com.tw/en/files/2020--Asia%20Cement%20CSR%20report--V2.0.pdf" TargetMode="External"/><Relationship Id="rId159" Type="http://schemas.openxmlformats.org/officeDocument/2006/relationships/hyperlink" Target="https://www.mdu.com/wp-content/uploads/2022/08/MDU_Resources_Sustainability_Report_2021.pdf" TargetMode="External"/><Relationship Id="rId170" Type="http://schemas.openxmlformats.org/officeDocument/2006/relationships/hyperlink" Target="http://flip.tenaris.com/books/yiev" TargetMode="External"/><Relationship Id="rId191" Type="http://schemas.openxmlformats.org/officeDocument/2006/relationships/hyperlink" Target="https://www.engie.com/sites/default/files/assets/documents/2023-03/ENGIE_RI23_VA_VDEF.pdf" TargetMode="External"/><Relationship Id="rId107" Type="http://schemas.openxmlformats.org/officeDocument/2006/relationships/hyperlink" Target="https://www.covestro.com/-/media/covestro/corporate/investors/financial-documents-and-presentations/presentations-and-documents/2017/covestro_gri_supplementary_report_2017.pdf?rev=45f46aedfaaf41419d43ac5935f8c970" TargetMode="External"/><Relationship Id="rId11" Type="http://schemas.openxmlformats.org/officeDocument/2006/relationships/hyperlink" Target="https://www.eni.com/assets/documents/eng/reports/2021/Fact-Book-2021-eng.pdf" TargetMode="External"/><Relationship Id="rId32" Type="http://schemas.openxmlformats.org/officeDocument/2006/relationships/hyperlink" Target="https://s201.q4cdn.com/583395453/files/doc_downloads/2022/climate-report-2022.pdf" TargetMode="External"/><Relationship Id="rId53" Type="http://schemas.openxmlformats.org/officeDocument/2006/relationships/hyperlink" Target="https://report.covestro.com/annual-report-2021/servicepages/downloads/files/entire-covestro-ar21.pdf" TargetMode="External"/><Relationship Id="rId74" Type="http://schemas.openxmlformats.org/officeDocument/2006/relationships/hyperlink" Target="https://www.dsm.com/content/dam/dsm/corporate/en_US/documents/dsm-annual-report-2018.pdf" TargetMode="External"/><Relationship Id="rId128" Type="http://schemas.openxmlformats.org/officeDocument/2006/relationships/hyperlink" Target="https://d1bqwgblvv2dye.cloudfront.net/wp-content/uploads/2022/03/03164359/Performance2021-1.pdf" TargetMode="External"/><Relationship Id="rId149" Type="http://schemas.openxmlformats.org/officeDocument/2006/relationships/hyperlink" Target="https://labrador.cld.bz/EDF-2020-Universal-Registration-Document/5/" TargetMode="External"/><Relationship Id="rId5" Type="http://schemas.openxmlformats.org/officeDocument/2006/relationships/hyperlink" Target="https://www.bmwgroup.com/content/dam/grpw/websites/bmwgroup_com/ir/downloads/en/2022/hv/E3.7.1.pdf" TargetMode="External"/><Relationship Id="rId95" Type="http://schemas.openxmlformats.org/officeDocument/2006/relationships/hyperlink" Target="https://www.nolato.com/-/media/Files/Publications/Annual-report-2021/Nolato_annualreport-2021.pdf" TargetMode="External"/><Relationship Id="rId160" Type="http://schemas.openxmlformats.org/officeDocument/2006/relationships/hyperlink" Target="https://www.oge.com/wps/wcm/connect/06e19163-1c1a-4ebe-a4aa-fd491b12a0b1/OGE+2022+EEI+ESG-Sustainability+Template.pdf?MOD=AJPERES&amp;CVID=ofSho7a" TargetMode="External"/><Relationship Id="rId181" Type="http://schemas.openxmlformats.org/officeDocument/2006/relationships/hyperlink" Target="https://www.bayer.com/sites/default/files/2022-03/Bayer-Sustainability-Report-2021.pdf" TargetMode="External"/><Relationship Id="rId22" Type="http://schemas.openxmlformats.org/officeDocument/2006/relationships/hyperlink" Target="https://d1io3yog0oux5.cloudfront.net/clevelandcliffs/files/pages/clevelandcliffs/db/CLF_SustainabilityReport_062022.pdf" TargetMode="External"/><Relationship Id="rId43" Type="http://schemas.openxmlformats.org/officeDocument/2006/relationships/hyperlink" Target="https://www.givaudan.com/sites/givaudanweb.int/files/download_links/GIV_Integrated_Annual_Report_2020.pdf" TargetMode="External"/><Relationship Id="rId64" Type="http://schemas.openxmlformats.org/officeDocument/2006/relationships/hyperlink" Target="https://www.symrise.com/newsroom/downloads/index.php/?eID=tx_securedownloads&amp;p=458&amp;u=0&amp;g=0&amp;t=1670937708&amp;hash=5ed930ed38d73cd58dc0e7969c1d17e360a62731&amp;file=fileadmin/symrise/Downloads_reports/sustainability/GRI_Balances/EN/SYM_Sustainability_Record_2018.pdf" TargetMode="External"/><Relationship Id="rId118" Type="http://schemas.openxmlformats.org/officeDocument/2006/relationships/hyperlink" Target="https://www.crh.com/media/1303/crh-2017-sustainability-report.pdf" TargetMode="External"/><Relationship Id="rId139" Type="http://schemas.openxmlformats.org/officeDocument/2006/relationships/hyperlink" Target="https://www.acc.com.tw/download/Annual%20Report/2020/2020.pdf" TargetMode="External"/><Relationship Id="rId85" Type="http://schemas.openxmlformats.org/officeDocument/2006/relationships/hyperlink" Target="https://report.basf.com/2017/en/servicepages/downloads/files/BASF_Report_2017.pdf" TargetMode="External"/><Relationship Id="rId150" Type="http://schemas.openxmlformats.org/officeDocument/2006/relationships/hyperlink" Target="https://www.edf.fr/sites/groupe/files/contrib/groupe-edf/espaces-dedies/espace-finance-en/financial-information/publications/facts-figures/facts-and-figures-2018-en.pdf" TargetMode="External"/><Relationship Id="rId171" Type="http://schemas.openxmlformats.org/officeDocument/2006/relationships/hyperlink" Target="https://us.ternium.com/media/z4wbozjn/ternium-sustainability-report-2021.pdf" TargetMode="External"/><Relationship Id="rId192" Type="http://schemas.openxmlformats.org/officeDocument/2006/relationships/hyperlink" Target="https://www.engie.com/sites/default/files/assets/documents/2021-05/RI-Engie2021-ENG-vdef.pdf" TargetMode="External"/><Relationship Id="rId12" Type="http://schemas.openxmlformats.org/officeDocument/2006/relationships/hyperlink" Target="https://www.eni.com/assets/documents/eng/reports/2021/Fact-Book-2021-eng.pdf" TargetMode="External"/><Relationship Id="rId33" Type="http://schemas.openxmlformats.org/officeDocument/2006/relationships/hyperlink" Target="https://s201.q4cdn.com/583395453/files/doc_downloads/esg-key-documents/2021-esg-summary.pdf" TargetMode="External"/><Relationship Id="rId108" Type="http://schemas.openxmlformats.org/officeDocument/2006/relationships/hyperlink" Target="https://www.covestro.com/en/investors/reports-and-presentations/-/media/4AC8903B82F5498791FAF8649049CE55.ashx" TargetMode="External"/><Relationship Id="rId129" Type="http://schemas.openxmlformats.org/officeDocument/2006/relationships/hyperlink" Target="https://file.scgsustainability.com/wp-content/uploads/2022/03/02172619/SD2018.pdf" TargetMode="External"/><Relationship Id="rId54" Type="http://schemas.openxmlformats.org/officeDocument/2006/relationships/hyperlink" Target="https://ml-eu.globenewswire.com/Resource/Download/d29c052b-ec61-4215-ba8e-02c358787d74" TargetMode="External"/><Relationship Id="rId75" Type="http://schemas.openxmlformats.org/officeDocument/2006/relationships/hyperlink" Target="https://annualreport.dsm.com/ar2019/xmlpages/resources/TXP/dsm/ar_2019/files/DSM-Annual-Report-2019.pdf" TargetMode="External"/><Relationship Id="rId96" Type="http://schemas.openxmlformats.org/officeDocument/2006/relationships/hyperlink" Target="https://www.nolato.com/-/media/Files/Publications/Sustainability-Report/Nolato-Sustainability-report-2019.pdf" TargetMode="External"/><Relationship Id="rId140" Type="http://schemas.openxmlformats.org/officeDocument/2006/relationships/hyperlink" Target="https://csr.acc.com.tw/en/files/2--2017--Asia%20Cement%20CSR%20report.pdf" TargetMode="External"/><Relationship Id="rId161" Type="http://schemas.openxmlformats.org/officeDocument/2006/relationships/hyperlink" Target="https://investors.exeloncorp.com/node/35191/html" TargetMode="External"/><Relationship Id="rId182" Type="http://schemas.openxmlformats.org/officeDocument/2006/relationships/hyperlink" Target="https://www.bayer.com/sites/default/files/2021-02/Bayer-Sustainability-Report-2020.pdf" TargetMode="External"/><Relationship Id="rId6" Type="http://schemas.openxmlformats.org/officeDocument/2006/relationships/hyperlink" Target="https://www.bmwgroup.com/content/dam/grpw/websites/bmwgroup_com/ir/downloads/en/2022/hv/E3.7.2.pdf" TargetMode="External"/><Relationship Id="rId23" Type="http://schemas.openxmlformats.org/officeDocument/2006/relationships/hyperlink" Target="https://www.bp.com/content/dam/bp/business-sites/en/global/corporate/pdfs/sustainability/group-reports/bp-esg-datasheet-2021.pdf" TargetMode="External"/><Relationship Id="rId119" Type="http://schemas.openxmlformats.org/officeDocument/2006/relationships/hyperlink" Target="https://www.crh.com/media/1022/crh-sustainability-report-2018.pdf" TargetMode="External"/><Relationship Id="rId44" Type="http://schemas.openxmlformats.org/officeDocument/2006/relationships/hyperlink" Target="https://www.linde.com/-/media/linde/merger/documents/sustainable-development/2021/2021-sustainable-development-report-v2.pdf?la=en" TargetMode="External"/><Relationship Id="rId65" Type="http://schemas.openxmlformats.org/officeDocument/2006/relationships/hyperlink" Target="https://www.tokaicarbon.co.jp/en/ir/pdf/integration_annual_report/2021_all.pdf" TargetMode="External"/><Relationship Id="rId86" Type="http://schemas.openxmlformats.org/officeDocument/2006/relationships/hyperlink" Target="https://report.basf.com/2018/en/servicepages/downloads/files/BASF_Report_2018.pdf" TargetMode="External"/><Relationship Id="rId130" Type="http://schemas.openxmlformats.org/officeDocument/2006/relationships/hyperlink" Target="https://file.scgsustainability.com/wp-content/uploads/2022/03/02172637/SD2019FULL.pdf" TargetMode="External"/><Relationship Id="rId151" Type="http://schemas.openxmlformats.org/officeDocument/2006/relationships/hyperlink" Target="https://www.edf.fr/sites/groupe/files/2022-03/edf-2021-universal-registration-document.pdf" TargetMode="External"/><Relationship Id="rId172" Type="http://schemas.openxmlformats.org/officeDocument/2006/relationships/hyperlink" Target="https://www.ussteel.com/documents/40705/43725/USS_CSR21_Full_Report.pdf/b990344d-2d81-f112-2a8f-b1c584989345?t=1658343821405" TargetMode="External"/><Relationship Id="rId193" Type="http://schemas.openxmlformats.org/officeDocument/2006/relationships/hyperlink" Target="https://orsted.com/-/media/annual2019/esg-performance-report-2019.pdf" TargetMode="External"/><Relationship Id="rId13" Type="http://schemas.openxmlformats.org/officeDocument/2006/relationships/hyperlink" Target="https://www.eni.com/assets/documents/eng/reports/2021/Fact-Book-2021-eng.pdf" TargetMode="External"/><Relationship Id="rId109" Type="http://schemas.openxmlformats.org/officeDocument/2006/relationships/hyperlink" Target="https://www.crh.com/media/4137/crh-2021-sustainability-report_interactive.pdf" TargetMode="External"/><Relationship Id="rId34" Type="http://schemas.openxmlformats.org/officeDocument/2006/relationships/hyperlink" Target="https://www.exeloncorp.com/sustainability/interactive-csr?year=2021&amp;page=128" TargetMode="External"/><Relationship Id="rId55" Type="http://schemas.openxmlformats.org/officeDocument/2006/relationships/hyperlink" Target="https://ml-eu.globenewswire.com/Resource/Download/25d37dd8-ce84-47e6-96f2-40a6c69d8d0f" TargetMode="External"/><Relationship Id="rId76" Type="http://schemas.openxmlformats.org/officeDocument/2006/relationships/hyperlink" Target="https://www.dsm.com/content/dam/dsm/corporate/en_US/documents/dsm-annual-report-2017.pdf" TargetMode="External"/><Relationship Id="rId97" Type="http://schemas.openxmlformats.org/officeDocument/2006/relationships/hyperlink" Target="https://www.nolato.com/-/media/Files/Publications/Sustainability-Report/nolato_sustainable-2018.pdf" TargetMode="External"/><Relationship Id="rId120" Type="http://schemas.openxmlformats.org/officeDocument/2006/relationships/hyperlink" Target="https://www.crh.com/media/3224/crh-sustainability-report-2019-interactive.pdf" TargetMode="External"/><Relationship Id="rId141" Type="http://schemas.openxmlformats.org/officeDocument/2006/relationships/hyperlink" Target="https://www.cemex.com/documents/20143/47791895/IntegratedReport2018.pdf/a147346a-339e-a49b-7d3f-fb53be8e46c9?t=1553798698527" TargetMode="External"/><Relationship Id="rId7" Type="http://schemas.openxmlformats.org/officeDocument/2006/relationships/hyperlink" Target="https://www.bmwgroup.com/content/dam/grpw/websites/bmwgroup_com/responsibility/downloads/en/2020/2020-BMW-Group-SVR-2019-Englisch.pdf" TargetMode="External"/><Relationship Id="rId162" Type="http://schemas.openxmlformats.org/officeDocument/2006/relationships/hyperlink" Target="https://lite.conedison.com/ehs/2019-sustainability-report/files/ConEd_SR_2019_EEI-AGA-ESG-Sustainability-Template-Version-2-Quantitative-External.xlsx" TargetMode="External"/><Relationship Id="rId183" Type="http://schemas.openxmlformats.org/officeDocument/2006/relationships/hyperlink" Target="https://www.bayer.com/sites/default/files/2020-12/bayer-ag-sustainability-report-2019_5.pdf" TargetMode="External"/><Relationship Id="rId2" Type="http://schemas.openxmlformats.org/officeDocument/2006/relationships/hyperlink" Target="https://www.aes.com/sites/default/files/2022-05/2021%20Improving%20Lives%20report.pdf" TargetMode="External"/><Relationship Id="rId29" Type="http://schemas.openxmlformats.org/officeDocument/2006/relationships/hyperlink" Target="https://dteempowermi.wpenginepowered.com/wp-content/uploads/2021KeyPerformanceData.xlsx" TargetMode="External"/><Relationship Id="rId24" Type="http://schemas.openxmlformats.org/officeDocument/2006/relationships/hyperlink" Target="https://www.cmc.com/getmedia/f81a63c4-6285-4c8a-a573-35f79d71fe24/CMC_2021_Sustainability_Report.pdf" TargetMode="External"/><Relationship Id="rId40" Type="http://schemas.openxmlformats.org/officeDocument/2006/relationships/hyperlink" Target="https://annualreport.dsm.com/ar2021/_assets/downloads/entire-dsm-ar21.pdf" TargetMode="External"/><Relationship Id="rId45" Type="http://schemas.openxmlformats.org/officeDocument/2006/relationships/hyperlink" Target="https://www.synthomer.com/media/c1qnu4pn/synthomer_ar21.pdf" TargetMode="External"/><Relationship Id="rId66" Type="http://schemas.openxmlformats.org/officeDocument/2006/relationships/hyperlink" Target="https://www.tokaicarbon.co.jp/en/ir/pdf/integration_annual_report/all.pdf" TargetMode="External"/><Relationship Id="rId87" Type="http://schemas.openxmlformats.org/officeDocument/2006/relationships/hyperlink" Target="https://www.arkema.com/files/live/sites/shared_arkema/files/downloads/investorrelations/en/finance/ARK2021_ARKEMA_URD_EN_V4BAT_MEL_2022_03_29.pdf" TargetMode="External"/><Relationship Id="rId110" Type="http://schemas.openxmlformats.org/officeDocument/2006/relationships/hyperlink" Target="https://www.holcim.com/sites/holcim/files/2022-03/25022022-sustainability-holcim_fy_2021_report-en.pdf" TargetMode="External"/><Relationship Id="rId115" Type="http://schemas.openxmlformats.org/officeDocument/2006/relationships/hyperlink" Target="https://s3.amazonaws.com/content.vulcanmaterials.com/vulcan-materials-company-social-responsibility/2022/05/Vulcan-Materials-Company-2021-ESG-Report-for-web.pdf" TargetMode="External"/><Relationship Id="rId131" Type="http://schemas.openxmlformats.org/officeDocument/2006/relationships/hyperlink" Target="https://www.acc.com.tw/download/Annual%20Report/2021/2021%20Annaul%20Report.pdf" TargetMode="External"/><Relationship Id="rId136" Type="http://schemas.openxmlformats.org/officeDocument/2006/relationships/hyperlink" Target="https://csr.acc.com.tw/en/files/2019--Asia%20Cement%20CSR%20report-V2.0.pdf" TargetMode="External"/><Relationship Id="rId157" Type="http://schemas.openxmlformats.org/officeDocument/2006/relationships/hyperlink" Target="https://s21.q4cdn.com/448935352/files/doc_downloads/esg/2022/2022_Ameren_EEI_AGA_SustainTemplate.pdf" TargetMode="External"/><Relationship Id="rId178" Type="http://schemas.openxmlformats.org/officeDocument/2006/relationships/hyperlink" Target="https://www.azbil.com/ir/library/annual/__icsFiles/afieldfile/2021/10/28/report2021_e.pdf" TargetMode="External"/><Relationship Id="rId61" Type="http://schemas.openxmlformats.org/officeDocument/2006/relationships/hyperlink" Target="https://www.symrise.com/newsroom/downloads/index.php/?eID=tx_securedownloads&amp;p=458&amp;u=0&amp;g=0&amp;t=1670937682&amp;hash=0c0b05e6a5cb45916d8974a13ef8cdbaf5ff52da&amp;file=fileadmin/symrise/Downloads_reports/sustainability/GRI_Balances/EN/SYM_Sustainability_Record_2020.pdf" TargetMode="External"/><Relationship Id="rId82" Type="http://schemas.openxmlformats.org/officeDocument/2006/relationships/hyperlink" Target="https://report.basf.com/2021/en/managements-report/sustainability-along-the-value-chain/safe-and-efficient-production/energy-and-climate-protection.html" TargetMode="External"/><Relationship Id="rId152" Type="http://schemas.openxmlformats.org/officeDocument/2006/relationships/hyperlink" Target="https://www.nationalgrid.com/document/146706/download" TargetMode="External"/><Relationship Id="rId173" Type="http://schemas.openxmlformats.org/officeDocument/2006/relationships/hyperlink" Target="https://www.astellas.com/en/sustainability/esg-environment" TargetMode="External"/><Relationship Id="rId194" Type="http://schemas.openxmlformats.org/officeDocument/2006/relationships/hyperlink" Target="https://orsted.com/esgperformance2020" TargetMode="External"/><Relationship Id="rId199" Type="http://schemas.openxmlformats.org/officeDocument/2006/relationships/hyperlink" Target="https://www.enel.com/content/dam/enel-com/documenti/investitori/sostenibilita/2019/sustainability-report_2019.pdf" TargetMode="External"/><Relationship Id="rId203" Type="http://schemas.openxmlformats.org/officeDocument/2006/relationships/comments" Target="../comments2.xml"/><Relationship Id="rId19" Type="http://schemas.openxmlformats.org/officeDocument/2006/relationships/hyperlink" Target="https://www.alliantenergy.com/-/media/alliant/documents/cleanenergy/responsibility-report/eeiesgquantitativetemplate.xlsx" TargetMode="External"/><Relationship Id="rId14" Type="http://schemas.openxmlformats.org/officeDocument/2006/relationships/hyperlink" Target="https://www.eni.com/assets/documents/eng/reports/2021/Fact-Book-2021-eng.pdf" TargetMode="External"/><Relationship Id="rId30" Type="http://schemas.openxmlformats.org/officeDocument/2006/relationships/hyperlink" Target="https://www.posco.co.kr/docs/eng6/jsp/dn/irinfo/posco_factbook_2021.pdf" TargetMode="External"/><Relationship Id="rId35" Type="http://schemas.openxmlformats.org/officeDocument/2006/relationships/hyperlink" Target="https://materials.proxyvote.com/Approved/981811/20220801/AR_514436/INDEX.HTML?page=42" TargetMode="External"/><Relationship Id="rId56" Type="http://schemas.openxmlformats.org/officeDocument/2006/relationships/hyperlink" Target="https://ml-eu.globenewswire.com/Resource/Download/b4cf2ad0-9d6b-444a-b201-b295ea6f3062" TargetMode="External"/><Relationship Id="rId77" Type="http://schemas.openxmlformats.org/officeDocument/2006/relationships/hyperlink" Target="https://www.givaudan.com/sites/givaudanweb.int/files/download_links/GIV_Integrated_Annual_Report_2020.pdf" TargetMode="External"/><Relationship Id="rId100" Type="http://schemas.openxmlformats.org/officeDocument/2006/relationships/hyperlink" Target="https://www.synthomer.com/media/3jchkojy/synthomer_ar2020.pdf" TargetMode="External"/><Relationship Id="rId105" Type="http://schemas.openxmlformats.org/officeDocument/2006/relationships/hyperlink" Target="https://www.covestro.com/-/media/covestro/corporate/investors/financial-documents-and-presentations/presentations-and-documents/2018/covestro_gri_supplement_2018.pdf?rev=e04f5f6b6cd54771989a051a062920c5" TargetMode="External"/><Relationship Id="rId126" Type="http://schemas.openxmlformats.org/officeDocument/2006/relationships/hyperlink" Target="https://www.holcim.com/sites/holcim/files/documents/26022021-sustainability-lafargeholcim_sustainability-performance-report-2020-en_187627639.pdf" TargetMode="External"/><Relationship Id="rId147" Type="http://schemas.openxmlformats.org/officeDocument/2006/relationships/hyperlink" Target="https://www.heidelbergmaterials.com/sites/default/files/assets/document/c8/17/annual-report-heidelbergcement-2020.pdf" TargetMode="External"/><Relationship Id="rId168" Type="http://schemas.openxmlformats.org/officeDocument/2006/relationships/hyperlink" Target="https://www.southerncompany.com/content/dam/southerncompany/sustainability/pdfs/esg-data-table-excel.xlsx" TargetMode="External"/><Relationship Id="rId8" Type="http://schemas.openxmlformats.org/officeDocument/2006/relationships/hyperlink" Target="https://www.rwe.com/-/media/RWE/documents/09-verantwortung-nachhaltigkeit/cr-berichte/EN/rwe-non-financial-report-2021.pdf" TargetMode="External"/><Relationship Id="rId51" Type="http://schemas.openxmlformats.org/officeDocument/2006/relationships/hyperlink" Target="file:///./wwg00m.rootdom.net/DFS/HOME/winaenp/ICM/Downloads/Covestro_GRI_Supplementary_Report_2017.pdf" TargetMode="External"/><Relationship Id="rId72" Type="http://schemas.openxmlformats.org/officeDocument/2006/relationships/hyperlink" Target="https://www.zeon.co.jp/en/csr/report/pdf/200324902.pdf" TargetMode="External"/><Relationship Id="rId93" Type="http://schemas.openxmlformats.org/officeDocument/2006/relationships/hyperlink" Target="https://www.linde.com/-/media/linde/merger/documents/sustainable-development/2017_linde_corporate_responsibility_report.pdf?la=en" TargetMode="External"/><Relationship Id="rId98" Type="http://schemas.openxmlformats.org/officeDocument/2006/relationships/hyperlink" Target="https://www.nolato.com/-/media/Files/Publications/Sustainability-Report/nolato-sustainable-2017.pdf" TargetMode="External"/><Relationship Id="rId121" Type="http://schemas.openxmlformats.org/officeDocument/2006/relationships/hyperlink" Target="https://www.crh.com/media/3697/crh-2020-sustainability-report.pdf" TargetMode="External"/><Relationship Id="rId142" Type="http://schemas.openxmlformats.org/officeDocument/2006/relationships/hyperlink" Target="https://www.cemex.com/documents/20143/0/IntegratedReport2017.pdf/ca7c946f-a7ee-3d73-e574-c8f6e89cd698?t=1522958859151" TargetMode="External"/><Relationship Id="rId163" Type="http://schemas.openxmlformats.org/officeDocument/2006/relationships/hyperlink" Target="https://www.carpentertechnology.com/hubfs/2022_CRS_Sustainability_Report.pdf" TargetMode="External"/><Relationship Id="rId184" Type="http://schemas.openxmlformats.org/officeDocument/2006/relationships/hyperlink" Target="https://world.casio.com/content/dam/casio/global/corporate/en/csr/report/2022/SustainabilityReport2022_en_all.pdf" TargetMode="External"/><Relationship Id="rId189" Type="http://schemas.openxmlformats.org/officeDocument/2006/relationships/hyperlink" Target="https://www.enbw.com/media/bericht/bericht_2021/downloads_5/investor-relations/esg-figures.xlsx" TargetMode="External"/><Relationship Id="rId3" Type="http://schemas.openxmlformats.org/officeDocument/2006/relationships/hyperlink" Target="https://www.aes.com/sites/default/files/2021-02/AES-2019-Sustainability-Report.pdf" TargetMode="External"/><Relationship Id="rId25" Type="http://schemas.openxmlformats.org/officeDocument/2006/relationships/hyperlink" Target="https://cms-cleco.ae-admin.com/docs/default-source/investor-information/2022-eei-investor-deck_november-2022_final.pdf" TargetMode="External"/><Relationship Id="rId46" Type="http://schemas.openxmlformats.org/officeDocument/2006/relationships/hyperlink" Target="http://www.lghnh.com/file/21_LGHH_ESG_REPORT_SR_ENG_fin.pdf" TargetMode="External"/><Relationship Id="rId67" Type="http://schemas.openxmlformats.org/officeDocument/2006/relationships/hyperlink" Target="https://www.lgchem.com/upload/file/sustainability/LGChem_2021_Sustainability_Report_ENG.pdf" TargetMode="External"/><Relationship Id="rId116" Type="http://schemas.openxmlformats.org/officeDocument/2006/relationships/hyperlink" Target="https://csr.acc.com.tw/en/files/2021--Asia%20Cement%20Sustainability%20Report-cn.pdf" TargetMode="External"/><Relationship Id="rId137" Type="http://schemas.openxmlformats.org/officeDocument/2006/relationships/hyperlink" Target="https://www.acc.com.tw/download/Annual%20Report/2019/AsiaCement_2019_Annual_Report0.pdf" TargetMode="External"/><Relationship Id="rId158" Type="http://schemas.openxmlformats.org/officeDocument/2006/relationships/hyperlink" Target="https://s2.q4cdn.com/268623243/files/doc_downloads/2022/04/HEI_ESG_2022_R10.pdf" TargetMode="External"/><Relationship Id="rId20" Type="http://schemas.openxmlformats.org/officeDocument/2006/relationships/hyperlink" Target="https://www.alliantenergy.com/-/media/alliant/documents/cleanenergy/responsibility-report/esgperformancesummary.pdf" TargetMode="External"/><Relationship Id="rId41" Type="http://schemas.openxmlformats.org/officeDocument/2006/relationships/hyperlink" Target="https://www.loreal.com/-/media/project/loreal/brand-sites/corp/master/lcorp/documents-media/publications/commitments/2022/climate-report-2021.pdf?rev=3c59b400adab40988a28e3a4d02f2fd8&amp;hash=4B8B918BE1118106C823E8E0EEE33FD4" TargetMode="External"/><Relationship Id="rId62" Type="http://schemas.openxmlformats.org/officeDocument/2006/relationships/hyperlink" Target="https://www.symrise.com/newsroom/downloads/index.php/?eID=tx_securedownloads&amp;p=458&amp;u=0&amp;g=0&amp;t=1670937682&amp;hash=92bbb8d6aea3b870ef3efa45c04336a066b8341b&amp;file=fileadmin/symrise/Downloads_reports/sustainability/GRI_Balances/EN/SYM_Sustainability_Record_2019.pdf" TargetMode="External"/><Relationship Id="rId83" Type="http://schemas.openxmlformats.org/officeDocument/2006/relationships/hyperlink" Target="https://report.basf.com/2021/en/_assets/downloads/gby-business-year-basf-basf-ar21.pdf" TargetMode="External"/><Relationship Id="rId88" Type="http://schemas.openxmlformats.org/officeDocument/2006/relationships/hyperlink" Target="https://www.linde.com/-/media/linde/merger/documents/sustainable-development/2020/sustainable-development-report.pdf?la=en" TargetMode="External"/><Relationship Id="rId111" Type="http://schemas.openxmlformats.org/officeDocument/2006/relationships/hyperlink" Target="https://file.scgsustainability.com/wp-content/uploads/2022/03/07092610/SCG-Sustainability-Report-2021-Highlight.pdf" TargetMode="External"/><Relationship Id="rId132" Type="http://schemas.openxmlformats.org/officeDocument/2006/relationships/hyperlink" Target="https://www.acc.com.tw/download/Annual%20Report/2020/2020.pdf" TargetMode="External"/><Relationship Id="rId153" Type="http://schemas.openxmlformats.org/officeDocument/2006/relationships/hyperlink" Target="https://www.nationalgrid.com/document/146711/download" TargetMode="External"/><Relationship Id="rId174" Type="http://schemas.openxmlformats.org/officeDocument/2006/relationships/hyperlink" Target="https://www.astrazeneca.com/content/dam/az/Sustainability/2022/pdf/Sustainability_Data_Summary_2021.pdf" TargetMode="External"/><Relationship Id="rId179" Type="http://schemas.openxmlformats.org/officeDocument/2006/relationships/hyperlink" Target="https://www.azbil.com/ir/library/annual/__icsFiles/afieldfile/2020/10/07/report2020_e.pdf" TargetMode="External"/><Relationship Id="rId195" Type="http://schemas.openxmlformats.org/officeDocument/2006/relationships/hyperlink" Target="https://orsted.com/en/sustainability/sustainability-report" TargetMode="External"/><Relationship Id="rId190" Type="http://schemas.openxmlformats.org/officeDocument/2006/relationships/hyperlink" Target="https://www.engie.com/sites/default/files/assets/documents/2022-03/Integrated_Report_2022.pdf" TargetMode="External"/><Relationship Id="rId204" Type="http://schemas.microsoft.com/office/2017/10/relationships/threadedComment" Target="../threadedComments/threadedComment2.xml"/><Relationship Id="rId15" Type="http://schemas.openxmlformats.org/officeDocument/2006/relationships/hyperlink" Target="https://www.eni.com/assets/documents/eng/just-transition/2021/eni-for-2021-carbon-neutrality-2050-eng.pdf" TargetMode="External"/><Relationship Id="rId36" Type="http://schemas.openxmlformats.org/officeDocument/2006/relationships/hyperlink" Target="https://www.worthingtonindustries.com/docs/default-source/default-document-library/worthington-sustainability-report-2022-final-oct6.pdf" TargetMode="External"/><Relationship Id="rId57" Type="http://schemas.openxmlformats.org/officeDocument/2006/relationships/hyperlink" Target="http://hugin.info/155892/R/2239112/882492.pdf" TargetMode="External"/><Relationship Id="rId106" Type="http://schemas.openxmlformats.org/officeDocument/2006/relationships/hyperlink" Target="https://www.covestro.com/-/media/covestro/corporate/investors/financial-documents-and-presentations/presentations-and-documents/2019/covestro_mgmt_report_incl_sustainability_information_2019_en.pdf?rev=505bd5187aa147f9aa442a1dd1982e98" TargetMode="External"/><Relationship Id="rId127" Type="http://schemas.openxmlformats.org/officeDocument/2006/relationships/hyperlink" Target="https://www.holcim.com/sites/holcim/files/documents/02272020-sustainability-lafargeholcim_fy_2019_data_report-en-update2.pdf" TargetMode="External"/><Relationship Id="rId10" Type="http://schemas.openxmlformats.org/officeDocument/2006/relationships/hyperlink" Target="https://totalenergies.com/sites/g/files/nytnzq121/files/documents/2022-05/Sustainability_Climate_2022_Progress_Report_accessible_version_EN.pdf" TargetMode="External"/><Relationship Id="rId31" Type="http://schemas.openxmlformats.org/officeDocument/2006/relationships/hyperlink" Target="https://aepsustainability.com/performance/report/docs/2022_AEP-Sustainability-Report.pdf" TargetMode="External"/><Relationship Id="rId52" Type="http://schemas.openxmlformats.org/officeDocument/2006/relationships/hyperlink" Target="file:///./wwg00m.rootdom.net/DFS/HOME/winaenp/ICM/Downloads/Covestro_GRI_Supplementary_Report_2017.pdf" TargetMode="External"/><Relationship Id="rId73" Type="http://schemas.openxmlformats.org/officeDocument/2006/relationships/hyperlink" Target="https://annualreport.dsm.com/ar2020/_assets/downloads/entire-dsm-ar20.pdf" TargetMode="External"/><Relationship Id="rId78" Type="http://schemas.openxmlformats.org/officeDocument/2006/relationships/hyperlink" Target="https://www.givaudan.com/sites/givaudanweb.int/files/download_files/GIV_2019_SustainabilityGRIIndex.pdf" TargetMode="External"/><Relationship Id="rId94" Type="http://schemas.openxmlformats.org/officeDocument/2006/relationships/hyperlink" Target="https://www.nolato.com/-/media/Files/Publications/Sustainability-Report/nolato-sustainability-report-2020.pdf" TargetMode="External"/><Relationship Id="rId99" Type="http://schemas.openxmlformats.org/officeDocument/2006/relationships/hyperlink" Target="https://www.shinetsu.co.jp/en/sustainability/assets/pdf/sustainability/esg_bn/Sustainability2022E.pdf" TargetMode="External"/><Relationship Id="rId101" Type="http://schemas.openxmlformats.org/officeDocument/2006/relationships/hyperlink" Target="https://www.synthomer.com/media/vcagspiw/synthomer_annual_report_2019.pdf" TargetMode="External"/><Relationship Id="rId122" Type="http://schemas.openxmlformats.org/officeDocument/2006/relationships/hyperlink" Target="https://tools.eurolandir.com/tools/IA/Export/File/?companycode=uk-mmat&amp;lang=en-GB&amp;v=sustainability&amp;t0=0&amp;t=0&amp;t2=0&amp;series=1|1|1|1|1|1&amp;periods=1|1|1&amp;version=3-5&amp;type=pdf" TargetMode="External"/><Relationship Id="rId143" Type="http://schemas.openxmlformats.org/officeDocument/2006/relationships/hyperlink" Target="https://www.cemex.com/documents/20143/49694544/IntegratedReport2019.pdf/4e1b2519-b75f-e61a-7cce-2a2f2f6f09dc?t=1585254686612?download=true" TargetMode="External"/><Relationship Id="rId148" Type="http://schemas.openxmlformats.org/officeDocument/2006/relationships/hyperlink" Target="https://cdn.ytlcement.com/ytl-media/ytl-media/assets/Malayan_Cement_Berhad_SR_2022_5a4ffc31c1.pdf" TargetMode="External"/><Relationship Id="rId164" Type="http://schemas.openxmlformats.org/officeDocument/2006/relationships/hyperlink" Target="https://www.fortisinc.com/docs/default-source/environment-reports/2022-sustainability-report.pdf?sfvrsn=f2b07598_6" TargetMode="External"/><Relationship Id="rId169" Type="http://schemas.openxmlformats.org/officeDocument/2006/relationships/hyperlink" Target="https://stld.steeldynamics.com/wp-content/uploads/2023/02/LAB-22004-SDI-2022-Sustainability-web-spreads.pdf" TargetMode="External"/><Relationship Id="rId185" Type="http://schemas.openxmlformats.org/officeDocument/2006/relationships/hyperlink" Target="https://www.synthomer.com/media/5y4nr2gc/synthomer_2018_ar.pdf" TargetMode="External"/><Relationship Id="rId4" Type="http://schemas.openxmlformats.org/officeDocument/2006/relationships/hyperlink" Target="https://www.aes.com/sites/default/files/2021-02/2018-Sustainability-Report.pdf" TargetMode="External"/><Relationship Id="rId9" Type="http://schemas.openxmlformats.org/officeDocument/2006/relationships/hyperlink" Target="https://www.rwe.com/-/media/RWE/documents/09-verantwortung-nachhaltigkeit/cr-berichte/EN/cr-report-2020.pdf" TargetMode="External"/><Relationship Id="rId180" Type="http://schemas.openxmlformats.org/officeDocument/2006/relationships/hyperlink" Target="https://www.azbil.com/ir/library/annual/__icsFiles/afieldfile/2019/09/19/report2019_e.pdf" TargetMode="External"/><Relationship Id="rId26" Type="http://schemas.openxmlformats.org/officeDocument/2006/relationships/hyperlink" Target="https://investor.conedison.com/static-files/20ccb3a6-7a84-4f12-aaaf-5b01a287327b" TargetMode="External"/><Relationship Id="rId47" Type="http://schemas.openxmlformats.org/officeDocument/2006/relationships/hyperlink" Target="http://www.lghnh.com/file/2020_LG_H&amp;H_CSR_en_low.pdf" TargetMode="External"/><Relationship Id="rId68" Type="http://schemas.openxmlformats.org/officeDocument/2006/relationships/hyperlink" Target="https://corp.shiseido.com/sustainabilityreport/en/2021/data/environment" TargetMode="External"/><Relationship Id="rId89" Type="http://schemas.openxmlformats.org/officeDocument/2006/relationships/hyperlink" Target="https://www.linde.com/-/media/linde/merger/documents/sustainable-development/2019-sustainable-development-report.pdf?la=en" TargetMode="External"/><Relationship Id="rId112" Type="http://schemas.openxmlformats.org/officeDocument/2006/relationships/hyperlink" Target="https://file.scgsustainability.com/wp-content/uploads/2021/12/01134833/SD2020.pdf" TargetMode="External"/><Relationship Id="rId133" Type="http://schemas.openxmlformats.org/officeDocument/2006/relationships/hyperlink" Target="https://www.acc.com.tw/download/Annual%20Report/2019/AsiaCement_2019_Annual_Report0.pdf" TargetMode="External"/><Relationship Id="rId154" Type="http://schemas.openxmlformats.org/officeDocument/2006/relationships/hyperlink" Target="https://loreal-finance.publispeak.com/2021-universal-registration-document/article/220/" TargetMode="External"/><Relationship Id="rId175" Type="http://schemas.openxmlformats.org/officeDocument/2006/relationships/hyperlink" Target="https://www.astrazeneca.com/content/dam/az/Sustainability/2021/pdf/Sustainability_Data_Summary_2020.pdf" TargetMode="External"/><Relationship Id="rId196" Type="http://schemas.openxmlformats.org/officeDocument/2006/relationships/hyperlink" Target="https://www.verbund.com/-/media/verbund/ueber-verbund/investor-relations/finanzpublikationen/en/2022/verbund-integrated-annual-report-2021-englisch-final.ashx" TargetMode="External"/><Relationship Id="rId200" Type="http://schemas.openxmlformats.org/officeDocument/2006/relationships/hyperlink" Target="https://orstedcdn.azureedge.net/-/media/annual2021/orsted-esg-performance-report-2021.ashx?rev=c025b5bb5f304fdbaaef0f94c70a60a8" TargetMode="External"/><Relationship Id="rId16" Type="http://schemas.openxmlformats.org/officeDocument/2006/relationships/hyperlink" Target="https://www.oxy.com/globalassets/documents/publications/oxy-climate-report-2021.pdf" TargetMode="External"/><Relationship Id="rId37" Type="http://schemas.openxmlformats.org/officeDocument/2006/relationships/hyperlink" Target="https://fecorporateresponsibility.com/content/dam/fecorporateresponsibility/files/reports-resources/eei/EEI2022.pdf" TargetMode="External"/><Relationship Id="rId58" Type="http://schemas.openxmlformats.org/officeDocument/2006/relationships/hyperlink" Target="http://hugin.info/155892/R/2178036/840448.pdf" TargetMode="External"/><Relationship Id="rId79" Type="http://schemas.openxmlformats.org/officeDocument/2006/relationships/hyperlink" Target="https://www.givaudan.com/sites/givaudanweb.int/files/GIV_2018_SustainabilityProgressReview.pdf" TargetMode="External"/><Relationship Id="rId102" Type="http://schemas.openxmlformats.org/officeDocument/2006/relationships/hyperlink" Target="https://www.synthomer.com/media/evfk2t4h/synthomer_plc_annual_report_2017.pdf" TargetMode="External"/><Relationship Id="rId123" Type="http://schemas.openxmlformats.org/officeDocument/2006/relationships/hyperlink" Target="https://www.breedongroup.com/content/dam/breedon/corporate/documents/investors/results-reports-presentations/annual-reports/ANNUAL%20REPORT%202021.pdf.downloadasset.pdf" TargetMode="External"/><Relationship Id="rId144" Type="http://schemas.openxmlformats.org/officeDocument/2006/relationships/hyperlink" Target="https://www.cemex.com/documents/20143/52528892/IntegratedReport2020.pdf/d7d4abda-2ddd-0809-8902-b09af5114bba?t=1616705081446" TargetMode="External"/><Relationship Id="rId90" Type="http://schemas.openxmlformats.org/officeDocument/2006/relationships/hyperlink" Target="https://www.linde.com/-/media/linde/merger/documents/sustainable-development/2018-sustainable-development-report.pdf?la=en" TargetMode="External"/><Relationship Id="rId165" Type="http://schemas.openxmlformats.org/officeDocument/2006/relationships/hyperlink" Target="https://issuu.com/northwesternenergy/docs/esg_report_2022_final_pages" TargetMode="External"/><Relationship Id="rId186" Type="http://schemas.openxmlformats.org/officeDocument/2006/relationships/hyperlink" Target="https://www.tcenergy.com/siteassets/pdfs/sustainability/sustainability-report/2022/tce-2022-esg-data-sheet.pdf" TargetMode="External"/><Relationship Id="rId27" Type="http://schemas.openxmlformats.org/officeDocument/2006/relationships/hyperlink" Target="https://investor.conedison.com/static-files/04a92512-a720-4044-bdcc-3410e56bdb59" TargetMode="External"/><Relationship Id="rId48" Type="http://schemas.openxmlformats.org/officeDocument/2006/relationships/hyperlink" Target="http://www.lghnh.com/file/2019_LG_H&amp;H_CSR_en_low.pdf" TargetMode="External"/><Relationship Id="rId69" Type="http://schemas.openxmlformats.org/officeDocument/2006/relationships/hyperlink" Target="https://corp.shiseido.com/en/sustainability/pdf/2020.pdf" TargetMode="External"/><Relationship Id="rId113" Type="http://schemas.openxmlformats.org/officeDocument/2006/relationships/hyperlink" Target="https://s1.q4cdn.com/947759825/files/doc_downloads/2022/04/Summit-ESG-Report-2021-Compressed.pdf" TargetMode="External"/><Relationship Id="rId134" Type="http://schemas.openxmlformats.org/officeDocument/2006/relationships/hyperlink" Target="https://www.acc.com.tw/download/Annual%20Report/2018/ae%20ae%202018e%20ae%20c%20a%20a%20e%20a.pdf" TargetMode="External"/><Relationship Id="rId80" Type="http://schemas.openxmlformats.org/officeDocument/2006/relationships/hyperlink" Target="https://www.givaudan.com/sites/givaudanweb.int/files/download_files/GIV_2017_SustainabilityReport.pdf" TargetMode="External"/><Relationship Id="rId155" Type="http://schemas.openxmlformats.org/officeDocument/2006/relationships/hyperlink" Target="https://www.constellationenergy.com/content/dam/constellationenergy/pdfs/Constellation-2022-Sustainability-Report.pdf" TargetMode="External"/><Relationship Id="rId176" Type="http://schemas.openxmlformats.org/officeDocument/2006/relationships/hyperlink" Target="https://www.astrazeneca.com/content/dam/az/Sustainability/2021/pdf/Sustainability_Data_Summary_2020.pdf" TargetMode="External"/><Relationship Id="rId197" Type="http://schemas.openxmlformats.org/officeDocument/2006/relationships/hyperlink" Target="https://www.verbund.com/-/media/verbund/ueber-verbund/investor-relations/finanzpublikationen/en/2023/verbund-integrated-annual-report-2022-englisch-final.ashx" TargetMode="External"/><Relationship Id="rId201" Type="http://schemas.openxmlformats.org/officeDocument/2006/relationships/hyperlink" Target="https://d1io3yog0oux5.cloudfront.net/clevelandcliffs/files/pages/clevelandcliffs/db/1149/description/CLF_SustainabilityReport_2023_04032023.pdf" TargetMode="External"/><Relationship Id="rId17" Type="http://schemas.openxmlformats.org/officeDocument/2006/relationships/hyperlink" Target="https://www.oxy.com/globalassets/documents/publications/oxy-climate-report-2021.pdf" TargetMode="External"/><Relationship Id="rId38" Type="http://schemas.openxmlformats.org/officeDocument/2006/relationships/hyperlink" Target="https://pplweb.wpenginepowered.com/wp-content/uploads/2022/07/PPL-Corporation-2021-Sustainability-Report.pdf" TargetMode="External"/><Relationship Id="rId59" Type="http://schemas.openxmlformats.org/officeDocument/2006/relationships/hyperlink" Target="https://www.symrise.com/newsroom/downloads/index.php/?eID=tx_securedownloads&amp;p=458&amp;u=0&amp;g=0&amp;t=1670676125&amp;hash=1f12a1d50d6759b8e5ac69bd727659cc783846fb&amp;file=fileadmin/symrise/Downloads_reports/reports/documents/2022/220301_Symrise_Corporate_Report_2021.pdf" TargetMode="External"/><Relationship Id="rId103" Type="http://schemas.openxmlformats.org/officeDocument/2006/relationships/hyperlink" Target="https://www.lghnh.com:984/file/2018_LG_H&amp;H_CSR_Report_en_spread.pdf" TargetMode="External"/><Relationship Id="rId124" Type="http://schemas.openxmlformats.org/officeDocument/2006/relationships/hyperlink" Target="https://www.breedongroup.com/content/dam/breedon/corporate/documents/investors/results-reports-presentations/annual-reports/ANNUAL%20REPORT%202020.pdf.downloadasset.pdf" TargetMode="External"/><Relationship Id="rId70" Type="http://schemas.openxmlformats.org/officeDocument/2006/relationships/hyperlink" Target="https://corp.shiseido.com/en/sustainability/pdf/2019.pdf" TargetMode="External"/><Relationship Id="rId91" Type="http://schemas.openxmlformats.org/officeDocument/2006/relationships/hyperlink" Target="https://www.linde.com/-/media/linde/merger/documents/sustainable-development/2018-sustainable-development-report.pdf?la=en" TargetMode="External"/><Relationship Id="rId145" Type="http://schemas.openxmlformats.org/officeDocument/2006/relationships/hyperlink" Target="https://www.cemex.com/documents/20143/57102208/IntegratedReport2021.pdf/ca7f90b7-d742-314c-de70-7de4bf8f5431?t=1648173083550" TargetMode="External"/><Relationship Id="rId166" Type="http://schemas.openxmlformats.org/officeDocument/2006/relationships/hyperlink" Target="https://www.pnmresources.com/~/media/Files/P/PNM-Resources/PNM%20EEI%20ESG%20Report%202021.xlsx" TargetMode="External"/><Relationship Id="rId187" Type="http://schemas.openxmlformats.org/officeDocument/2006/relationships/hyperlink" Target="https://www.airliquide.com/sites/airliquide.com/files/2023-03/air-liquide-sustainability-report-2022.pdf" TargetMode="External"/><Relationship Id="rId1" Type="http://schemas.openxmlformats.org/officeDocument/2006/relationships/hyperlink" Target="https://www.aes.com/sites/default/files/2021-09/2020%20Performance%20Indicators.pdf" TargetMode="External"/><Relationship Id="rId28" Type="http://schemas.openxmlformats.org/officeDocument/2006/relationships/hyperlink" Target="https://dteempowermi.wpenginepowered.com/wp-content/uploads/2021SustainabilityReport.pdf" TargetMode="External"/><Relationship Id="rId49" Type="http://schemas.openxmlformats.org/officeDocument/2006/relationships/hyperlink" Target="file:///./wwg00m.rootdom.net/DFS/HOME/winaenp/ICM/Downloads/Covestro_mgmt_report_incl_sustainability_information_2019_EN.pdf" TargetMode="External"/><Relationship Id="rId114" Type="http://schemas.openxmlformats.org/officeDocument/2006/relationships/hyperlink" Target="https://d18rn0p25nwr6d.cloudfront.net/CIK-0001621563/e015ca9d-7a49-48bf-8279-75ee532ab608.pdf" TargetMode="External"/><Relationship Id="rId60" Type="http://schemas.openxmlformats.org/officeDocument/2006/relationships/hyperlink" Target="https://www.symrise.com/newsroom/downloads/index.php/?eID=tx_securedownloads&amp;p=458&amp;u=0&amp;g=0&amp;t=1670676125&amp;hash=8d2e93483c44891f9cbf0739902653a6ca718bf1&amp;file=fileadmin/symrise/Downloads_reports/sustainability/GRI_Balances/EN/SYM_Sustainability_Record_2021.pdf" TargetMode="External"/><Relationship Id="rId81" Type="http://schemas.openxmlformats.org/officeDocument/2006/relationships/hyperlink" Target="https://report.basf.com/2020/en/servicepages/downloads/files/basf-report-2020-basf-ar20.pdf" TargetMode="External"/><Relationship Id="rId135" Type="http://schemas.openxmlformats.org/officeDocument/2006/relationships/hyperlink" Target="https://csr.acc.com.tw/en/files/2018--Asia%20Cement%20CSR%20report--for%20print.pdf" TargetMode="External"/><Relationship Id="rId156" Type="http://schemas.openxmlformats.org/officeDocument/2006/relationships/hyperlink" Target="https://s24.q4cdn.com/970999156/files/doc_downloads/2022/12/2021SustainabilityReport.pdf" TargetMode="External"/><Relationship Id="rId177" Type="http://schemas.openxmlformats.org/officeDocument/2006/relationships/hyperlink" Target="https://www.azbil.com/ir/library/annual/__icsFiles/afieldfile/2022/10/20/report2022_e_A3.pdf" TargetMode="External"/><Relationship Id="rId198" Type="http://schemas.openxmlformats.org/officeDocument/2006/relationships/hyperlink" Target="https://www.enel.com/content/dam/enel-com/documenti/investitori/sostenibilita/2021/sustainability-report_2021.pdf" TargetMode="External"/><Relationship Id="rId202" Type="http://schemas.openxmlformats.org/officeDocument/2006/relationships/vmlDrawing" Target="../drawings/vmlDrawing2.vml"/><Relationship Id="rId18" Type="http://schemas.openxmlformats.org/officeDocument/2006/relationships/hyperlink" Target="https://www.oxy.com/globalassets/documents/publications/oxy-climate-report-2021.pdf" TargetMode="External"/><Relationship Id="rId39" Type="http://schemas.openxmlformats.org/officeDocument/2006/relationships/hyperlink" Target="https://www.airliquide.com/sites/airliquide.com/files/2022-04/2021-sustainability-report.pdf" TargetMode="External"/><Relationship Id="rId50" Type="http://schemas.openxmlformats.org/officeDocument/2006/relationships/hyperlink" Target="file:///./wwg00m.rootdom.net/DFS/HOME/winaenp/ICM/Downloads/Covestro_GRI_Supplement_2018.pdf" TargetMode="External"/><Relationship Id="rId104" Type="http://schemas.openxmlformats.org/officeDocument/2006/relationships/hyperlink" Target="https://www.lghnh.com:984/file/2017_LG_H&amp;H_CSR_Report_en_spread.pdf" TargetMode="External"/><Relationship Id="rId125" Type="http://schemas.openxmlformats.org/officeDocument/2006/relationships/hyperlink" Target="https://www.breedongroup.com/content/dam/breedon/corporate/documents/investors/results-reports-presentations/annual-reports/ANNUAL%20REPORT%202019.pdf.downloadasset.pdf" TargetMode="External"/><Relationship Id="rId146" Type="http://schemas.openxmlformats.org/officeDocument/2006/relationships/hyperlink" Target="https://www.heidelbergmaterials.com/sites/default/files/2022-03/annual-report-heidelbergcement-2021_1.pdf" TargetMode="External"/><Relationship Id="rId167" Type="http://schemas.openxmlformats.org/officeDocument/2006/relationships/hyperlink" Target="https://s27.q4cdn.com/273397814/files/doc_presentations/2022/11/SO-Shareholder-Update-Fall-2022.pdf" TargetMode="External"/><Relationship Id="rId188" Type="http://schemas.openxmlformats.org/officeDocument/2006/relationships/hyperlink" Target="https://www.kepco.co.jp/english/corporate/list/esg/pdf/esg2022_e_05.pdf" TargetMode="External"/><Relationship Id="rId71" Type="http://schemas.openxmlformats.org/officeDocument/2006/relationships/hyperlink" Target="https://www.zeon.co.jp/en/csr/report/pdf/200324916.pdf" TargetMode="External"/><Relationship Id="rId92" Type="http://schemas.openxmlformats.org/officeDocument/2006/relationships/hyperlink" Target="https://www.linde.com/-/media/linde/merger/documents/sustainable-development/cdp-response-2020-climate-change.pdf?la=e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carpentertechnology.com/hubfs/2022_CRS_Sustainability_Report.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orsted.com/en/sustainability/sustainability-report" TargetMode="External"/><Relationship Id="rId3" Type="http://schemas.openxmlformats.org/officeDocument/2006/relationships/hyperlink" Target="https://www.eni.com/assets/documents/eng/just-transition/2021/eni-for-2021-carbon-neutrality-2050-eng.pdf" TargetMode="External"/><Relationship Id="rId7" Type="http://schemas.openxmlformats.org/officeDocument/2006/relationships/hyperlink" Target="https://orsted.com/en/sustainability/sustainability-report" TargetMode="External"/><Relationship Id="rId2" Type="http://schemas.openxmlformats.org/officeDocument/2006/relationships/hyperlink" Target="https://www.eni.com/assets/documents/eng/just-transition/2021/eni-for-2021-carbon-neutrality-2050-eng.pdf" TargetMode="External"/><Relationship Id="rId1" Type="http://schemas.openxmlformats.org/officeDocument/2006/relationships/hyperlink" Target="https://www.eni.com/assets/documents/eng/just-transition/2021/eni-for-2021-carbon-neutrality-2050-eng.pdf" TargetMode="External"/><Relationship Id="rId6" Type="http://schemas.openxmlformats.org/officeDocument/2006/relationships/hyperlink" Target="https://orsted.com/en/sustainability/sustainability-report" TargetMode="External"/><Relationship Id="rId11" Type="http://schemas.microsoft.com/office/2017/10/relationships/threadedComment" Target="../threadedComments/threadedComment3.xml"/><Relationship Id="rId5" Type="http://schemas.openxmlformats.org/officeDocument/2006/relationships/hyperlink" Target="https://orsted.com/en/sustainability/sustainability-report" TargetMode="External"/><Relationship Id="rId10" Type="http://schemas.openxmlformats.org/officeDocument/2006/relationships/comments" Target="../comments3.xml"/><Relationship Id="rId4" Type="http://schemas.openxmlformats.org/officeDocument/2006/relationships/hyperlink" Target="https://www.eni.com/assets/documents/eng/just-transition/2021/eni-for-2021-carbon-neutrality-2050-eng.pdf" TargetMode="External"/><Relationship Id="rId9"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election activeCell="A9" sqref="A9"/>
    </sheetView>
  </sheetViews>
  <sheetFormatPr baseColWidth="10" defaultColWidth="8.6640625" defaultRowHeight="15"/>
  <sheetData/>
  <pageMargins left="0.7" right="0.7" top="0.75" bottom="0.75" header="0.3" footer="0.511811023622047"/>
  <pageSetup paperSize="9" orientation="portrait" horizontalDpi="300" verticalDpi="300"/>
  <headerFooter>
    <oddHeader>&amp;C&amp;1 Confidential#</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30"/>
  <sheetViews>
    <sheetView zoomScale="150" zoomScaleNormal="150" workbookViewId="0">
      <pane xSplit="1" ySplit="1" topLeftCell="B2" activePane="bottomRight" state="frozen"/>
      <selection pane="topRight" activeCell="B1" sqref="B1"/>
      <selection pane="bottomLeft" activeCell="A2" sqref="A2"/>
      <selection pane="bottomRight" activeCell="C15" sqref="C15"/>
    </sheetView>
  </sheetViews>
  <sheetFormatPr baseColWidth="10" defaultColWidth="8.83203125" defaultRowHeight="15"/>
  <cols>
    <col min="1" max="1" width="38" customWidth="1"/>
    <col min="2" max="2" width="24" customWidth="1"/>
    <col min="3" max="3" width="16" customWidth="1"/>
    <col min="4" max="4" width="9" customWidth="1"/>
    <col min="5" max="5" width="15" customWidth="1"/>
    <col min="6" max="6" width="24" customWidth="1"/>
    <col min="7" max="9" width="10" customWidth="1"/>
    <col min="10" max="10" width="9" customWidth="1"/>
    <col min="11" max="11" width="13" customWidth="1"/>
    <col min="12" max="14" width="19" customWidth="1"/>
    <col min="15" max="15" width="20" customWidth="1"/>
    <col min="16" max="16" width="19" customWidth="1"/>
    <col min="18" max="19" width="17.33203125" bestFit="1" customWidth="1"/>
    <col min="20" max="20" width="12.1640625" bestFit="1" customWidth="1"/>
    <col min="21" max="21" width="9" bestFit="1" customWidth="1"/>
  </cols>
  <sheetData>
    <row r="1" spans="1:21">
      <c r="A1" s="60" t="s">
        <v>0</v>
      </c>
      <c r="B1" s="60" t="s">
        <v>1</v>
      </c>
      <c r="C1" s="60" t="s">
        <v>2</v>
      </c>
      <c r="D1" s="61" t="s">
        <v>3</v>
      </c>
      <c r="E1" s="62" t="s">
        <v>4</v>
      </c>
      <c r="F1" s="61" t="s">
        <v>5</v>
      </c>
      <c r="G1" s="61" t="s">
        <v>6</v>
      </c>
      <c r="H1" s="61" t="s">
        <v>7</v>
      </c>
      <c r="I1" s="61" t="s">
        <v>407</v>
      </c>
      <c r="J1" s="61" t="s">
        <v>408</v>
      </c>
      <c r="K1" s="63" t="s">
        <v>8</v>
      </c>
      <c r="L1" s="61" t="s">
        <v>9</v>
      </c>
      <c r="M1" s="61" t="s">
        <v>10</v>
      </c>
      <c r="N1" s="61" t="s">
        <v>11</v>
      </c>
      <c r="O1" s="61" t="s">
        <v>12</v>
      </c>
      <c r="P1" s="61" t="s">
        <v>13</v>
      </c>
      <c r="R1" s="61" t="s">
        <v>850</v>
      </c>
      <c r="S1" s="61" t="s">
        <v>851</v>
      </c>
      <c r="T1" s="61" t="s">
        <v>852</v>
      </c>
      <c r="U1" s="61" t="s">
        <v>853</v>
      </c>
    </row>
    <row r="2" spans="1:21">
      <c r="A2" s="60" t="s">
        <v>49</v>
      </c>
      <c r="B2" s="60" t="s">
        <v>50</v>
      </c>
      <c r="C2" s="60" t="s">
        <v>51</v>
      </c>
      <c r="D2" t="s">
        <v>52</v>
      </c>
      <c r="E2" s="64"/>
      <c r="F2" t="s">
        <v>53</v>
      </c>
      <c r="G2" t="s">
        <v>54</v>
      </c>
      <c r="H2" t="s">
        <v>55</v>
      </c>
      <c r="I2" t="s">
        <v>858</v>
      </c>
      <c r="J2">
        <v>0.94</v>
      </c>
      <c r="K2" s="65">
        <v>44196</v>
      </c>
      <c r="L2">
        <v>9420000000</v>
      </c>
      <c r="M2">
        <v>10189000000</v>
      </c>
      <c r="N2">
        <v>8652000000</v>
      </c>
      <c r="O2">
        <v>9681000000</v>
      </c>
      <c r="P2">
        <v>33648000000</v>
      </c>
    </row>
    <row r="3" spans="1:21">
      <c r="A3" s="60" t="s">
        <v>58</v>
      </c>
      <c r="B3" s="60" t="s">
        <v>59</v>
      </c>
      <c r="C3" s="60" t="s">
        <v>60</v>
      </c>
      <c r="D3" t="s">
        <v>52</v>
      </c>
      <c r="E3" s="64" t="s">
        <v>61</v>
      </c>
      <c r="F3" t="s">
        <v>53</v>
      </c>
      <c r="G3" t="s">
        <v>54</v>
      </c>
      <c r="H3" t="s">
        <v>55</v>
      </c>
      <c r="I3" t="s">
        <v>858</v>
      </c>
      <c r="J3">
        <v>0.94</v>
      </c>
      <c r="K3" s="65">
        <v>43830</v>
      </c>
      <c r="L3">
        <v>4285299935</v>
      </c>
      <c r="M3">
        <v>1240500000</v>
      </c>
      <c r="N3">
        <v>5829799935</v>
      </c>
      <c r="O3">
        <v>5899099935</v>
      </c>
      <c r="P3">
        <v>5482800000</v>
      </c>
    </row>
    <row r="4" spans="1:21">
      <c r="A4" s="60" t="s">
        <v>63</v>
      </c>
      <c r="B4" s="60" t="s">
        <v>64</v>
      </c>
      <c r="C4" s="60" t="s">
        <v>65</v>
      </c>
      <c r="D4" t="s">
        <v>52</v>
      </c>
      <c r="E4" s="64" t="s">
        <v>61</v>
      </c>
      <c r="F4" t="s">
        <v>53</v>
      </c>
      <c r="G4" t="s">
        <v>54</v>
      </c>
      <c r="H4" t="s">
        <v>55</v>
      </c>
      <c r="I4" t="s">
        <v>858</v>
      </c>
      <c r="J4">
        <v>0.94</v>
      </c>
      <c r="K4" s="65">
        <v>43830</v>
      </c>
      <c r="L4">
        <v>11600000000</v>
      </c>
      <c r="M4">
        <v>3647700000</v>
      </c>
      <c r="N4">
        <v>18503600000</v>
      </c>
      <c r="O4">
        <v>18519900000</v>
      </c>
      <c r="P4">
        <v>16700700000</v>
      </c>
    </row>
    <row r="5" spans="1:21">
      <c r="A5" s="60" t="s">
        <v>66</v>
      </c>
      <c r="B5" s="60" t="s">
        <v>67</v>
      </c>
      <c r="C5" s="60" t="s">
        <v>68</v>
      </c>
      <c r="D5" t="s">
        <v>52</v>
      </c>
      <c r="E5" s="64" t="s">
        <v>61</v>
      </c>
      <c r="F5" t="s">
        <v>75</v>
      </c>
      <c r="G5" t="s">
        <v>54</v>
      </c>
      <c r="H5" t="s">
        <v>55</v>
      </c>
      <c r="I5" t="s">
        <v>858</v>
      </c>
      <c r="J5">
        <v>0.94</v>
      </c>
      <c r="K5" s="65">
        <v>43830</v>
      </c>
      <c r="L5">
        <v>18378774986</v>
      </c>
      <c r="M5">
        <v>5910000000</v>
      </c>
      <c r="N5">
        <v>27804774986</v>
      </c>
      <c r="O5">
        <v>27820774986</v>
      </c>
      <c r="P5">
        <v>28933000000</v>
      </c>
    </row>
    <row r="6" spans="1:21">
      <c r="A6" s="60" t="s">
        <v>69</v>
      </c>
      <c r="B6" s="60" t="s">
        <v>70</v>
      </c>
      <c r="C6" s="60" t="s">
        <v>71</v>
      </c>
      <c r="D6" t="s">
        <v>52</v>
      </c>
      <c r="E6" s="64" t="s">
        <v>61</v>
      </c>
      <c r="F6" t="s">
        <v>53</v>
      </c>
      <c r="G6" t="s">
        <v>54</v>
      </c>
      <c r="H6" t="s">
        <v>55</v>
      </c>
      <c r="I6" t="s">
        <v>858</v>
      </c>
      <c r="J6">
        <v>0.94</v>
      </c>
      <c r="K6" s="65">
        <v>43830</v>
      </c>
      <c r="L6">
        <v>43491855142</v>
      </c>
      <c r="M6">
        <v>15561400000</v>
      </c>
      <c r="N6">
        <v>73417055142</v>
      </c>
      <c r="O6">
        <v>73663855142</v>
      </c>
      <c r="P6">
        <v>75892300000</v>
      </c>
    </row>
    <row r="7" spans="1:21">
      <c r="A7" s="60" t="s">
        <v>72</v>
      </c>
      <c r="B7" s="60" t="s">
        <v>73</v>
      </c>
      <c r="C7" s="60" t="s">
        <v>74</v>
      </c>
      <c r="D7" t="s">
        <v>52</v>
      </c>
      <c r="E7" s="64"/>
      <c r="F7" t="s">
        <v>53</v>
      </c>
      <c r="G7" t="s">
        <v>54</v>
      </c>
      <c r="H7" t="s">
        <v>55</v>
      </c>
      <c r="I7" t="s">
        <v>858</v>
      </c>
      <c r="J7">
        <v>0.94</v>
      </c>
      <c r="K7" s="65">
        <v>44561</v>
      </c>
      <c r="L7" s="45">
        <v>19310000000</v>
      </c>
      <c r="M7" s="45">
        <v>6974000000</v>
      </c>
      <c r="N7" s="45">
        <v>25930000000</v>
      </c>
      <c r="O7" s="45">
        <v>26341000000</v>
      </c>
      <c r="P7" s="45">
        <v>39504000000</v>
      </c>
    </row>
    <row r="8" spans="1:21">
      <c r="A8" s="60" t="s">
        <v>1206</v>
      </c>
      <c r="B8" s="60" t="s">
        <v>73</v>
      </c>
      <c r="C8" s="60" t="s">
        <v>1207</v>
      </c>
      <c r="D8" t="s">
        <v>52</v>
      </c>
      <c r="E8" s="64"/>
      <c r="F8" t="s">
        <v>1081</v>
      </c>
      <c r="G8" t="s">
        <v>54</v>
      </c>
      <c r="H8" t="s">
        <v>55</v>
      </c>
      <c r="I8" t="s">
        <v>858</v>
      </c>
      <c r="J8">
        <v>0.94</v>
      </c>
      <c r="K8" s="65">
        <v>44561</v>
      </c>
      <c r="L8" s="45">
        <v>19310000000</v>
      </c>
      <c r="M8" s="45">
        <v>6974000000</v>
      </c>
      <c r="N8" s="45">
        <v>25930000000</v>
      </c>
      <c r="O8" s="45">
        <v>26341000000</v>
      </c>
      <c r="P8" s="45">
        <v>39504000000</v>
      </c>
    </row>
    <row r="9" spans="1:21">
      <c r="A9" s="60" t="s">
        <v>76</v>
      </c>
      <c r="B9" s="60" t="s">
        <v>77</v>
      </c>
      <c r="C9" s="60" t="s">
        <v>78</v>
      </c>
      <c r="D9" t="s">
        <v>52</v>
      </c>
      <c r="E9" s="64"/>
      <c r="F9" t="s">
        <v>53</v>
      </c>
      <c r="G9" t="s">
        <v>54</v>
      </c>
      <c r="H9" t="s">
        <v>55</v>
      </c>
      <c r="I9" t="s">
        <v>858</v>
      </c>
      <c r="J9">
        <v>0.94</v>
      </c>
      <c r="K9" s="65">
        <v>44196</v>
      </c>
      <c r="L9">
        <v>3528768075</v>
      </c>
      <c r="M9">
        <v>1734900000</v>
      </c>
      <c r="N9">
        <v>6659087075</v>
      </c>
      <c r="O9">
        <v>6668864075</v>
      </c>
      <c r="P9">
        <v>7558457000</v>
      </c>
    </row>
    <row r="10" spans="1:21">
      <c r="A10" s="60" t="s">
        <v>80</v>
      </c>
      <c r="B10" s="60" t="s">
        <v>81</v>
      </c>
      <c r="C10" s="60" t="s">
        <v>82</v>
      </c>
      <c r="D10" t="s">
        <v>83</v>
      </c>
      <c r="E10" s="64"/>
      <c r="F10" t="s">
        <v>84</v>
      </c>
      <c r="G10" t="s">
        <v>54</v>
      </c>
      <c r="H10" t="s">
        <v>55</v>
      </c>
      <c r="I10" t="s">
        <v>858</v>
      </c>
      <c r="J10">
        <v>0.94</v>
      </c>
      <c r="K10" s="65">
        <v>44561</v>
      </c>
      <c r="L10">
        <v>65110000000</v>
      </c>
      <c r="M10">
        <v>122400000000</v>
      </c>
      <c r="N10">
        <v>126440000000</v>
      </c>
      <c r="O10">
        <v>145070000000</v>
      </c>
      <c r="P10">
        <v>229527000000</v>
      </c>
    </row>
    <row r="11" spans="1:21">
      <c r="A11" s="60" t="s">
        <v>86</v>
      </c>
      <c r="B11" s="60" t="s">
        <v>87</v>
      </c>
      <c r="C11" s="60" t="s">
        <v>88</v>
      </c>
      <c r="D11" t="s">
        <v>89</v>
      </c>
      <c r="E11" s="64" t="s">
        <v>90</v>
      </c>
      <c r="F11" t="s">
        <v>1051</v>
      </c>
      <c r="G11" t="s">
        <v>54</v>
      </c>
      <c r="H11" t="s">
        <v>55</v>
      </c>
      <c r="I11" t="s">
        <v>858</v>
      </c>
      <c r="J11">
        <v>0.94</v>
      </c>
      <c r="K11" s="65">
        <v>44561</v>
      </c>
      <c r="L11">
        <v>88050000000</v>
      </c>
      <c r="M11">
        <v>157730000000</v>
      </c>
      <c r="N11">
        <v>129010000000</v>
      </c>
      <c r="O11">
        <v>162250000000</v>
      </c>
      <c r="P11">
        <v>287272000000</v>
      </c>
    </row>
    <row r="12" spans="1:21">
      <c r="A12" s="60" t="s">
        <v>92</v>
      </c>
      <c r="B12" s="60" t="s">
        <v>93</v>
      </c>
      <c r="C12" s="60" t="s">
        <v>94</v>
      </c>
      <c r="D12" t="s">
        <v>52</v>
      </c>
      <c r="E12" s="64" t="s">
        <v>61</v>
      </c>
      <c r="F12" t="s">
        <v>95</v>
      </c>
      <c r="G12" t="s">
        <v>54</v>
      </c>
      <c r="H12" t="s">
        <v>55</v>
      </c>
      <c r="I12" t="s">
        <v>858</v>
      </c>
      <c r="J12">
        <v>0.94</v>
      </c>
      <c r="K12" s="65">
        <v>43830</v>
      </c>
      <c r="L12">
        <v>1687208892</v>
      </c>
      <c r="M12">
        <v>2380200000</v>
      </c>
      <c r="N12">
        <v>2210808892</v>
      </c>
      <c r="O12">
        <v>2237808892</v>
      </c>
      <c r="P12">
        <v>3187800000</v>
      </c>
    </row>
    <row r="13" spans="1:21">
      <c r="A13" s="60" t="s">
        <v>97</v>
      </c>
      <c r="B13" s="60" t="s">
        <v>98</v>
      </c>
      <c r="C13" s="60" t="s">
        <v>99</v>
      </c>
      <c r="D13" t="s">
        <v>52</v>
      </c>
      <c r="E13" s="64"/>
      <c r="F13" t="s">
        <v>1051</v>
      </c>
      <c r="G13" t="s">
        <v>54</v>
      </c>
      <c r="H13" t="s">
        <v>55</v>
      </c>
      <c r="I13" t="s">
        <v>858</v>
      </c>
      <c r="J13">
        <v>0.94</v>
      </c>
      <c r="K13" s="65">
        <v>44561</v>
      </c>
      <c r="L13">
        <v>226210000000</v>
      </c>
      <c r="M13">
        <v>162465000000</v>
      </c>
      <c r="N13">
        <v>250506000000</v>
      </c>
      <c r="O13">
        <v>256146000000</v>
      </c>
      <c r="P13">
        <v>239535000000</v>
      </c>
    </row>
    <row r="14" spans="1:21">
      <c r="A14" s="60" t="s">
        <v>109</v>
      </c>
      <c r="B14" s="60" t="s">
        <v>110</v>
      </c>
      <c r="C14" s="60" t="s">
        <v>111</v>
      </c>
      <c r="D14" t="s">
        <v>52</v>
      </c>
      <c r="E14" s="64" t="s">
        <v>61</v>
      </c>
      <c r="F14" t="s">
        <v>53</v>
      </c>
      <c r="G14" t="s">
        <v>54</v>
      </c>
      <c r="H14" t="s">
        <v>55</v>
      </c>
      <c r="I14" t="s">
        <v>858</v>
      </c>
      <c r="J14">
        <v>0.94</v>
      </c>
      <c r="K14" s="65">
        <v>43830</v>
      </c>
      <c r="L14">
        <v>3528768075</v>
      </c>
      <c r="M14">
        <v>1639605000</v>
      </c>
      <c r="N14">
        <v>6659087075</v>
      </c>
      <c r="O14">
        <v>6668864075</v>
      </c>
      <c r="P14">
        <v>7476298000</v>
      </c>
    </row>
    <row r="15" spans="1:21">
      <c r="A15" s="60" t="s">
        <v>100</v>
      </c>
      <c r="B15" s="60" t="s">
        <v>101</v>
      </c>
      <c r="C15" s="60" t="s">
        <v>102</v>
      </c>
      <c r="D15" t="s">
        <v>52</v>
      </c>
      <c r="E15" s="64" t="s">
        <v>61</v>
      </c>
      <c r="F15" t="s">
        <v>95</v>
      </c>
      <c r="G15" t="s">
        <v>54</v>
      </c>
      <c r="H15" t="s">
        <v>55</v>
      </c>
      <c r="I15" t="s">
        <v>858</v>
      </c>
      <c r="J15">
        <v>0.94</v>
      </c>
      <c r="K15" s="65">
        <v>43830</v>
      </c>
      <c r="L15">
        <v>2839987963</v>
      </c>
      <c r="M15">
        <v>1989900000</v>
      </c>
      <c r="N15">
        <v>4601187963</v>
      </c>
      <c r="O15">
        <v>4953787963</v>
      </c>
      <c r="P15">
        <v>3503800000</v>
      </c>
    </row>
    <row r="16" spans="1:21">
      <c r="A16" s="60" t="s">
        <v>103</v>
      </c>
      <c r="B16" s="60" t="s">
        <v>104</v>
      </c>
      <c r="C16" s="60" t="s">
        <v>105</v>
      </c>
      <c r="D16" t="s">
        <v>52</v>
      </c>
      <c r="E16" s="64" t="s">
        <v>61</v>
      </c>
      <c r="F16" t="s">
        <v>53</v>
      </c>
      <c r="G16" t="s">
        <v>54</v>
      </c>
      <c r="H16" t="s">
        <v>55</v>
      </c>
      <c r="I16" t="s">
        <v>858</v>
      </c>
      <c r="J16">
        <v>0.94</v>
      </c>
      <c r="K16" s="65">
        <v>43830</v>
      </c>
      <c r="L16">
        <v>16352000000</v>
      </c>
      <c r="M16">
        <v>6845000000</v>
      </c>
      <c r="N16">
        <v>28163000000</v>
      </c>
      <c r="O16">
        <v>28303000000</v>
      </c>
      <c r="P16">
        <v>26837000000</v>
      </c>
    </row>
    <row r="17" spans="1:21">
      <c r="A17" s="60" t="s">
        <v>106</v>
      </c>
      <c r="B17" s="60" t="s">
        <v>107</v>
      </c>
      <c r="C17" s="60" t="s">
        <v>108</v>
      </c>
      <c r="D17" t="s">
        <v>52</v>
      </c>
      <c r="E17" s="64" t="s">
        <v>61</v>
      </c>
      <c r="F17" t="s">
        <v>95</v>
      </c>
      <c r="G17" t="s">
        <v>54</v>
      </c>
      <c r="H17" t="s">
        <v>55</v>
      </c>
      <c r="I17" t="s">
        <v>858</v>
      </c>
      <c r="J17">
        <v>0.94</v>
      </c>
      <c r="K17" s="65">
        <v>43830</v>
      </c>
      <c r="L17">
        <v>1900000000</v>
      </c>
      <c r="M17">
        <v>5829002000</v>
      </c>
      <c r="N17">
        <v>3154921000</v>
      </c>
      <c r="O17">
        <v>3154921000</v>
      </c>
      <c r="P17">
        <v>3758771000</v>
      </c>
    </row>
    <row r="18" spans="1:21">
      <c r="A18" s="60" t="s">
        <v>112</v>
      </c>
      <c r="B18" s="60" t="s">
        <v>113</v>
      </c>
      <c r="C18" s="60" t="s">
        <v>114</v>
      </c>
      <c r="D18" t="s">
        <v>52</v>
      </c>
      <c r="E18" s="64" t="s">
        <v>61</v>
      </c>
      <c r="F18" t="s">
        <v>53</v>
      </c>
      <c r="G18" t="s">
        <v>54</v>
      </c>
      <c r="H18" t="s">
        <v>55</v>
      </c>
      <c r="I18" t="s">
        <v>858</v>
      </c>
      <c r="J18">
        <v>0.94</v>
      </c>
      <c r="K18" s="65">
        <v>43830</v>
      </c>
      <c r="L18">
        <v>29100000000</v>
      </c>
      <c r="M18">
        <v>12574000000</v>
      </c>
      <c r="N18">
        <v>48092000000</v>
      </c>
      <c r="O18">
        <v>49073000000</v>
      </c>
      <c r="P18">
        <v>58079000000</v>
      </c>
    </row>
    <row r="19" spans="1:21">
      <c r="A19" s="60" t="s">
        <v>115</v>
      </c>
      <c r="B19" s="60" t="s">
        <v>116</v>
      </c>
      <c r="C19" s="60" t="s">
        <v>117</v>
      </c>
      <c r="D19" t="s">
        <v>52</v>
      </c>
      <c r="E19" s="64" t="s">
        <v>61</v>
      </c>
      <c r="F19" t="s">
        <v>75</v>
      </c>
      <c r="G19" t="s">
        <v>54</v>
      </c>
      <c r="H19" t="s">
        <v>55</v>
      </c>
      <c r="I19" t="s">
        <v>858</v>
      </c>
      <c r="J19">
        <v>0.94</v>
      </c>
      <c r="K19" s="65">
        <v>44561</v>
      </c>
      <c r="L19">
        <v>23150000000</v>
      </c>
      <c r="M19">
        <v>14964000000</v>
      </c>
      <c r="N19">
        <v>40810000000</v>
      </c>
      <c r="O19">
        <v>40877000000</v>
      </c>
      <c r="P19">
        <v>39719000000</v>
      </c>
    </row>
    <row r="20" spans="1:21">
      <c r="A20" s="60" t="s">
        <v>118</v>
      </c>
      <c r="B20" s="60" t="s">
        <v>119</v>
      </c>
      <c r="C20" s="60" t="s">
        <v>120</v>
      </c>
      <c r="D20" t="s">
        <v>52</v>
      </c>
      <c r="E20" s="64" t="s">
        <v>61</v>
      </c>
      <c r="F20" t="s">
        <v>53</v>
      </c>
      <c r="G20" t="s">
        <v>54</v>
      </c>
      <c r="H20" t="s">
        <v>55</v>
      </c>
      <c r="I20" t="s">
        <v>858</v>
      </c>
      <c r="J20">
        <v>0.94</v>
      </c>
      <c r="K20" s="65">
        <v>43830</v>
      </c>
      <c r="L20">
        <v>62000000000</v>
      </c>
      <c r="M20">
        <v>16572000000</v>
      </c>
      <c r="N20">
        <v>95658000000</v>
      </c>
      <c r="O20">
        <v>95824000000</v>
      </c>
      <c r="P20">
        <v>103823000000</v>
      </c>
    </row>
    <row r="21" spans="1:21">
      <c r="A21" s="60" t="s">
        <v>121</v>
      </c>
      <c r="B21" s="60" t="s">
        <v>122</v>
      </c>
      <c r="C21" s="60" t="s">
        <v>123</v>
      </c>
      <c r="D21" t="s">
        <v>52</v>
      </c>
      <c r="E21" s="64" t="s">
        <v>61</v>
      </c>
      <c r="F21" t="s">
        <v>53</v>
      </c>
      <c r="G21" t="s">
        <v>54</v>
      </c>
      <c r="H21" t="s">
        <v>55</v>
      </c>
      <c r="I21" t="s">
        <v>858</v>
      </c>
      <c r="J21">
        <v>0.94</v>
      </c>
      <c r="K21" s="65">
        <v>43830</v>
      </c>
      <c r="L21">
        <v>64230558771</v>
      </c>
      <c r="M21">
        <v>25079000000</v>
      </c>
      <c r="N21">
        <v>126981558771</v>
      </c>
      <c r="O21">
        <v>127292558771</v>
      </c>
      <c r="P21">
        <v>158838000000</v>
      </c>
    </row>
    <row r="22" spans="1:21">
      <c r="A22" s="60" t="s">
        <v>128</v>
      </c>
      <c r="B22" s="60" t="s">
        <v>129</v>
      </c>
      <c r="C22" s="60" t="s">
        <v>130</v>
      </c>
      <c r="D22" t="s">
        <v>52</v>
      </c>
      <c r="E22" s="64" t="s">
        <v>61</v>
      </c>
      <c r="F22" t="s">
        <v>53</v>
      </c>
      <c r="G22" t="s">
        <v>54</v>
      </c>
      <c r="H22" t="s">
        <v>55</v>
      </c>
      <c r="I22" t="s">
        <v>858</v>
      </c>
      <c r="J22">
        <v>0.94</v>
      </c>
      <c r="K22" s="65">
        <v>44561</v>
      </c>
      <c r="L22">
        <v>25920000000</v>
      </c>
      <c r="M22">
        <v>14905000000</v>
      </c>
      <c r="N22">
        <v>55360000000</v>
      </c>
      <c r="O22">
        <v>55750000000</v>
      </c>
      <c r="P22">
        <v>74745000000</v>
      </c>
    </row>
    <row r="23" spans="1:21">
      <c r="A23" s="60" t="s">
        <v>124</v>
      </c>
      <c r="B23" s="60" t="s">
        <v>125</v>
      </c>
      <c r="C23" s="60" t="s">
        <v>126</v>
      </c>
      <c r="D23" t="s">
        <v>127</v>
      </c>
      <c r="E23" s="64" t="s">
        <v>90</v>
      </c>
      <c r="F23" t="s">
        <v>53</v>
      </c>
      <c r="G23" t="s">
        <v>54</v>
      </c>
      <c r="H23" t="s">
        <v>55</v>
      </c>
      <c r="I23" t="s">
        <v>858</v>
      </c>
      <c r="J23">
        <v>0.94</v>
      </c>
      <c r="K23" s="65">
        <v>44561</v>
      </c>
      <c r="L23">
        <v>50211000000</v>
      </c>
      <c r="M23">
        <v>84461000000</v>
      </c>
      <c r="N23">
        <v>83280000000</v>
      </c>
      <c r="O23">
        <v>93199000000</v>
      </c>
      <c r="P23">
        <v>360966000000</v>
      </c>
    </row>
    <row r="24" spans="1:21">
      <c r="A24" s="60" t="s">
        <v>1231</v>
      </c>
      <c r="B24" s="60" t="s">
        <v>1232</v>
      </c>
      <c r="C24" s="60" t="s">
        <v>1233</v>
      </c>
      <c r="D24" t="s">
        <v>83</v>
      </c>
      <c r="E24" s="64" t="s">
        <v>90</v>
      </c>
      <c r="F24" t="s">
        <v>75</v>
      </c>
      <c r="G24" t="s">
        <v>54</v>
      </c>
      <c r="H24" t="s">
        <v>55</v>
      </c>
      <c r="I24" t="s">
        <v>858</v>
      </c>
      <c r="J24">
        <v>0.94</v>
      </c>
      <c r="K24" s="65">
        <v>44561</v>
      </c>
      <c r="L24">
        <f>270855*76*1000</f>
        <v>20584980000</v>
      </c>
      <c r="M24">
        <v>32147900000</v>
      </c>
      <c r="N24">
        <f>L24+R24</f>
        <v>23486080000</v>
      </c>
      <c r="O24" s="4">
        <f>N24+S24</f>
        <v>24737080000</v>
      </c>
      <c r="P24" s="4">
        <v>46250700000</v>
      </c>
      <c r="R24">
        <v>2901100000</v>
      </c>
      <c r="S24" s="4">
        <v>1251000000</v>
      </c>
      <c r="T24" s="210"/>
      <c r="U24" s="210"/>
    </row>
    <row r="25" spans="1:21">
      <c r="A25" s="60" t="s">
        <v>131</v>
      </c>
      <c r="B25" s="60" t="s">
        <v>132</v>
      </c>
      <c r="C25" s="60" t="s">
        <v>133</v>
      </c>
      <c r="D25" t="s">
        <v>134</v>
      </c>
      <c r="E25" s="64" t="s">
        <v>135</v>
      </c>
      <c r="F25" t="s">
        <v>53</v>
      </c>
      <c r="G25" t="s">
        <v>54</v>
      </c>
      <c r="H25" t="s">
        <v>55</v>
      </c>
      <c r="I25" t="s">
        <v>858</v>
      </c>
      <c r="J25">
        <v>0.94</v>
      </c>
      <c r="K25" s="65">
        <v>44196</v>
      </c>
      <c r="L25">
        <v>8105859000</v>
      </c>
      <c r="M25">
        <v>12064489000</v>
      </c>
      <c r="N25">
        <v>11943556000</v>
      </c>
      <c r="O25">
        <v>13593042000</v>
      </c>
      <c r="P25">
        <v>26933558000</v>
      </c>
    </row>
    <row r="26" spans="1:21">
      <c r="A26" s="60" t="s">
        <v>1223</v>
      </c>
      <c r="B26" s="60" t="s">
        <v>1224</v>
      </c>
      <c r="C26" s="60" t="s">
        <v>1225</v>
      </c>
      <c r="D26" t="s">
        <v>127</v>
      </c>
      <c r="E26" s="64" t="s">
        <v>90</v>
      </c>
      <c r="F26" t="s">
        <v>75</v>
      </c>
      <c r="G26" t="s">
        <v>54</v>
      </c>
      <c r="H26" t="s">
        <v>858</v>
      </c>
      <c r="K26" s="65">
        <v>44926</v>
      </c>
      <c r="L26">
        <f>1000000000*36.54/0.94</f>
        <v>38872340425.531914</v>
      </c>
      <c r="M26" s="4">
        <v>93900000000</v>
      </c>
      <c r="N26" s="4">
        <f>L26+R26</f>
        <v>77672340425.531921</v>
      </c>
      <c r="O26" s="4">
        <f>N26+S26</f>
        <v>93372340425.531921</v>
      </c>
      <c r="P26" s="4">
        <v>54044000000</v>
      </c>
      <c r="R26" s="282">
        <v>38800000000</v>
      </c>
      <c r="S26" s="282">
        <v>15700000000</v>
      </c>
      <c r="T26" s="210"/>
      <c r="U26" s="210"/>
    </row>
    <row r="27" spans="1:21">
      <c r="A27" s="60" t="s">
        <v>551</v>
      </c>
      <c r="B27" s="60" t="s">
        <v>526</v>
      </c>
      <c r="C27" s="60" t="s">
        <v>527</v>
      </c>
      <c r="D27" t="s">
        <v>530</v>
      </c>
      <c r="E27" s="64"/>
      <c r="F27" t="s">
        <v>1051</v>
      </c>
      <c r="G27" t="s">
        <v>54</v>
      </c>
      <c r="H27" t="s">
        <v>605</v>
      </c>
      <c r="I27" t="s">
        <v>858</v>
      </c>
      <c r="J27">
        <v>1000000</v>
      </c>
      <c r="K27" s="65">
        <v>44561</v>
      </c>
      <c r="L27" s="4">
        <v>44519</v>
      </c>
      <c r="M27" s="4">
        <v>76575</v>
      </c>
      <c r="N27" s="4">
        <f>L27+18576</f>
        <v>63095</v>
      </c>
      <c r="O27" s="4">
        <f>N27+18230</f>
        <v>81325</v>
      </c>
      <c r="P27" s="4">
        <v>160113</v>
      </c>
    </row>
    <row r="28" spans="1:21">
      <c r="A28" s="60" t="s">
        <v>548</v>
      </c>
      <c r="B28" s="60" t="s">
        <v>526</v>
      </c>
      <c r="C28" s="60" t="s">
        <v>546</v>
      </c>
      <c r="D28" t="s">
        <v>530</v>
      </c>
      <c r="E28" s="64"/>
      <c r="F28" t="s">
        <v>1052</v>
      </c>
      <c r="G28" t="s">
        <v>54</v>
      </c>
      <c r="H28" t="s">
        <v>605</v>
      </c>
      <c r="I28" t="s">
        <v>858</v>
      </c>
      <c r="J28">
        <v>1000000</v>
      </c>
      <c r="K28" s="65">
        <v>44561</v>
      </c>
      <c r="L28" s="52">
        <v>44519</v>
      </c>
      <c r="M28" s="4">
        <v>21742</v>
      </c>
      <c r="N28" s="52">
        <f>M28*2.23</f>
        <v>48484.659999999996</v>
      </c>
      <c r="O28" s="52">
        <f>N28+100</f>
        <v>48584.659999999996</v>
      </c>
      <c r="P28" s="52">
        <v>48014</v>
      </c>
    </row>
    <row r="29" spans="1:21">
      <c r="A29" s="60" t="s">
        <v>541</v>
      </c>
      <c r="B29" s="60" t="s">
        <v>526</v>
      </c>
      <c r="C29" s="60" t="s">
        <v>545</v>
      </c>
      <c r="D29" t="s">
        <v>530</v>
      </c>
      <c r="E29" s="64"/>
      <c r="F29" t="s">
        <v>1053</v>
      </c>
      <c r="G29" t="s">
        <v>54</v>
      </c>
      <c r="H29" t="s">
        <v>605</v>
      </c>
      <c r="I29" t="s">
        <v>858</v>
      </c>
      <c r="J29">
        <v>1000000</v>
      </c>
      <c r="K29" s="65">
        <v>44561</v>
      </c>
      <c r="L29" s="52">
        <v>44519</v>
      </c>
      <c r="M29" s="4">
        <v>20843</v>
      </c>
      <c r="N29" s="52">
        <f>M29*2.23</f>
        <v>46479.89</v>
      </c>
      <c r="O29" s="52">
        <f>N29+100</f>
        <v>46579.89</v>
      </c>
      <c r="P29" s="52">
        <v>-823</v>
      </c>
    </row>
    <row r="30" spans="1:21">
      <c r="A30" s="60" t="s">
        <v>542</v>
      </c>
      <c r="B30" s="60" t="s">
        <v>526</v>
      </c>
      <c r="C30" s="60" t="s">
        <v>549</v>
      </c>
      <c r="D30" t="s">
        <v>530</v>
      </c>
      <c r="E30" s="64"/>
      <c r="F30" t="s">
        <v>550</v>
      </c>
      <c r="G30" t="s">
        <v>54</v>
      </c>
      <c r="H30" t="s">
        <v>605</v>
      </c>
      <c r="I30" t="s">
        <v>858</v>
      </c>
      <c r="J30">
        <v>1000000</v>
      </c>
      <c r="K30" s="65">
        <v>44561</v>
      </c>
      <c r="L30" s="52">
        <v>44519</v>
      </c>
      <c r="M30" s="4">
        <v>40374</v>
      </c>
      <c r="N30" s="52">
        <f>M30*2.23</f>
        <v>90034.02</v>
      </c>
      <c r="O30" s="52">
        <f>N30+100</f>
        <v>90134.02</v>
      </c>
      <c r="P30" s="52">
        <v>9815</v>
      </c>
    </row>
    <row r="31" spans="1:21">
      <c r="A31" s="60" t="s">
        <v>543</v>
      </c>
      <c r="B31" s="60" t="s">
        <v>544</v>
      </c>
      <c r="C31" s="60" t="s">
        <v>547</v>
      </c>
      <c r="D31" t="s">
        <v>530</v>
      </c>
      <c r="E31" s="64"/>
      <c r="F31" t="s">
        <v>53</v>
      </c>
      <c r="G31" t="s">
        <v>54</v>
      </c>
      <c r="H31" t="s">
        <v>605</v>
      </c>
      <c r="I31" t="s">
        <v>858</v>
      </c>
      <c r="J31">
        <v>1000000</v>
      </c>
      <c r="K31" s="65">
        <v>44561</v>
      </c>
      <c r="L31" s="52">
        <v>44100</v>
      </c>
      <c r="M31" s="4">
        <v>11187</v>
      </c>
      <c r="N31" s="52">
        <f>M31*2.23</f>
        <v>24947.01</v>
      </c>
      <c r="O31" s="52">
        <f>N31+100</f>
        <v>25047.01</v>
      </c>
      <c r="P31" s="52">
        <v>5474</v>
      </c>
    </row>
    <row r="32" spans="1:21">
      <c r="A32" s="60" t="s">
        <v>136</v>
      </c>
      <c r="B32" s="60" t="s">
        <v>137</v>
      </c>
      <c r="C32" s="60" t="s">
        <v>138</v>
      </c>
      <c r="D32" t="s">
        <v>52</v>
      </c>
      <c r="E32" s="64" t="s">
        <v>61</v>
      </c>
      <c r="F32" t="s">
        <v>53</v>
      </c>
      <c r="G32" t="s">
        <v>54</v>
      </c>
      <c r="H32" t="s">
        <v>55</v>
      </c>
      <c r="I32" t="s">
        <v>858</v>
      </c>
      <c r="J32">
        <v>0.94</v>
      </c>
      <c r="K32" s="65">
        <v>43830</v>
      </c>
      <c r="L32">
        <v>20500000000</v>
      </c>
      <c r="M32">
        <v>10878673000</v>
      </c>
      <c r="N32">
        <v>39134228000</v>
      </c>
      <c r="O32">
        <v>39559950000</v>
      </c>
      <c r="P32">
        <v>51723912000</v>
      </c>
    </row>
    <row r="33" spans="1:21">
      <c r="A33" s="60" t="s">
        <v>139</v>
      </c>
      <c r="B33" s="60" t="s">
        <v>140</v>
      </c>
      <c r="C33" s="60" t="s">
        <v>141</v>
      </c>
      <c r="D33" t="s">
        <v>52</v>
      </c>
      <c r="E33" s="64" t="s">
        <v>61</v>
      </c>
      <c r="F33" t="s">
        <v>53</v>
      </c>
      <c r="G33" t="s">
        <v>54</v>
      </c>
      <c r="H33" t="s">
        <v>55</v>
      </c>
      <c r="I33" t="s">
        <v>858</v>
      </c>
      <c r="J33">
        <v>0.94</v>
      </c>
      <c r="K33" s="65">
        <v>43830</v>
      </c>
      <c r="L33">
        <v>14138041261</v>
      </c>
      <c r="M33">
        <v>5147800000</v>
      </c>
      <c r="N33">
        <v>22861541261</v>
      </c>
      <c r="O33">
        <v>22884741261</v>
      </c>
      <c r="P33">
        <v>25975900000</v>
      </c>
    </row>
    <row r="34" spans="1:21">
      <c r="A34" s="60" t="s">
        <v>142</v>
      </c>
      <c r="B34" s="60" t="s">
        <v>143</v>
      </c>
      <c r="C34" s="60" t="s">
        <v>144</v>
      </c>
      <c r="D34" t="s">
        <v>52</v>
      </c>
      <c r="E34" s="64" t="s">
        <v>61</v>
      </c>
      <c r="F34" t="s">
        <v>53</v>
      </c>
      <c r="G34" t="s">
        <v>54</v>
      </c>
      <c r="H34" t="s">
        <v>55</v>
      </c>
      <c r="I34" t="s">
        <v>858</v>
      </c>
      <c r="J34">
        <v>0.94</v>
      </c>
      <c r="K34" s="65">
        <v>43830</v>
      </c>
      <c r="L34">
        <v>24486439602</v>
      </c>
      <c r="M34">
        <v>8526470000</v>
      </c>
      <c r="N34">
        <v>38241835602</v>
      </c>
      <c r="O34">
        <v>38257267602</v>
      </c>
      <c r="P34">
        <v>41123915000</v>
      </c>
    </row>
    <row r="35" spans="1:21">
      <c r="A35" s="60" t="s">
        <v>145</v>
      </c>
      <c r="B35" s="60" t="s">
        <v>146</v>
      </c>
      <c r="C35" s="60" t="s">
        <v>147</v>
      </c>
      <c r="D35" t="s">
        <v>52</v>
      </c>
      <c r="E35" s="64"/>
      <c r="F35" t="s">
        <v>53</v>
      </c>
      <c r="G35" t="s">
        <v>54</v>
      </c>
      <c r="H35" t="s">
        <v>55</v>
      </c>
      <c r="I35" t="s">
        <v>858</v>
      </c>
      <c r="J35">
        <v>0.94</v>
      </c>
      <c r="K35" s="65">
        <v>44196</v>
      </c>
      <c r="L35">
        <v>35402501369</v>
      </c>
      <c r="M35">
        <v>34438000000</v>
      </c>
      <c r="N35">
        <v>66144501369</v>
      </c>
      <c r="O35">
        <v>66731501369</v>
      </c>
      <c r="P35">
        <v>124977000000</v>
      </c>
    </row>
    <row r="36" spans="1:21">
      <c r="A36" s="60" t="s">
        <v>148</v>
      </c>
      <c r="B36" s="60" t="s">
        <v>149</v>
      </c>
      <c r="C36" s="60" t="s">
        <v>150</v>
      </c>
      <c r="D36" t="s">
        <v>52</v>
      </c>
      <c r="E36" s="64" t="s">
        <v>61</v>
      </c>
      <c r="F36" t="s">
        <v>1051</v>
      </c>
      <c r="G36" t="s">
        <v>54</v>
      </c>
      <c r="H36" t="s">
        <v>55</v>
      </c>
      <c r="I36" t="s">
        <v>858</v>
      </c>
      <c r="J36">
        <v>0.94</v>
      </c>
      <c r="K36" s="65">
        <v>44196</v>
      </c>
      <c r="L36">
        <v>174280000000</v>
      </c>
      <c r="M36">
        <v>181502000000</v>
      </c>
      <c r="N36">
        <v>310294000000</v>
      </c>
      <c r="O36">
        <v>314658000000</v>
      </c>
      <c r="P36">
        <v>332750000000</v>
      </c>
    </row>
    <row r="37" spans="1:21">
      <c r="A37" s="60" t="s">
        <v>152</v>
      </c>
      <c r="B37" s="60" t="s">
        <v>153</v>
      </c>
      <c r="C37" s="60" t="s">
        <v>154</v>
      </c>
      <c r="D37" t="s">
        <v>52</v>
      </c>
      <c r="E37" s="64"/>
      <c r="F37" t="s">
        <v>53</v>
      </c>
      <c r="G37" t="s">
        <v>54</v>
      </c>
      <c r="H37" t="s">
        <v>55</v>
      </c>
      <c r="I37" t="s">
        <v>858</v>
      </c>
      <c r="J37">
        <v>0.94</v>
      </c>
      <c r="K37" s="65">
        <v>44196</v>
      </c>
      <c r="L37">
        <v>20967401361</v>
      </c>
      <c r="M37">
        <v>11035000000</v>
      </c>
      <c r="N37">
        <v>39958401361</v>
      </c>
      <c r="O37">
        <v>40585401361</v>
      </c>
      <c r="P37">
        <v>42301000000</v>
      </c>
    </row>
    <row r="38" spans="1:21">
      <c r="A38" s="60" t="s">
        <v>155</v>
      </c>
      <c r="B38" s="60" t="s">
        <v>156</v>
      </c>
      <c r="C38" s="60" t="s">
        <v>157</v>
      </c>
      <c r="D38" t="s">
        <v>52</v>
      </c>
      <c r="E38" s="64"/>
      <c r="F38" t="s">
        <v>84</v>
      </c>
      <c r="G38" t="s">
        <v>54</v>
      </c>
      <c r="H38" t="s">
        <v>55</v>
      </c>
      <c r="I38" t="s">
        <v>858</v>
      </c>
      <c r="J38">
        <v>0.94</v>
      </c>
      <c r="K38" s="65">
        <v>44561</v>
      </c>
      <c r="L38">
        <v>83000000000</v>
      </c>
      <c r="M38">
        <v>136300000000</v>
      </c>
      <c r="N38">
        <v>185040000000</v>
      </c>
      <c r="O38">
        <v>205580000000</v>
      </c>
      <c r="P38">
        <v>257035000000</v>
      </c>
    </row>
    <row r="39" spans="1:21">
      <c r="A39" s="60" t="s">
        <v>159</v>
      </c>
      <c r="B39" s="60" t="s">
        <v>160</v>
      </c>
      <c r="C39" s="60" t="s">
        <v>161</v>
      </c>
      <c r="D39" t="s">
        <v>162</v>
      </c>
      <c r="E39" s="64"/>
      <c r="F39" t="s">
        <v>53</v>
      </c>
      <c r="G39" t="s">
        <v>54</v>
      </c>
      <c r="H39" t="s">
        <v>55</v>
      </c>
      <c r="I39" t="s">
        <v>858</v>
      </c>
      <c r="J39">
        <v>0.94</v>
      </c>
      <c r="K39" s="65">
        <v>44196</v>
      </c>
      <c r="L39">
        <v>21370500000</v>
      </c>
      <c r="M39">
        <v>6736467578.2073498</v>
      </c>
      <c r="N39">
        <v>21370500000</v>
      </c>
      <c r="O39">
        <v>21370500000</v>
      </c>
      <c r="P39">
        <v>40960299959.761497</v>
      </c>
    </row>
    <row r="40" spans="1:21">
      <c r="A40" s="60" t="s">
        <v>163</v>
      </c>
      <c r="B40" s="60" t="s">
        <v>164</v>
      </c>
      <c r="C40" s="60" t="s">
        <v>165</v>
      </c>
      <c r="D40" t="s">
        <v>52</v>
      </c>
      <c r="E40" s="64"/>
      <c r="F40" t="s">
        <v>84</v>
      </c>
      <c r="G40" t="s">
        <v>54</v>
      </c>
      <c r="H40" t="s">
        <v>55</v>
      </c>
      <c r="I40" t="s">
        <v>858</v>
      </c>
      <c r="J40">
        <v>0.94</v>
      </c>
      <c r="K40" s="65">
        <v>44561</v>
      </c>
      <c r="L40">
        <v>59590000000</v>
      </c>
      <c r="M40">
        <v>122000000000</v>
      </c>
      <c r="N40">
        <v>144100000000</v>
      </c>
      <c r="O40">
        <v>164092000000</v>
      </c>
      <c r="P40">
        <v>235194000000</v>
      </c>
    </row>
    <row r="41" spans="1:21">
      <c r="A41" s="60" t="s">
        <v>167</v>
      </c>
      <c r="B41" s="60" t="s">
        <v>168</v>
      </c>
      <c r="C41" s="60" t="s">
        <v>169</v>
      </c>
      <c r="D41" t="s">
        <v>170</v>
      </c>
      <c r="E41" s="64" t="s">
        <v>135</v>
      </c>
      <c r="F41" t="s">
        <v>95</v>
      </c>
      <c r="G41" t="s">
        <v>54</v>
      </c>
      <c r="H41" t="s">
        <v>55</v>
      </c>
      <c r="I41" t="s">
        <v>858</v>
      </c>
      <c r="J41">
        <v>0.94</v>
      </c>
      <c r="K41" s="65">
        <v>43830</v>
      </c>
      <c r="L41">
        <v>1912433600</v>
      </c>
      <c r="M41">
        <v>9835514922.9662399</v>
      </c>
      <c r="N41">
        <v>1912433600</v>
      </c>
      <c r="O41">
        <v>1912433600</v>
      </c>
      <c r="P41">
        <v>13397913513.7817</v>
      </c>
    </row>
    <row r="42" spans="1:21">
      <c r="A42" s="60" t="s">
        <v>171</v>
      </c>
      <c r="B42" s="60" t="s">
        <v>172</v>
      </c>
      <c r="C42" s="60" t="s">
        <v>173</v>
      </c>
      <c r="D42" t="s">
        <v>52</v>
      </c>
      <c r="E42" s="64" t="s">
        <v>61</v>
      </c>
      <c r="F42" t="s">
        <v>53</v>
      </c>
      <c r="G42" t="s">
        <v>54</v>
      </c>
      <c r="H42" t="s">
        <v>55</v>
      </c>
      <c r="I42" t="s">
        <v>858</v>
      </c>
      <c r="J42">
        <v>0.94</v>
      </c>
      <c r="K42" s="65">
        <v>43830</v>
      </c>
      <c r="L42">
        <v>4745752027</v>
      </c>
      <c r="M42">
        <v>2874601000</v>
      </c>
      <c r="N42">
        <v>6513304027</v>
      </c>
      <c r="O42">
        <v>6710117027</v>
      </c>
      <c r="P42">
        <v>13745251000</v>
      </c>
    </row>
    <row r="43" spans="1:21">
      <c r="A43" s="60" t="s">
        <v>174</v>
      </c>
      <c r="B43" s="60" t="s">
        <v>175</v>
      </c>
      <c r="C43" s="60" t="s">
        <v>176</v>
      </c>
      <c r="D43" t="s">
        <v>177</v>
      </c>
      <c r="E43" s="64" t="s">
        <v>90</v>
      </c>
      <c r="F43" t="s">
        <v>53</v>
      </c>
      <c r="G43" t="s">
        <v>54</v>
      </c>
      <c r="H43" t="s">
        <v>55</v>
      </c>
      <c r="I43" t="s">
        <v>858</v>
      </c>
      <c r="J43">
        <v>0.94</v>
      </c>
      <c r="K43" s="65">
        <v>44561</v>
      </c>
      <c r="L43">
        <v>66271000000</v>
      </c>
      <c r="M43">
        <v>39114000000</v>
      </c>
      <c r="N43">
        <v>27152000000</v>
      </c>
      <c r="O43">
        <v>31204000000</v>
      </c>
      <c r="P43">
        <v>141752000000</v>
      </c>
    </row>
    <row r="44" spans="1:21">
      <c r="A44" s="60" t="s">
        <v>1234</v>
      </c>
      <c r="B44" s="60" t="s">
        <v>1235</v>
      </c>
      <c r="C44" s="60" t="s">
        <v>1236</v>
      </c>
      <c r="D44" t="s">
        <v>194</v>
      </c>
      <c r="E44" s="64" t="s">
        <v>195</v>
      </c>
      <c r="F44" t="s">
        <v>53</v>
      </c>
      <c r="G44" t="s">
        <v>54</v>
      </c>
      <c r="H44" t="s">
        <v>884</v>
      </c>
      <c r="I44" t="s">
        <v>858</v>
      </c>
      <c r="J44">
        <v>7.1000000000000004E-3</v>
      </c>
      <c r="K44" s="65">
        <v>44561</v>
      </c>
      <c r="L44" s="4">
        <v>1180000000000</v>
      </c>
      <c r="M44">
        <v>2851800000000</v>
      </c>
      <c r="N44" s="4">
        <f>L44+R44</f>
        <v>6034168000000</v>
      </c>
      <c r="O44" s="4">
        <f>N44+S44</f>
        <v>6469888000000</v>
      </c>
      <c r="P44" s="4">
        <f>8656.4*1000000000</f>
        <v>8656400000000</v>
      </c>
      <c r="R44" s="4">
        <v>4854168000000</v>
      </c>
      <c r="S44" s="4">
        <v>435720000000</v>
      </c>
      <c r="T44" s="210"/>
      <c r="U44" s="210"/>
    </row>
    <row r="45" spans="1:21">
      <c r="A45" s="60" t="s">
        <v>178</v>
      </c>
      <c r="B45" s="60" t="s">
        <v>179</v>
      </c>
      <c r="C45" s="60" t="s">
        <v>180</v>
      </c>
      <c r="D45" t="s">
        <v>52</v>
      </c>
      <c r="E45" s="64"/>
      <c r="F45" t="s">
        <v>1051</v>
      </c>
      <c r="G45" t="s">
        <v>54</v>
      </c>
      <c r="H45" t="s">
        <v>55</v>
      </c>
      <c r="I45" t="s">
        <v>858</v>
      </c>
      <c r="J45">
        <v>0.94</v>
      </c>
      <c r="K45" s="65">
        <v>44561</v>
      </c>
      <c r="L45">
        <v>39390000000</v>
      </c>
      <c r="M45">
        <v>119983000000</v>
      </c>
      <c r="N45">
        <v>52590000000</v>
      </c>
      <c r="O45">
        <v>57881000000</v>
      </c>
      <c r="P45">
        <v>85373000000</v>
      </c>
    </row>
    <row r="46" spans="1:21">
      <c r="A46" s="60" t="s">
        <v>182</v>
      </c>
      <c r="B46" s="60" t="s">
        <v>183</v>
      </c>
      <c r="C46" s="60" t="s">
        <v>184</v>
      </c>
      <c r="D46" t="s">
        <v>52</v>
      </c>
      <c r="E46" s="64" t="s">
        <v>61</v>
      </c>
      <c r="F46" t="s">
        <v>53</v>
      </c>
      <c r="G46" t="s">
        <v>54</v>
      </c>
      <c r="H46" t="s">
        <v>55</v>
      </c>
      <c r="I46" t="s">
        <v>858</v>
      </c>
      <c r="J46">
        <v>0.94</v>
      </c>
      <c r="K46" s="65">
        <v>43830</v>
      </c>
      <c r="L46">
        <v>5134204876</v>
      </c>
      <c r="M46">
        <v>5336776000</v>
      </c>
      <c r="N46">
        <v>7310852876</v>
      </c>
      <c r="O46">
        <v>7377311876</v>
      </c>
      <c r="P46">
        <v>7683059000</v>
      </c>
    </row>
    <row r="47" spans="1:21">
      <c r="A47" s="60" t="s">
        <v>185</v>
      </c>
      <c r="B47" s="60" t="s">
        <v>186</v>
      </c>
      <c r="C47" s="60" t="s">
        <v>187</v>
      </c>
      <c r="D47" t="s">
        <v>89</v>
      </c>
      <c r="E47" s="64" t="s">
        <v>90</v>
      </c>
      <c r="F47" t="s">
        <v>75</v>
      </c>
      <c r="G47" t="s">
        <v>54</v>
      </c>
      <c r="H47" t="s">
        <v>55</v>
      </c>
      <c r="I47" t="s">
        <v>858</v>
      </c>
      <c r="J47">
        <v>0.94</v>
      </c>
      <c r="K47" s="65">
        <v>43830</v>
      </c>
      <c r="L47">
        <v>40783780623.597</v>
      </c>
      <c r="M47">
        <v>19393506493.5065</v>
      </c>
      <c r="N47">
        <v>40783780623.597</v>
      </c>
      <c r="O47">
        <v>40783780623.597</v>
      </c>
      <c r="P47">
        <v>81770129870.129898</v>
      </c>
    </row>
    <row r="48" spans="1:21">
      <c r="A48" s="60" t="s">
        <v>188</v>
      </c>
      <c r="B48" s="60" t="s">
        <v>189</v>
      </c>
      <c r="C48" s="60" t="s">
        <v>190</v>
      </c>
      <c r="D48" t="s">
        <v>52</v>
      </c>
      <c r="E48" s="64" t="s">
        <v>61</v>
      </c>
      <c r="F48" t="s">
        <v>53</v>
      </c>
      <c r="G48" t="s">
        <v>54</v>
      </c>
      <c r="H48" t="s">
        <v>55</v>
      </c>
      <c r="I48" t="s">
        <v>858</v>
      </c>
      <c r="J48">
        <v>0.94</v>
      </c>
      <c r="K48" s="65">
        <v>43830</v>
      </c>
      <c r="L48">
        <v>97905404884</v>
      </c>
      <c r="M48">
        <v>19204000000</v>
      </c>
      <c r="N48">
        <v>134848404884</v>
      </c>
      <c r="O48">
        <v>135448404884</v>
      </c>
      <c r="P48">
        <v>117691000000</v>
      </c>
    </row>
    <row r="49" spans="1:21">
      <c r="A49" s="60" t="s">
        <v>191</v>
      </c>
      <c r="B49" s="60" t="s">
        <v>192</v>
      </c>
      <c r="C49" s="60" t="s">
        <v>193</v>
      </c>
      <c r="D49" t="s">
        <v>194</v>
      </c>
      <c r="E49" s="64" t="s">
        <v>195</v>
      </c>
      <c r="F49" t="s">
        <v>95</v>
      </c>
      <c r="G49" t="s">
        <v>54</v>
      </c>
      <c r="H49" t="s">
        <v>55</v>
      </c>
      <c r="I49" t="s">
        <v>858</v>
      </c>
      <c r="J49">
        <v>0.94</v>
      </c>
      <c r="K49" s="65">
        <v>43830</v>
      </c>
      <c r="L49">
        <v>8148628613.7879906</v>
      </c>
      <c r="M49">
        <v>54869347664.936989</v>
      </c>
      <c r="N49">
        <v>33892605633.802818</v>
      </c>
      <c r="O49">
        <v>31209608969.607121</v>
      </c>
      <c r="P49">
        <v>68985961823.573013</v>
      </c>
    </row>
    <row r="50" spans="1:21">
      <c r="A50" s="60" t="s">
        <v>196</v>
      </c>
      <c r="B50" s="60" t="s">
        <v>197</v>
      </c>
      <c r="C50" s="60" t="s">
        <v>198</v>
      </c>
      <c r="D50" t="s">
        <v>52</v>
      </c>
      <c r="E50" s="64" t="s">
        <v>61</v>
      </c>
      <c r="F50" t="s">
        <v>53</v>
      </c>
      <c r="G50" t="s">
        <v>54</v>
      </c>
      <c r="H50" t="s">
        <v>55</v>
      </c>
      <c r="I50" t="s">
        <v>858</v>
      </c>
      <c r="J50">
        <v>0.94</v>
      </c>
      <c r="K50" s="65">
        <v>43830</v>
      </c>
      <c r="L50">
        <v>10713311150</v>
      </c>
      <c r="M50">
        <v>5053400000</v>
      </c>
      <c r="N50">
        <v>19338411150</v>
      </c>
      <c r="O50">
        <v>19477711150</v>
      </c>
      <c r="P50">
        <v>22659800000</v>
      </c>
    </row>
    <row r="51" spans="1:21">
      <c r="A51" s="60" t="s">
        <v>199</v>
      </c>
      <c r="B51" s="60" t="s">
        <v>200</v>
      </c>
      <c r="C51" s="60" t="s">
        <v>201</v>
      </c>
      <c r="D51" t="s">
        <v>52</v>
      </c>
      <c r="E51" s="64" t="s">
        <v>61</v>
      </c>
      <c r="F51" t="s">
        <v>53</v>
      </c>
      <c r="G51" t="s">
        <v>54</v>
      </c>
      <c r="H51" t="s">
        <v>55</v>
      </c>
      <c r="I51" t="s">
        <v>858</v>
      </c>
      <c r="J51">
        <v>0.94</v>
      </c>
      <c r="K51" s="65">
        <v>43830</v>
      </c>
      <c r="L51">
        <v>3639448000</v>
      </c>
      <c r="M51">
        <v>1257910000</v>
      </c>
      <c r="N51">
        <v>6051117000</v>
      </c>
      <c r="O51">
        <v>6056262000</v>
      </c>
      <c r="P51">
        <v>5910702000</v>
      </c>
    </row>
    <row r="52" spans="1:21">
      <c r="A52" s="60" t="s">
        <v>202</v>
      </c>
      <c r="B52" s="60" t="s">
        <v>203</v>
      </c>
      <c r="C52" s="60" t="s">
        <v>204</v>
      </c>
      <c r="D52" t="s">
        <v>52</v>
      </c>
      <c r="E52" s="64" t="s">
        <v>61</v>
      </c>
      <c r="F52" t="s">
        <v>95</v>
      </c>
      <c r="G52" t="s">
        <v>54</v>
      </c>
      <c r="H52" t="s">
        <v>55</v>
      </c>
      <c r="I52" t="s">
        <v>858</v>
      </c>
      <c r="J52">
        <v>0.94</v>
      </c>
      <c r="K52" s="65">
        <v>43830</v>
      </c>
      <c r="L52">
        <v>16580000000</v>
      </c>
      <c r="M52">
        <v>22588858000</v>
      </c>
      <c r="N52">
        <v>19336696000</v>
      </c>
      <c r="O52">
        <v>20871301000</v>
      </c>
      <c r="P52">
        <v>18344666000</v>
      </c>
    </row>
    <row r="53" spans="1:21">
      <c r="A53" s="60" t="s">
        <v>564</v>
      </c>
      <c r="B53" s="60" t="s">
        <v>529</v>
      </c>
      <c r="C53" s="60" t="s">
        <v>528</v>
      </c>
      <c r="D53" s="88" t="s">
        <v>52</v>
      </c>
      <c r="E53" s="64"/>
      <c r="F53" t="s">
        <v>1052</v>
      </c>
      <c r="G53" t="s">
        <v>54</v>
      </c>
      <c r="H53" t="s">
        <v>55</v>
      </c>
      <c r="I53" t="s">
        <v>858</v>
      </c>
      <c r="J53">
        <v>0.94</v>
      </c>
      <c r="K53" s="65">
        <v>44561</v>
      </c>
      <c r="L53" s="4">
        <v>27070000000</v>
      </c>
      <c r="M53" s="4">
        <v>25956000000</v>
      </c>
      <c r="N53">
        <f>72945000000</f>
        <v>72945000000</v>
      </c>
      <c r="O53">
        <f>N53+2788000000</f>
        <v>75733000000</v>
      </c>
      <c r="P53" s="4">
        <v>75036000000</v>
      </c>
    </row>
    <row r="54" spans="1:21">
      <c r="A54" s="60" t="s">
        <v>205</v>
      </c>
      <c r="B54" s="60" t="s">
        <v>206</v>
      </c>
      <c r="C54" s="60" t="s">
        <v>207</v>
      </c>
      <c r="D54" t="s">
        <v>52</v>
      </c>
      <c r="E54" s="64"/>
      <c r="F54" t="s">
        <v>53</v>
      </c>
      <c r="G54" t="s">
        <v>54</v>
      </c>
      <c r="H54" t="s">
        <v>55</v>
      </c>
      <c r="I54" t="s">
        <v>858</v>
      </c>
      <c r="J54">
        <v>0.94</v>
      </c>
      <c r="K54" s="65">
        <v>44196</v>
      </c>
      <c r="L54">
        <v>6077156282</v>
      </c>
      <c r="M54">
        <v>2231600000</v>
      </c>
      <c r="N54">
        <v>6077156282</v>
      </c>
      <c r="O54">
        <v>6077156282</v>
      </c>
      <c r="P54">
        <v>11024300000</v>
      </c>
    </row>
    <row r="55" spans="1:21">
      <c r="A55" s="60" t="s">
        <v>1226</v>
      </c>
      <c r="B55" s="60" t="s">
        <v>1227</v>
      </c>
      <c r="C55" s="60" t="s">
        <v>1228</v>
      </c>
      <c r="D55" t="s">
        <v>1229</v>
      </c>
      <c r="E55" s="64" t="s">
        <v>90</v>
      </c>
      <c r="F55" t="s">
        <v>75</v>
      </c>
      <c r="G55" t="s">
        <v>54</v>
      </c>
      <c r="H55" t="s">
        <v>1230</v>
      </c>
      <c r="I55" t="s">
        <v>858</v>
      </c>
      <c r="J55">
        <v>0.13</v>
      </c>
      <c r="K55" s="65">
        <v>44926</v>
      </c>
      <c r="L55">
        <v>230074137960</v>
      </c>
      <c r="M55" s="4">
        <v>132300000000</v>
      </c>
      <c r="N55" s="4">
        <f>L55+R55</f>
        <v>260645137960</v>
      </c>
      <c r="O55" s="4">
        <f>N55+S55</f>
        <v>276820137960</v>
      </c>
      <c r="P55" s="4">
        <v>314142000000</v>
      </c>
      <c r="R55" s="282">
        <v>30571000000</v>
      </c>
      <c r="S55" s="282">
        <v>16175000000</v>
      </c>
      <c r="T55" s="210"/>
      <c r="U55" s="210"/>
    </row>
    <row r="56" spans="1:21">
      <c r="A56" s="60" t="s">
        <v>565</v>
      </c>
      <c r="B56" s="60" t="s">
        <v>529</v>
      </c>
      <c r="C56" s="60" t="s">
        <v>609</v>
      </c>
      <c r="D56" s="88" t="s">
        <v>52</v>
      </c>
      <c r="E56" s="64"/>
      <c r="F56" t="s">
        <v>1051</v>
      </c>
      <c r="G56" t="s">
        <v>54</v>
      </c>
      <c r="H56" t="s">
        <v>55</v>
      </c>
      <c r="I56" t="s">
        <v>858</v>
      </c>
      <c r="J56">
        <v>0.94</v>
      </c>
      <c r="K56" s="65">
        <v>44561</v>
      </c>
      <c r="L56" s="4">
        <v>27070000000</v>
      </c>
      <c r="M56" s="4">
        <v>25956000000</v>
      </c>
      <c r="N56">
        <f>72945000000</f>
        <v>72945000000</v>
      </c>
      <c r="O56">
        <f>N56+2788000000</f>
        <v>75733000000</v>
      </c>
      <c r="P56" s="4">
        <v>75036000000</v>
      </c>
    </row>
    <row r="57" spans="1:21">
      <c r="A57" s="60" t="s">
        <v>568</v>
      </c>
      <c r="B57" s="60" t="s">
        <v>529</v>
      </c>
      <c r="C57" s="60" t="s">
        <v>610</v>
      </c>
      <c r="D57" s="88" t="s">
        <v>52</v>
      </c>
      <c r="E57" s="64"/>
      <c r="F57" t="s">
        <v>550</v>
      </c>
      <c r="G57" t="s">
        <v>54</v>
      </c>
      <c r="H57" t="s">
        <v>55</v>
      </c>
      <c r="I57" t="s">
        <v>858</v>
      </c>
      <c r="J57">
        <v>0.94</v>
      </c>
      <c r="K57" s="65">
        <v>44561</v>
      </c>
      <c r="L57" s="4">
        <v>27070000000</v>
      </c>
      <c r="M57" s="4">
        <v>25956000000</v>
      </c>
      <c r="N57">
        <f>72945000000</f>
        <v>72945000000</v>
      </c>
      <c r="O57">
        <f>N57+2788000000</f>
        <v>75733000000</v>
      </c>
      <c r="P57" s="4">
        <v>75036000000</v>
      </c>
    </row>
    <row r="58" spans="1:21">
      <c r="A58" s="60" t="s">
        <v>208</v>
      </c>
      <c r="B58" s="60" t="s">
        <v>209</v>
      </c>
      <c r="C58" s="60" t="s">
        <v>210</v>
      </c>
      <c r="D58" t="s">
        <v>170</v>
      </c>
      <c r="E58" s="64"/>
      <c r="F58" t="s">
        <v>1051</v>
      </c>
      <c r="G58" t="s">
        <v>54</v>
      </c>
      <c r="H58" t="s">
        <v>55</v>
      </c>
      <c r="I58" t="s">
        <v>858</v>
      </c>
      <c r="J58">
        <v>0.94</v>
      </c>
      <c r="K58" s="65">
        <v>44561</v>
      </c>
      <c r="L58">
        <v>69590000000</v>
      </c>
      <c r="M58">
        <v>83970000000</v>
      </c>
      <c r="N58">
        <v>656100000000</v>
      </c>
      <c r="O58">
        <v>756370000000</v>
      </c>
      <c r="P58">
        <v>174000000000</v>
      </c>
    </row>
    <row r="59" spans="1:21">
      <c r="A59" s="60" t="s">
        <v>211</v>
      </c>
      <c r="B59" s="60" t="s">
        <v>212</v>
      </c>
      <c r="C59" s="60" t="s">
        <v>213</v>
      </c>
      <c r="D59" t="s">
        <v>214</v>
      </c>
      <c r="E59" s="64"/>
      <c r="F59" t="s">
        <v>1051</v>
      </c>
      <c r="G59" t="s">
        <v>54</v>
      </c>
      <c r="H59" t="s">
        <v>55</v>
      </c>
      <c r="I59" t="s">
        <v>858</v>
      </c>
      <c r="J59">
        <v>0.94</v>
      </c>
      <c r="K59" s="65">
        <v>44561</v>
      </c>
      <c r="L59">
        <v>1</v>
      </c>
      <c r="M59">
        <v>59371200000</v>
      </c>
      <c r="N59">
        <v>1</v>
      </c>
      <c r="O59">
        <v>1</v>
      </c>
      <c r="P59">
        <v>152019000000</v>
      </c>
    </row>
    <row r="60" spans="1:21">
      <c r="A60" s="60" t="s">
        <v>216</v>
      </c>
      <c r="B60" s="60" t="s">
        <v>217</v>
      </c>
      <c r="C60" s="60" t="s">
        <v>218</v>
      </c>
      <c r="D60" t="s">
        <v>52</v>
      </c>
      <c r="E60" s="64" t="s">
        <v>61</v>
      </c>
      <c r="F60" t="s">
        <v>53</v>
      </c>
      <c r="G60" t="s">
        <v>54</v>
      </c>
      <c r="H60" t="s">
        <v>55</v>
      </c>
      <c r="I60" t="s">
        <v>858</v>
      </c>
      <c r="J60">
        <v>0.94</v>
      </c>
      <c r="K60" s="65">
        <v>43830</v>
      </c>
      <c r="L60">
        <v>12130000000</v>
      </c>
      <c r="M60">
        <v>17129000000</v>
      </c>
      <c r="N60">
        <v>32736000000</v>
      </c>
      <c r="O60">
        <v>34306000000</v>
      </c>
      <c r="P60">
        <v>85196000000</v>
      </c>
    </row>
    <row r="61" spans="1:21">
      <c r="A61" s="60" t="s">
        <v>229</v>
      </c>
      <c r="B61" s="60" t="s">
        <v>230</v>
      </c>
      <c r="C61" s="60" t="s">
        <v>231</v>
      </c>
      <c r="D61" t="s">
        <v>52</v>
      </c>
      <c r="E61" s="64" t="s">
        <v>61</v>
      </c>
      <c r="F61" t="s">
        <v>53</v>
      </c>
      <c r="G61" t="s">
        <v>54</v>
      </c>
      <c r="H61" t="s">
        <v>55</v>
      </c>
      <c r="I61" t="s">
        <v>858</v>
      </c>
      <c r="J61">
        <v>0.94</v>
      </c>
      <c r="K61" s="65">
        <v>43830</v>
      </c>
      <c r="L61">
        <v>10536165750</v>
      </c>
      <c r="M61">
        <v>3471209000</v>
      </c>
      <c r="N61">
        <v>16720274750</v>
      </c>
      <c r="O61">
        <v>16730557750</v>
      </c>
      <c r="P61">
        <v>18479247000</v>
      </c>
    </row>
    <row r="62" spans="1:21">
      <c r="A62" s="60" t="s">
        <v>219</v>
      </c>
      <c r="B62" s="60" t="s">
        <v>220</v>
      </c>
      <c r="C62" s="60" t="s">
        <v>221</v>
      </c>
      <c r="D62" t="s">
        <v>52</v>
      </c>
      <c r="E62" s="64" t="s">
        <v>61</v>
      </c>
      <c r="F62" t="s">
        <v>53</v>
      </c>
      <c r="G62" t="s">
        <v>54</v>
      </c>
      <c r="H62" t="s">
        <v>55</v>
      </c>
      <c r="I62" t="s">
        <v>858</v>
      </c>
      <c r="J62">
        <v>0.94</v>
      </c>
      <c r="K62" s="65">
        <v>43830</v>
      </c>
      <c r="L62">
        <v>4055165998</v>
      </c>
      <c r="M62">
        <v>1457603000</v>
      </c>
      <c r="N62">
        <v>6568781998</v>
      </c>
      <c r="O62">
        <v>6572614998</v>
      </c>
      <c r="P62">
        <v>7298774000</v>
      </c>
    </row>
    <row r="63" spans="1:21">
      <c r="A63" s="60" t="s">
        <v>232</v>
      </c>
      <c r="B63" s="60" t="s">
        <v>233</v>
      </c>
      <c r="C63" s="60" t="s">
        <v>234</v>
      </c>
      <c r="D63" t="s">
        <v>52</v>
      </c>
      <c r="E63" s="64" t="s">
        <v>61</v>
      </c>
      <c r="F63" t="s">
        <v>53</v>
      </c>
      <c r="G63" t="s">
        <v>54</v>
      </c>
      <c r="H63" t="s">
        <v>55</v>
      </c>
      <c r="I63" t="s">
        <v>858</v>
      </c>
      <c r="J63">
        <v>0.94</v>
      </c>
      <c r="K63" s="65">
        <v>43830</v>
      </c>
      <c r="L63">
        <v>4823580272</v>
      </c>
      <c r="M63">
        <v>2123000000</v>
      </c>
      <c r="N63">
        <v>7832580272</v>
      </c>
      <c r="O63">
        <v>7862580272</v>
      </c>
      <c r="P63">
        <v>8394000000</v>
      </c>
    </row>
    <row r="64" spans="1:21">
      <c r="A64" s="60" t="s">
        <v>222</v>
      </c>
      <c r="B64" s="60" t="s">
        <v>223</v>
      </c>
      <c r="C64" s="60" t="s">
        <v>224</v>
      </c>
      <c r="D64" t="s">
        <v>225</v>
      </c>
      <c r="E64" s="64" t="s">
        <v>195</v>
      </c>
      <c r="F64" t="s">
        <v>95</v>
      </c>
      <c r="G64" t="s">
        <v>54</v>
      </c>
      <c r="H64" t="s">
        <v>55</v>
      </c>
      <c r="I64" t="s">
        <v>858</v>
      </c>
      <c r="J64">
        <v>0.94</v>
      </c>
      <c r="K64" s="65">
        <v>43830</v>
      </c>
      <c r="L64">
        <v>20260000000</v>
      </c>
      <c r="M64">
        <v>55955872344.100899</v>
      </c>
      <c r="N64">
        <v>20260000000</v>
      </c>
      <c r="O64">
        <v>20260000000</v>
      </c>
      <c r="P64">
        <v>68553124892.036598</v>
      </c>
    </row>
    <row r="65" spans="1:16">
      <c r="A65" s="60" t="s">
        <v>226</v>
      </c>
      <c r="B65" s="60" t="s">
        <v>227</v>
      </c>
      <c r="C65" s="60" t="s">
        <v>228</v>
      </c>
      <c r="D65" t="s">
        <v>52</v>
      </c>
      <c r="E65" s="64" t="s">
        <v>61</v>
      </c>
      <c r="F65" t="s">
        <v>53</v>
      </c>
      <c r="G65" t="s">
        <v>54</v>
      </c>
      <c r="H65" t="s">
        <v>55</v>
      </c>
      <c r="I65" t="s">
        <v>858</v>
      </c>
      <c r="J65">
        <v>0.94</v>
      </c>
      <c r="K65" s="65">
        <v>43830</v>
      </c>
      <c r="L65">
        <v>22384264788</v>
      </c>
      <c r="M65">
        <v>7769000000</v>
      </c>
      <c r="N65">
        <v>43462264788</v>
      </c>
      <c r="O65">
        <v>44277264788</v>
      </c>
      <c r="P65">
        <v>45680000000</v>
      </c>
    </row>
    <row r="66" spans="1:16">
      <c r="A66" s="60" t="s">
        <v>235</v>
      </c>
      <c r="B66" s="60" t="s">
        <v>236</v>
      </c>
      <c r="C66" s="60" t="s">
        <v>237</v>
      </c>
      <c r="D66" t="s">
        <v>52</v>
      </c>
      <c r="E66" s="64" t="s">
        <v>61</v>
      </c>
      <c r="F66" t="s">
        <v>53</v>
      </c>
      <c r="G66" t="s">
        <v>54</v>
      </c>
      <c r="H66" t="s">
        <v>55</v>
      </c>
      <c r="I66" t="s">
        <v>858</v>
      </c>
      <c r="J66">
        <v>0.94</v>
      </c>
      <c r="K66" s="65">
        <v>43830</v>
      </c>
      <c r="L66">
        <v>29513402185</v>
      </c>
      <c r="M66">
        <v>10076000000</v>
      </c>
      <c r="N66">
        <v>46089402185</v>
      </c>
      <c r="O66">
        <v>46236402185</v>
      </c>
      <c r="P66">
        <v>47730000000</v>
      </c>
    </row>
    <row r="67" spans="1:16">
      <c r="A67" s="60" t="s">
        <v>520</v>
      </c>
      <c r="B67" s="60" t="s">
        <v>521</v>
      </c>
      <c r="C67" s="60" t="s">
        <v>522</v>
      </c>
      <c r="D67" t="s">
        <v>83</v>
      </c>
      <c r="E67" s="64"/>
      <c r="F67" t="s">
        <v>53</v>
      </c>
      <c r="G67" t="s">
        <v>54</v>
      </c>
      <c r="H67" t="s">
        <v>55</v>
      </c>
      <c r="I67" t="s">
        <v>858</v>
      </c>
      <c r="J67">
        <v>0.94</v>
      </c>
      <c r="K67" s="65">
        <v>44561</v>
      </c>
      <c r="L67" s="4">
        <v>27350000000</v>
      </c>
      <c r="M67" s="4">
        <v>29017000000</v>
      </c>
      <c r="N67" s="4">
        <v>16000000000</v>
      </c>
      <c r="O67" s="4">
        <f>N67+16404000000</f>
        <v>32404000000</v>
      </c>
      <c r="P67" s="4">
        <v>168366000000</v>
      </c>
    </row>
    <row r="68" spans="1:16">
      <c r="A68" s="60" t="s">
        <v>238</v>
      </c>
      <c r="B68" s="60" t="s">
        <v>239</v>
      </c>
      <c r="C68" s="60" t="s">
        <v>240</v>
      </c>
      <c r="D68" t="s">
        <v>241</v>
      </c>
      <c r="E68" s="64"/>
      <c r="F68" t="s">
        <v>1051</v>
      </c>
      <c r="G68" t="s">
        <v>54</v>
      </c>
      <c r="H68" t="s">
        <v>55</v>
      </c>
      <c r="I68" t="s">
        <v>858</v>
      </c>
      <c r="J68">
        <v>0.94</v>
      </c>
      <c r="K68" s="65">
        <v>44561</v>
      </c>
      <c r="L68">
        <v>1908000000000</v>
      </c>
      <c r="M68">
        <v>359460000000</v>
      </c>
      <c r="N68">
        <v>7400000000000</v>
      </c>
      <c r="O68">
        <v>7756460000000</v>
      </c>
      <c r="P68">
        <v>576700000000</v>
      </c>
    </row>
    <row r="69" spans="1:16">
      <c r="A69" s="60" t="s">
        <v>242</v>
      </c>
      <c r="B69" s="60" t="s">
        <v>243</v>
      </c>
      <c r="C69" s="60" t="s">
        <v>244</v>
      </c>
      <c r="D69" t="s">
        <v>52</v>
      </c>
      <c r="E69" s="64" t="s">
        <v>61</v>
      </c>
      <c r="F69" t="s">
        <v>53</v>
      </c>
      <c r="G69" t="s">
        <v>54</v>
      </c>
      <c r="H69" t="s">
        <v>55</v>
      </c>
      <c r="I69" t="s">
        <v>858</v>
      </c>
      <c r="J69">
        <v>0.94</v>
      </c>
      <c r="K69" s="65">
        <v>43830</v>
      </c>
      <c r="L69">
        <v>37700000000</v>
      </c>
      <c r="M69">
        <v>10829000000</v>
      </c>
      <c r="N69">
        <v>58377000000</v>
      </c>
      <c r="O69">
        <v>58485000000</v>
      </c>
      <c r="P69">
        <v>65665000000</v>
      </c>
    </row>
    <row r="70" spans="1:16">
      <c r="A70" s="60" t="s">
        <v>245</v>
      </c>
      <c r="B70" s="60" t="s">
        <v>246</v>
      </c>
      <c r="C70" s="60" t="s">
        <v>247</v>
      </c>
      <c r="D70" t="s">
        <v>89</v>
      </c>
      <c r="E70" s="64" t="s">
        <v>90</v>
      </c>
      <c r="F70" t="s">
        <v>1051</v>
      </c>
      <c r="G70" t="s">
        <v>54</v>
      </c>
      <c r="H70" t="s">
        <v>55</v>
      </c>
      <c r="I70" t="s">
        <v>858</v>
      </c>
      <c r="J70">
        <v>0.94</v>
      </c>
      <c r="K70" s="65">
        <v>44561</v>
      </c>
      <c r="L70">
        <v>89760000000</v>
      </c>
      <c r="M70">
        <v>261500000000</v>
      </c>
      <c r="N70">
        <v>147090000000</v>
      </c>
      <c r="O70">
        <v>186060000000</v>
      </c>
      <c r="P70">
        <v>404379000000</v>
      </c>
    </row>
    <row r="71" spans="1:16">
      <c r="A71" s="60" t="s">
        <v>249</v>
      </c>
      <c r="B71" s="60" t="s">
        <v>250</v>
      </c>
      <c r="C71" s="60" t="s">
        <v>251</v>
      </c>
      <c r="D71" t="s">
        <v>252</v>
      </c>
      <c r="E71" s="64"/>
      <c r="F71" t="s">
        <v>1051</v>
      </c>
      <c r="G71" t="s">
        <v>54</v>
      </c>
      <c r="H71" t="s">
        <v>55</v>
      </c>
      <c r="I71" t="s">
        <v>858</v>
      </c>
      <c r="J71">
        <v>0.94</v>
      </c>
      <c r="K71" s="65">
        <v>44561</v>
      </c>
      <c r="L71">
        <v>75290000000</v>
      </c>
      <c r="M71">
        <v>401300000000</v>
      </c>
      <c r="N71">
        <v>778290000000</v>
      </c>
      <c r="O71">
        <v>1013240000000</v>
      </c>
      <c r="P71">
        <v>44619130000</v>
      </c>
    </row>
    <row r="72" spans="1:16">
      <c r="A72" s="60" t="s">
        <v>253</v>
      </c>
      <c r="B72" s="60" t="s">
        <v>254</v>
      </c>
      <c r="C72" s="60" t="s">
        <v>255</v>
      </c>
      <c r="D72" t="s">
        <v>225</v>
      </c>
      <c r="E72" s="64"/>
      <c r="F72" t="s">
        <v>1051</v>
      </c>
      <c r="G72" t="s">
        <v>54</v>
      </c>
      <c r="H72" t="s">
        <v>55</v>
      </c>
      <c r="I72" t="s">
        <v>858</v>
      </c>
      <c r="J72">
        <v>0.94</v>
      </c>
      <c r="K72" s="65">
        <v>44561</v>
      </c>
      <c r="L72">
        <v>16740000000</v>
      </c>
      <c r="M72">
        <v>40270000000</v>
      </c>
      <c r="N72">
        <v>25217920941.39727</v>
      </c>
      <c r="O72">
        <v>34470660446.24617</v>
      </c>
      <c r="P72">
        <v>41687797260.028313</v>
      </c>
    </row>
    <row r="73" spans="1:16">
      <c r="A73" s="60" t="s">
        <v>257</v>
      </c>
      <c r="B73" s="60" t="s">
        <v>258</v>
      </c>
      <c r="C73" s="60" t="s">
        <v>259</v>
      </c>
      <c r="D73" t="s">
        <v>52</v>
      </c>
      <c r="E73" s="64" t="s">
        <v>61</v>
      </c>
      <c r="F73" t="s">
        <v>53</v>
      </c>
      <c r="G73" t="s">
        <v>54</v>
      </c>
      <c r="H73" t="s">
        <v>55</v>
      </c>
      <c r="I73" t="s">
        <v>858</v>
      </c>
      <c r="J73">
        <v>0.94</v>
      </c>
      <c r="K73" s="65">
        <v>43830</v>
      </c>
      <c r="L73">
        <v>57800000000</v>
      </c>
      <c r="M73">
        <v>21419000000</v>
      </c>
      <c r="N73">
        <v>97623000000</v>
      </c>
      <c r="O73">
        <v>99598000000</v>
      </c>
      <c r="P73">
        <v>118700000000</v>
      </c>
    </row>
    <row r="74" spans="1:16">
      <c r="A74" s="60" t="s">
        <v>260</v>
      </c>
      <c r="B74" s="60" t="s">
        <v>261</v>
      </c>
      <c r="C74" s="60" t="s">
        <v>262</v>
      </c>
      <c r="D74" t="s">
        <v>52</v>
      </c>
      <c r="E74" s="64" t="s">
        <v>61</v>
      </c>
      <c r="F74" t="s">
        <v>95</v>
      </c>
      <c r="G74" t="s">
        <v>54</v>
      </c>
      <c r="H74" t="s">
        <v>55</v>
      </c>
      <c r="I74" t="s">
        <v>858</v>
      </c>
      <c r="J74">
        <v>0.94</v>
      </c>
      <c r="K74" s="65">
        <v>43830</v>
      </c>
      <c r="L74">
        <v>5000000000</v>
      </c>
      <c r="M74">
        <v>10464991000</v>
      </c>
      <c r="N74">
        <v>6352884000</v>
      </c>
      <c r="O74">
        <v>7734344000</v>
      </c>
      <c r="P74">
        <v>8275765000</v>
      </c>
    </row>
    <row r="75" spans="1:16">
      <c r="A75" s="60" t="s">
        <v>263</v>
      </c>
      <c r="B75" s="60" t="s">
        <v>264</v>
      </c>
      <c r="C75" s="60" t="s">
        <v>265</v>
      </c>
      <c r="D75" t="s">
        <v>162</v>
      </c>
      <c r="E75" s="64" t="s">
        <v>61</v>
      </c>
      <c r="F75" t="s">
        <v>75</v>
      </c>
      <c r="G75" t="s">
        <v>54</v>
      </c>
      <c r="H75" t="s">
        <v>55</v>
      </c>
      <c r="I75" t="s">
        <v>858</v>
      </c>
      <c r="J75">
        <v>0.94</v>
      </c>
      <c r="K75" s="65">
        <v>43830</v>
      </c>
      <c r="L75">
        <v>50030000000</v>
      </c>
      <c r="M75">
        <v>10175225448.559799</v>
      </c>
      <c r="N75">
        <v>50030000000</v>
      </c>
      <c r="O75">
        <v>50030000000</v>
      </c>
      <c r="P75">
        <v>76211709340.442902</v>
      </c>
    </row>
    <row r="76" spans="1:16">
      <c r="A76" s="60" t="s">
        <v>266</v>
      </c>
      <c r="B76" s="60" t="s">
        <v>267</v>
      </c>
      <c r="C76" s="60" t="s">
        <v>268</v>
      </c>
      <c r="D76" t="s">
        <v>269</v>
      </c>
      <c r="E76" s="64" t="s">
        <v>90</v>
      </c>
      <c r="F76" t="s">
        <v>95</v>
      </c>
      <c r="G76" t="s">
        <v>54</v>
      </c>
      <c r="H76" t="s">
        <v>55</v>
      </c>
      <c r="I76" t="s">
        <v>858</v>
      </c>
      <c r="J76">
        <v>0.94</v>
      </c>
      <c r="K76" s="65">
        <v>43830</v>
      </c>
      <c r="L76">
        <v>590000000</v>
      </c>
      <c r="M76">
        <v>7294055000</v>
      </c>
      <c r="N76">
        <v>590000000</v>
      </c>
      <c r="O76">
        <v>590000000</v>
      </c>
      <c r="P76">
        <v>14842991000</v>
      </c>
    </row>
    <row r="77" spans="1:16">
      <c r="A77" s="60" t="s">
        <v>270</v>
      </c>
      <c r="B77" s="60" t="s">
        <v>271</v>
      </c>
      <c r="C77" s="60" t="s">
        <v>272</v>
      </c>
      <c r="D77" t="s">
        <v>194</v>
      </c>
      <c r="E77" s="64"/>
      <c r="F77" t="s">
        <v>53</v>
      </c>
      <c r="G77" t="s">
        <v>54</v>
      </c>
      <c r="H77" t="s">
        <v>55</v>
      </c>
      <c r="I77" t="s">
        <v>858</v>
      </c>
      <c r="J77">
        <v>0.94</v>
      </c>
      <c r="K77" s="65">
        <v>44561</v>
      </c>
      <c r="L77">
        <v>4140000000</v>
      </c>
      <c r="M77">
        <v>461314048710.8158</v>
      </c>
      <c r="N77">
        <v>39800000000</v>
      </c>
      <c r="O77">
        <v>46035502216.260452</v>
      </c>
      <c r="P77">
        <v>111638364676.0576</v>
      </c>
    </row>
    <row r="78" spans="1:16">
      <c r="A78" s="60" t="s">
        <v>523</v>
      </c>
      <c r="B78" s="60" t="s">
        <v>525</v>
      </c>
      <c r="C78" s="60" t="s">
        <v>524</v>
      </c>
      <c r="D78" t="s">
        <v>127</v>
      </c>
      <c r="E78" s="64"/>
      <c r="F78" t="s">
        <v>1051</v>
      </c>
      <c r="G78" t="s">
        <v>54</v>
      </c>
      <c r="H78" t="s">
        <v>55</v>
      </c>
      <c r="I78" t="s">
        <v>858</v>
      </c>
      <c r="J78">
        <v>0.94</v>
      </c>
      <c r="K78" s="65">
        <v>44561</v>
      </c>
      <c r="L78" s="4">
        <v>131650000000</v>
      </c>
      <c r="M78" s="4">
        <v>205860000000</v>
      </c>
      <c r="N78" s="4">
        <v>140400000000</v>
      </c>
      <c r="O78" s="4">
        <f>N78+33657000000</f>
        <v>174057000000</v>
      </c>
      <c r="P78" s="4">
        <v>293460000000</v>
      </c>
    </row>
    <row r="79" spans="1:16">
      <c r="A79" s="60" t="s">
        <v>273</v>
      </c>
      <c r="B79" s="60" t="s">
        <v>274</v>
      </c>
      <c r="C79" s="60" t="s">
        <v>275</v>
      </c>
      <c r="D79" t="s">
        <v>269</v>
      </c>
      <c r="E79" s="64" t="s">
        <v>90</v>
      </c>
      <c r="F79" t="s">
        <v>95</v>
      </c>
      <c r="G79" t="s">
        <v>54</v>
      </c>
      <c r="H79" t="s">
        <v>55</v>
      </c>
      <c r="I79" t="s">
        <v>858</v>
      </c>
      <c r="J79">
        <v>0.94</v>
      </c>
      <c r="K79" s="65">
        <v>43830</v>
      </c>
      <c r="L79">
        <v>352130000</v>
      </c>
      <c r="M79">
        <v>10192818000</v>
      </c>
      <c r="N79">
        <v>352130000</v>
      </c>
      <c r="O79">
        <v>352130000</v>
      </c>
      <c r="P79">
        <v>12935533000</v>
      </c>
    </row>
    <row r="80" spans="1:16">
      <c r="A80" s="60" t="s">
        <v>276</v>
      </c>
      <c r="B80" s="60" t="s">
        <v>277</v>
      </c>
      <c r="C80" s="60" t="s">
        <v>278</v>
      </c>
      <c r="D80" t="s">
        <v>52</v>
      </c>
      <c r="E80" s="64" t="s">
        <v>61</v>
      </c>
      <c r="F80" t="s">
        <v>84</v>
      </c>
      <c r="G80" t="s">
        <v>54</v>
      </c>
      <c r="H80" t="s">
        <v>55</v>
      </c>
      <c r="I80" t="s">
        <v>858</v>
      </c>
      <c r="J80">
        <v>0.94</v>
      </c>
      <c r="K80" s="65">
        <v>44561</v>
      </c>
      <c r="L80">
        <v>1061000000000</v>
      </c>
      <c r="M80">
        <v>53820000000</v>
      </c>
      <c r="N80">
        <v>1090000000000</v>
      </c>
      <c r="O80">
        <v>1108920000000</v>
      </c>
      <c r="P80">
        <v>62131000000</v>
      </c>
    </row>
    <row r="81" spans="1:21">
      <c r="A81" s="60" t="s">
        <v>279</v>
      </c>
      <c r="B81" s="60" t="s">
        <v>280</v>
      </c>
      <c r="C81" s="60" t="s">
        <v>281</v>
      </c>
      <c r="D81" t="s">
        <v>52</v>
      </c>
      <c r="E81" s="64" t="s">
        <v>61</v>
      </c>
      <c r="F81" t="s">
        <v>95</v>
      </c>
      <c r="G81" t="s">
        <v>54</v>
      </c>
      <c r="H81" t="s">
        <v>55</v>
      </c>
      <c r="I81" t="s">
        <v>858</v>
      </c>
      <c r="J81">
        <v>0.94</v>
      </c>
      <c r="K81" s="65">
        <v>43830</v>
      </c>
      <c r="L81">
        <v>337525844</v>
      </c>
      <c r="M81">
        <v>1208800000</v>
      </c>
      <c r="N81">
        <v>400425844</v>
      </c>
      <c r="O81">
        <v>427525844</v>
      </c>
      <c r="P81">
        <v>1085200000</v>
      </c>
    </row>
    <row r="82" spans="1:21">
      <c r="A82" s="60" t="s">
        <v>282</v>
      </c>
      <c r="B82" s="60" t="s">
        <v>283</v>
      </c>
      <c r="C82" s="60" t="s">
        <v>284</v>
      </c>
      <c r="D82" t="s">
        <v>194</v>
      </c>
      <c r="E82" s="64"/>
      <c r="F82" t="s">
        <v>84</v>
      </c>
      <c r="G82" t="s">
        <v>54</v>
      </c>
      <c r="H82" t="s">
        <v>55</v>
      </c>
      <c r="I82" t="s">
        <v>858</v>
      </c>
      <c r="J82">
        <v>0.94</v>
      </c>
      <c r="K82" s="65">
        <v>44196</v>
      </c>
      <c r="L82">
        <v>216000000000</v>
      </c>
      <c r="M82">
        <v>251620000000</v>
      </c>
      <c r="N82">
        <v>372000000000</v>
      </c>
      <c r="O82">
        <v>424400000000</v>
      </c>
      <c r="P82">
        <v>484660000000</v>
      </c>
    </row>
    <row r="83" spans="1:21">
      <c r="A83" s="60" t="s">
        <v>286</v>
      </c>
      <c r="B83" s="60" t="s">
        <v>287</v>
      </c>
      <c r="C83" s="60" t="s">
        <v>288</v>
      </c>
      <c r="D83" t="s">
        <v>52</v>
      </c>
      <c r="E83" s="64" t="s">
        <v>61</v>
      </c>
      <c r="F83" t="s">
        <v>95</v>
      </c>
      <c r="G83" t="s">
        <v>54</v>
      </c>
      <c r="H83" t="s">
        <v>55</v>
      </c>
      <c r="I83" t="s">
        <v>858</v>
      </c>
      <c r="J83">
        <v>0.94</v>
      </c>
      <c r="K83" s="65">
        <v>43830</v>
      </c>
      <c r="L83">
        <v>2600000000</v>
      </c>
      <c r="M83">
        <v>12937000000</v>
      </c>
      <c r="N83">
        <v>5630000000</v>
      </c>
      <c r="O83">
        <v>6379000000</v>
      </c>
      <c r="P83">
        <v>11608000000</v>
      </c>
    </row>
    <row r="84" spans="1:21">
      <c r="A84" s="60" t="s">
        <v>289</v>
      </c>
      <c r="B84" s="60" t="s">
        <v>290</v>
      </c>
      <c r="C84" s="60" t="s">
        <v>291</v>
      </c>
      <c r="D84" t="s">
        <v>292</v>
      </c>
      <c r="E84" s="64" t="s">
        <v>90</v>
      </c>
      <c r="F84" t="s">
        <v>53</v>
      </c>
      <c r="G84" t="s">
        <v>54</v>
      </c>
      <c r="H84" t="s">
        <v>55</v>
      </c>
      <c r="I84" t="s">
        <v>858</v>
      </c>
      <c r="J84">
        <v>0.94</v>
      </c>
      <c r="K84" s="65">
        <v>44561</v>
      </c>
      <c r="L84">
        <v>34359400000</v>
      </c>
      <c r="M84">
        <v>4776600000</v>
      </c>
      <c r="N84">
        <v>37551600000</v>
      </c>
      <c r="O84">
        <v>37870200000</v>
      </c>
      <c r="P84">
        <v>17111600000</v>
      </c>
    </row>
    <row r="85" spans="1:21">
      <c r="A85" s="60" t="s">
        <v>293</v>
      </c>
      <c r="B85" s="60" t="s">
        <v>294</v>
      </c>
      <c r="C85" s="60" t="s">
        <v>295</v>
      </c>
      <c r="D85" t="s">
        <v>162</v>
      </c>
      <c r="E85" s="64" t="s">
        <v>61</v>
      </c>
      <c r="F85" t="s">
        <v>53</v>
      </c>
      <c r="G85" t="s">
        <v>54</v>
      </c>
      <c r="H85" t="s">
        <v>55</v>
      </c>
      <c r="I85" t="s">
        <v>858</v>
      </c>
      <c r="J85">
        <v>0.94</v>
      </c>
      <c r="K85" s="65">
        <v>43830</v>
      </c>
      <c r="L85">
        <v>34359400000</v>
      </c>
      <c r="M85">
        <v>4691120536.8652601</v>
      </c>
      <c r="N85">
        <v>37551600000</v>
      </c>
      <c r="O85">
        <v>37870200000</v>
      </c>
      <c r="P85">
        <v>24443570632.443699</v>
      </c>
    </row>
    <row r="86" spans="1:21">
      <c r="A86" s="60" t="s">
        <v>296</v>
      </c>
      <c r="B86" s="60" t="s">
        <v>297</v>
      </c>
      <c r="C86" s="60" t="s">
        <v>298</v>
      </c>
      <c r="D86" t="s">
        <v>52</v>
      </c>
      <c r="E86" s="64" t="s">
        <v>61</v>
      </c>
      <c r="F86" t="s">
        <v>53</v>
      </c>
      <c r="G86" t="s">
        <v>54</v>
      </c>
      <c r="H86" t="s">
        <v>55</v>
      </c>
      <c r="I86" t="s">
        <v>858</v>
      </c>
      <c r="J86">
        <v>0.94</v>
      </c>
      <c r="K86" s="65">
        <v>44561</v>
      </c>
      <c r="L86">
        <v>10980000000</v>
      </c>
      <c r="M86">
        <v>12100000000</v>
      </c>
      <c r="N86">
        <v>24980000000</v>
      </c>
      <c r="O86">
        <v>26890000000</v>
      </c>
      <c r="P86">
        <v>29683000000</v>
      </c>
    </row>
    <row r="87" spans="1:21">
      <c r="A87" s="60" t="s">
        <v>299</v>
      </c>
      <c r="B87" s="60" t="s">
        <v>300</v>
      </c>
      <c r="C87" s="60" t="s">
        <v>301</v>
      </c>
      <c r="D87" t="s">
        <v>52</v>
      </c>
      <c r="E87" s="64" t="s">
        <v>61</v>
      </c>
      <c r="F87" t="s">
        <v>53</v>
      </c>
      <c r="G87" t="s">
        <v>54</v>
      </c>
      <c r="H87" t="s">
        <v>55</v>
      </c>
      <c r="I87" t="s">
        <v>858</v>
      </c>
      <c r="J87">
        <v>0.94</v>
      </c>
      <c r="K87" s="65">
        <v>43830</v>
      </c>
      <c r="L87">
        <v>26300000000</v>
      </c>
      <c r="M87">
        <v>7523100000</v>
      </c>
      <c r="N87">
        <v>38120800000</v>
      </c>
      <c r="O87">
        <v>38158300000</v>
      </c>
      <c r="P87">
        <v>34951800000</v>
      </c>
    </row>
    <row r="88" spans="1:21">
      <c r="A88" s="60" t="s">
        <v>302</v>
      </c>
      <c r="B88" s="60" t="s">
        <v>303</v>
      </c>
      <c r="C88" s="60" t="s">
        <v>304</v>
      </c>
      <c r="D88" t="s">
        <v>52</v>
      </c>
      <c r="E88" s="64" t="s">
        <v>61</v>
      </c>
      <c r="F88" t="s">
        <v>95</v>
      </c>
      <c r="G88" t="s">
        <v>54</v>
      </c>
      <c r="H88" t="s">
        <v>55</v>
      </c>
      <c r="I88" t="s">
        <v>858</v>
      </c>
      <c r="J88">
        <v>0.94</v>
      </c>
      <c r="K88" s="65">
        <v>43830</v>
      </c>
      <c r="L88">
        <v>1633376617</v>
      </c>
      <c r="M88">
        <v>3759556000</v>
      </c>
      <c r="N88">
        <v>2294113617</v>
      </c>
      <c r="O88">
        <v>2386476617</v>
      </c>
      <c r="P88">
        <v>2510796000</v>
      </c>
    </row>
    <row r="89" spans="1:21">
      <c r="A89" s="60" t="s">
        <v>305</v>
      </c>
      <c r="B89" s="60" t="s">
        <v>306</v>
      </c>
      <c r="C89" s="60" t="s">
        <v>307</v>
      </c>
      <c r="D89" t="s">
        <v>52</v>
      </c>
      <c r="E89" s="64" t="s">
        <v>61</v>
      </c>
      <c r="F89" t="s">
        <v>53</v>
      </c>
      <c r="G89" t="s">
        <v>54</v>
      </c>
      <c r="H89" t="s">
        <v>55</v>
      </c>
      <c r="I89" t="s">
        <v>858</v>
      </c>
      <c r="J89">
        <v>0.94</v>
      </c>
      <c r="K89" s="65">
        <v>43830</v>
      </c>
      <c r="L89">
        <v>30629347167</v>
      </c>
      <c r="M89">
        <v>11529000000</v>
      </c>
      <c r="N89">
        <v>50608347167</v>
      </c>
      <c r="O89">
        <v>50856347167</v>
      </c>
      <c r="P89">
        <v>50448000000</v>
      </c>
    </row>
    <row r="90" spans="1:21">
      <c r="A90" s="60" t="s">
        <v>308</v>
      </c>
      <c r="B90" s="60" t="s">
        <v>309</v>
      </c>
      <c r="C90" s="60" t="s">
        <v>310</v>
      </c>
      <c r="D90" t="s">
        <v>89</v>
      </c>
      <c r="E90" s="64"/>
      <c r="F90" t="s">
        <v>311</v>
      </c>
      <c r="G90" t="s">
        <v>54</v>
      </c>
      <c r="H90" t="s">
        <v>55</v>
      </c>
      <c r="I90" t="s">
        <v>858</v>
      </c>
      <c r="J90">
        <v>0.94</v>
      </c>
      <c r="K90" s="65">
        <v>44561</v>
      </c>
      <c r="L90">
        <v>2260000000</v>
      </c>
      <c r="M90">
        <v>9690000000</v>
      </c>
      <c r="N90">
        <v>1810000000</v>
      </c>
      <c r="O90">
        <v>2920000000</v>
      </c>
      <c r="P90">
        <v>4846000000</v>
      </c>
    </row>
    <row r="91" spans="1:21">
      <c r="A91" s="60" t="s">
        <v>312</v>
      </c>
      <c r="B91" s="60" t="s">
        <v>313</v>
      </c>
      <c r="C91" s="60" t="s">
        <v>314</v>
      </c>
      <c r="D91" t="s">
        <v>52</v>
      </c>
      <c r="E91" s="64"/>
      <c r="F91" t="s">
        <v>315</v>
      </c>
      <c r="G91" t="s">
        <v>54</v>
      </c>
      <c r="H91" t="s">
        <v>55</v>
      </c>
      <c r="I91" t="s">
        <v>858</v>
      </c>
      <c r="J91">
        <v>0.94</v>
      </c>
      <c r="K91" s="65">
        <v>44561</v>
      </c>
      <c r="L91">
        <v>36310000000</v>
      </c>
      <c r="M91">
        <v>27740000000</v>
      </c>
      <c r="N91">
        <v>37840000000</v>
      </c>
      <c r="O91">
        <v>39030000000</v>
      </c>
      <c r="P91">
        <v>22073000000</v>
      </c>
    </row>
    <row r="92" spans="1:21">
      <c r="A92" s="60" t="s">
        <v>854</v>
      </c>
      <c r="B92" s="154" t="s">
        <v>855</v>
      </c>
      <c r="C92" s="60" t="s">
        <v>856</v>
      </c>
      <c r="D92" s="64" t="s">
        <v>857</v>
      </c>
      <c r="E92" t="s">
        <v>90</v>
      </c>
      <c r="F92" t="s">
        <v>1057</v>
      </c>
      <c r="G92" t="s">
        <v>54</v>
      </c>
      <c r="H92" t="s">
        <v>858</v>
      </c>
      <c r="K92" s="107">
        <v>44561</v>
      </c>
      <c r="L92" s="142">
        <f>T92*U92</f>
        <v>72871621792.839996</v>
      </c>
      <c r="M92" s="142">
        <v>20458000000</v>
      </c>
      <c r="N92">
        <f t="shared" ref="N92:N110" si="0">L92+R92-S92</f>
        <v>91054621792.839996</v>
      </c>
      <c r="O92">
        <f t="shared" ref="O92:O110" si="1">L92+R92</f>
        <v>92890621792.839996</v>
      </c>
      <c r="P92" s="142">
        <v>41977000000</v>
      </c>
      <c r="R92" s="142">
        <f>10506000000+1033000000+382000000+5614000000+228000000+2256000000</f>
        <v>20019000000</v>
      </c>
      <c r="S92" s="142">
        <v>1836000000</v>
      </c>
      <c r="T92" s="142">
        <v>475291037</v>
      </c>
      <c r="U92">
        <v>153.32</v>
      </c>
    </row>
    <row r="93" spans="1:21">
      <c r="A93" s="60" t="s">
        <v>860</v>
      </c>
      <c r="B93" s="154"/>
      <c r="C93" s="60" t="s">
        <v>861</v>
      </c>
      <c r="D93" s="64" t="s">
        <v>862</v>
      </c>
      <c r="E93" t="s">
        <v>90</v>
      </c>
      <c r="F93" t="s">
        <v>1054</v>
      </c>
      <c r="G93" t="s">
        <v>54</v>
      </c>
      <c r="H93" t="s">
        <v>858</v>
      </c>
      <c r="K93" s="107">
        <v>44561</v>
      </c>
      <c r="L93" s="142">
        <f>T93*U93</f>
        <v>34247808540</v>
      </c>
      <c r="M93" s="142">
        <v>9204000000</v>
      </c>
      <c r="N93" s="142">
        <f t="shared" si="0"/>
        <v>33700808540</v>
      </c>
      <c r="O93" s="142">
        <f t="shared" si="1"/>
        <v>35261808540</v>
      </c>
      <c r="P93" s="142">
        <v>16013000000</v>
      </c>
      <c r="R93" s="142">
        <v>1014000000</v>
      </c>
      <c r="S93" s="142">
        <v>1561000000</v>
      </c>
      <c r="T93" s="56">
        <v>172968730</v>
      </c>
      <c r="U93">
        <v>198</v>
      </c>
    </row>
    <row r="94" spans="1:21">
      <c r="A94" s="60" t="s">
        <v>863</v>
      </c>
      <c r="B94" s="60"/>
      <c r="C94" s="60" t="s">
        <v>864</v>
      </c>
      <c r="D94" t="s">
        <v>857</v>
      </c>
      <c r="E94" s="64" t="s">
        <v>90</v>
      </c>
      <c r="F94" t="s">
        <v>1055</v>
      </c>
      <c r="G94" t="s">
        <v>54</v>
      </c>
      <c r="H94" t="s">
        <v>858</v>
      </c>
      <c r="K94" s="107">
        <v>44561</v>
      </c>
      <c r="L94">
        <f>232.5*1000000000</f>
        <v>232500000000</v>
      </c>
      <c r="M94">
        <f>32.28*1000000000</f>
        <v>32280000000</v>
      </c>
      <c r="N94">
        <f>219.4*1000000000</f>
        <v>219400000000</v>
      </c>
      <c r="O94">
        <f>N94+S94</f>
        <v>222119000000</v>
      </c>
      <c r="P94">
        <f>43.013*1000000000</f>
        <v>43013000000</v>
      </c>
      <c r="S94">
        <f>2.719*1000000000</f>
        <v>2719000000</v>
      </c>
    </row>
    <row r="95" spans="1:21">
      <c r="A95" s="60" t="s">
        <v>865</v>
      </c>
      <c r="B95" s="154"/>
      <c r="C95" s="60" t="s">
        <v>866</v>
      </c>
      <c r="D95" t="s">
        <v>867</v>
      </c>
      <c r="E95" s="64" t="s">
        <v>90</v>
      </c>
      <c r="F95" t="s">
        <v>1055</v>
      </c>
      <c r="G95" t="s">
        <v>54</v>
      </c>
      <c r="H95" t="s">
        <v>868</v>
      </c>
      <c r="I95" t="s">
        <v>858</v>
      </c>
      <c r="J95">
        <v>1.01</v>
      </c>
      <c r="K95" s="107">
        <v>44561</v>
      </c>
      <c r="L95" s="142">
        <f t="shared" ref="L95:L104" si="2">T95*U95</f>
        <v>44247344112</v>
      </c>
      <c r="M95" s="142">
        <v>6684000000</v>
      </c>
      <c r="N95" s="142">
        <f t="shared" si="0"/>
        <v>48368344112</v>
      </c>
      <c r="O95" s="142">
        <f t="shared" si="1"/>
        <v>48641344112</v>
      </c>
      <c r="P95" s="142">
        <v>11420000000</v>
      </c>
      <c r="R95" s="142">
        <v>4394000000</v>
      </c>
      <c r="S95" s="142">
        <v>273000000</v>
      </c>
      <c r="T95" s="56">
        <v>9233586</v>
      </c>
      <c r="U95" s="56">
        <v>4792</v>
      </c>
    </row>
    <row r="96" spans="1:21">
      <c r="A96" s="60" t="s">
        <v>869</v>
      </c>
      <c r="B96" s="154"/>
      <c r="C96" s="60" t="s">
        <v>870</v>
      </c>
      <c r="D96" t="s">
        <v>871</v>
      </c>
      <c r="E96" s="64" t="s">
        <v>90</v>
      </c>
      <c r="F96" t="s">
        <v>1057</v>
      </c>
      <c r="G96" t="s">
        <v>54</v>
      </c>
      <c r="H96" t="s">
        <v>858</v>
      </c>
      <c r="K96" s="107">
        <v>44561</v>
      </c>
      <c r="L96" s="142">
        <f t="shared" si="2"/>
        <v>56744930000</v>
      </c>
      <c r="M96" s="142">
        <v>78598000000</v>
      </c>
      <c r="N96" s="142">
        <f t="shared" si="0"/>
        <v>68472930000</v>
      </c>
      <c r="O96" s="142">
        <f t="shared" si="1"/>
        <v>71096930000</v>
      </c>
      <c r="P96" s="142">
        <v>87383000000</v>
      </c>
      <c r="R96" s="142">
        <v>14352000000</v>
      </c>
      <c r="S96" s="142">
        <v>2624000000</v>
      </c>
      <c r="T96" s="142">
        <v>918500000</v>
      </c>
      <c r="U96">
        <v>61.78</v>
      </c>
    </row>
    <row r="97" spans="1:21">
      <c r="A97" s="60" t="s">
        <v>872</v>
      </c>
      <c r="B97" s="154"/>
      <c r="C97" s="60" t="s">
        <v>873</v>
      </c>
      <c r="D97" t="s">
        <v>857</v>
      </c>
      <c r="E97" s="64" t="s">
        <v>90</v>
      </c>
      <c r="F97" t="s">
        <v>1057</v>
      </c>
      <c r="G97" t="s">
        <v>54</v>
      </c>
      <c r="H97" t="s">
        <v>858</v>
      </c>
      <c r="K97" s="107">
        <v>44561</v>
      </c>
      <c r="L97" s="142">
        <f>T97*U97</f>
        <v>9503812552.6000004</v>
      </c>
      <c r="M97" s="142">
        <v>9519000000</v>
      </c>
      <c r="N97" s="142">
        <f t="shared" si="0"/>
        <v>8395812552.6000004</v>
      </c>
      <c r="O97" s="142">
        <f t="shared" si="1"/>
        <v>10680812552.6</v>
      </c>
      <c r="P97" s="142">
        <v>12301000000</v>
      </c>
      <c r="R97" s="142">
        <v>1177000000</v>
      </c>
      <c r="S97" s="142">
        <v>2285000000</v>
      </c>
      <c r="T97" s="142">
        <v>76736476</v>
      </c>
      <c r="U97">
        <v>123.85</v>
      </c>
    </row>
    <row r="98" spans="1:21">
      <c r="A98" s="60" t="s">
        <v>874</v>
      </c>
      <c r="B98" s="154"/>
      <c r="C98" s="60" t="s">
        <v>875</v>
      </c>
      <c r="D98" t="s">
        <v>876</v>
      </c>
      <c r="E98" s="64" t="s">
        <v>90</v>
      </c>
      <c r="F98" t="s">
        <v>1057</v>
      </c>
      <c r="G98" t="s">
        <v>54</v>
      </c>
      <c r="H98" t="s">
        <v>55</v>
      </c>
      <c r="I98" t="s">
        <v>858</v>
      </c>
      <c r="J98">
        <v>0.94</v>
      </c>
      <c r="K98" s="107">
        <v>44561</v>
      </c>
      <c r="L98" s="142">
        <f t="shared" si="2"/>
        <v>176222316911.97</v>
      </c>
      <c r="M98" s="142">
        <v>30793000000</v>
      </c>
      <c r="N98" s="142">
        <f t="shared" si="0"/>
        <v>187606316911.97</v>
      </c>
      <c r="O98" s="142">
        <f t="shared" si="1"/>
        <v>190429316911.97</v>
      </c>
      <c r="P98" s="142">
        <v>81605000000</v>
      </c>
      <c r="R98" s="142">
        <v>14207000000</v>
      </c>
      <c r="S98" s="142">
        <v>2823000000</v>
      </c>
      <c r="T98" s="142">
        <v>508680879</v>
      </c>
      <c r="U98">
        <v>346.43</v>
      </c>
    </row>
    <row r="99" spans="1:21">
      <c r="A99" s="60" t="s">
        <v>877</v>
      </c>
      <c r="B99" s="154"/>
      <c r="C99" s="60" t="s">
        <v>878</v>
      </c>
      <c r="D99" t="s">
        <v>879</v>
      </c>
      <c r="E99" s="64" t="s">
        <v>90</v>
      </c>
      <c r="F99" t="s">
        <v>1056</v>
      </c>
      <c r="G99" t="s">
        <v>54</v>
      </c>
      <c r="H99" t="s">
        <v>880</v>
      </c>
      <c r="I99" t="s">
        <v>858</v>
      </c>
      <c r="J99">
        <v>0.09</v>
      </c>
      <c r="K99" s="107">
        <v>44561</v>
      </c>
      <c r="L99" s="142">
        <f t="shared" si="2"/>
        <v>29065778300</v>
      </c>
      <c r="M99" s="142">
        <v>11610000000</v>
      </c>
      <c r="N99" s="142">
        <f t="shared" si="0"/>
        <v>29240778300</v>
      </c>
      <c r="O99" s="142">
        <f t="shared" si="1"/>
        <v>30688778300</v>
      </c>
      <c r="P99" s="142">
        <v>10055000000</v>
      </c>
      <c r="R99" s="142">
        <v>1623000000</v>
      </c>
      <c r="S99" s="142">
        <v>1448000000</v>
      </c>
      <c r="T99" s="142">
        <v>269377000</v>
      </c>
      <c r="U99">
        <v>107.9</v>
      </c>
    </row>
    <row r="100" spans="1:21">
      <c r="A100" s="60" t="s">
        <v>881</v>
      </c>
      <c r="B100" s="154"/>
      <c r="C100" s="60" t="s">
        <v>882</v>
      </c>
      <c r="D100" t="s">
        <v>883</v>
      </c>
      <c r="E100" s="64" t="s">
        <v>195</v>
      </c>
      <c r="F100" t="s">
        <v>1057</v>
      </c>
      <c r="G100" t="s">
        <v>54</v>
      </c>
      <c r="H100" t="s">
        <v>884</v>
      </c>
      <c r="I100" t="s">
        <v>858</v>
      </c>
      <c r="J100">
        <v>7.1000000000000004E-3</v>
      </c>
      <c r="K100" s="107">
        <v>44651</v>
      </c>
      <c r="L100" s="142">
        <v>78291000000000</v>
      </c>
      <c r="M100" s="142">
        <v>2074400000000</v>
      </c>
      <c r="N100" s="142">
        <f t="shared" si="0"/>
        <v>77321032000000</v>
      </c>
      <c r="O100" s="142">
        <f t="shared" si="1"/>
        <v>78329957000000</v>
      </c>
      <c r="P100" s="142">
        <v>4053412000000</v>
      </c>
      <c r="R100" s="142">
        <v>38957000000</v>
      </c>
      <c r="S100" s="142">
        <v>1008925000000</v>
      </c>
      <c r="T100" s="142">
        <v>416662793</v>
      </c>
    </row>
    <row r="101" spans="1:21">
      <c r="A101" s="60" t="s">
        <v>885</v>
      </c>
      <c r="B101" s="154"/>
      <c r="C101" s="60" t="s">
        <v>886</v>
      </c>
      <c r="D101" t="s">
        <v>887</v>
      </c>
      <c r="E101" s="64"/>
      <c r="F101" t="s">
        <v>1055</v>
      </c>
      <c r="G101" t="s">
        <v>54</v>
      </c>
      <c r="H101" t="s">
        <v>888</v>
      </c>
      <c r="I101" t="s">
        <v>858</v>
      </c>
      <c r="J101">
        <v>1.1299999999999999</v>
      </c>
      <c r="K101" s="107">
        <v>44561</v>
      </c>
      <c r="L101" s="142">
        <f t="shared" si="2"/>
        <v>169770060000</v>
      </c>
      <c r="M101" s="142">
        <v>2329500000</v>
      </c>
      <c r="N101" s="142">
        <f t="shared" si="0"/>
        <v>169884260000</v>
      </c>
      <c r="O101" s="142">
        <f t="shared" si="1"/>
        <v>170389560000</v>
      </c>
      <c r="P101" s="142">
        <v>1531600000</v>
      </c>
      <c r="R101" s="142">
        <v>619500000</v>
      </c>
      <c r="S101" s="142">
        <v>505300000</v>
      </c>
      <c r="T101" s="142">
        <v>424850000</v>
      </c>
      <c r="U101">
        <v>399.6</v>
      </c>
    </row>
    <row r="102" spans="1:21">
      <c r="A102" s="60" t="s">
        <v>889</v>
      </c>
      <c r="B102" s="154"/>
      <c r="C102" s="60" t="s">
        <v>890</v>
      </c>
      <c r="D102" t="s">
        <v>891</v>
      </c>
      <c r="E102" s="64" t="s">
        <v>195</v>
      </c>
      <c r="F102" t="s">
        <v>1055</v>
      </c>
      <c r="G102" t="s">
        <v>54</v>
      </c>
      <c r="H102" t="s">
        <v>833</v>
      </c>
      <c r="I102" t="s">
        <v>858</v>
      </c>
      <c r="J102">
        <v>7.3999999999999999E-4</v>
      </c>
      <c r="K102" s="107">
        <v>44561</v>
      </c>
      <c r="L102" s="142">
        <v>17373080000000</v>
      </c>
      <c r="M102" s="142">
        <v>8091500000000</v>
      </c>
      <c r="N102" s="142">
        <f t="shared" si="0"/>
        <v>18695959390000</v>
      </c>
      <c r="O102" s="142">
        <f t="shared" si="1"/>
        <v>19430480000000</v>
      </c>
      <c r="P102" s="142">
        <v>7555200000000</v>
      </c>
      <c r="R102" s="142">
        <v>2057400000000</v>
      </c>
      <c r="S102" s="142">
        <v>734520610000</v>
      </c>
      <c r="T102" s="142"/>
      <c r="U102" s="142"/>
    </row>
    <row r="103" spans="1:21">
      <c r="A103" s="60" t="s">
        <v>892</v>
      </c>
      <c r="B103" s="154"/>
      <c r="C103" s="60" t="s">
        <v>893</v>
      </c>
      <c r="D103" t="s">
        <v>871</v>
      </c>
      <c r="E103" s="64" t="s">
        <v>90</v>
      </c>
      <c r="F103" t="s">
        <v>1055</v>
      </c>
      <c r="G103" t="s">
        <v>54</v>
      </c>
      <c r="H103" t="s">
        <v>858</v>
      </c>
      <c r="K103" s="107">
        <v>44561</v>
      </c>
      <c r="L103" s="142">
        <f t="shared" si="2"/>
        <v>10471440000</v>
      </c>
      <c r="M103" s="142">
        <v>15903000000</v>
      </c>
      <c r="N103" s="142">
        <f t="shared" si="0"/>
        <v>12329440000</v>
      </c>
      <c r="O103" s="142">
        <f t="shared" si="1"/>
        <v>12978440000</v>
      </c>
      <c r="P103" s="142">
        <v>15571000000</v>
      </c>
      <c r="R103" s="142">
        <v>2507000000</v>
      </c>
      <c r="S103" s="142">
        <v>649000000</v>
      </c>
      <c r="T103" s="142">
        <v>193200000</v>
      </c>
      <c r="U103">
        <v>54.2</v>
      </c>
    </row>
    <row r="104" spans="1:21">
      <c r="A104" s="60" t="s">
        <v>894</v>
      </c>
      <c r="B104" s="154"/>
      <c r="C104" s="60" t="s">
        <v>895</v>
      </c>
      <c r="D104" t="s">
        <v>857</v>
      </c>
      <c r="E104" s="64" t="s">
        <v>90</v>
      </c>
      <c r="F104" t="s">
        <v>1055</v>
      </c>
      <c r="G104" t="s">
        <v>54</v>
      </c>
      <c r="H104" t="s">
        <v>858</v>
      </c>
      <c r="K104" s="107">
        <v>44561</v>
      </c>
      <c r="L104" s="142">
        <f t="shared" si="2"/>
        <v>4203262801.5</v>
      </c>
      <c r="M104" s="142">
        <v>560827000</v>
      </c>
      <c r="N104" s="142">
        <f t="shared" si="0"/>
        <v>4224261801.5</v>
      </c>
      <c r="O104" s="142">
        <f t="shared" si="1"/>
        <v>4481945801.5</v>
      </c>
      <c r="P104" s="142">
        <v>822012000</v>
      </c>
      <c r="R104" s="142">
        <v>278683000</v>
      </c>
      <c r="S104" s="142">
        <v>257684000</v>
      </c>
      <c r="T104" s="142">
        <v>57187249</v>
      </c>
      <c r="U104">
        <v>73.5</v>
      </c>
    </row>
    <row r="105" spans="1:21">
      <c r="A105" s="60" t="s">
        <v>896</v>
      </c>
      <c r="B105" s="154"/>
      <c r="C105" s="60" t="s">
        <v>897</v>
      </c>
      <c r="D105" t="s">
        <v>898</v>
      </c>
      <c r="E105" s="64" t="s">
        <v>90</v>
      </c>
      <c r="F105" t="s">
        <v>1058</v>
      </c>
      <c r="G105" t="s">
        <v>54</v>
      </c>
      <c r="H105" t="s">
        <v>899</v>
      </c>
      <c r="I105" t="s">
        <v>858</v>
      </c>
      <c r="J105">
        <v>9.6000000000000002E-2</v>
      </c>
      <c r="K105" s="107">
        <v>44561</v>
      </c>
      <c r="L105" s="142">
        <v>22108000000</v>
      </c>
      <c r="M105" s="142">
        <v>5805000000</v>
      </c>
      <c r="N105" s="142">
        <f t="shared" si="0"/>
        <v>23528000000</v>
      </c>
      <c r="O105" s="142">
        <f t="shared" si="1"/>
        <v>23652000000</v>
      </c>
      <c r="P105" s="142">
        <v>7166000000</v>
      </c>
      <c r="Q105" s="142"/>
      <c r="R105" s="142">
        <v>1544000000</v>
      </c>
      <c r="S105" s="142">
        <v>124000000</v>
      </c>
    </row>
    <row r="106" spans="1:21">
      <c r="A106" s="60" t="s">
        <v>900</v>
      </c>
      <c r="B106" s="154"/>
      <c r="C106" s="60" t="s">
        <v>901</v>
      </c>
      <c r="D106" t="s">
        <v>871</v>
      </c>
      <c r="E106" s="64" t="s">
        <v>90</v>
      </c>
      <c r="F106" t="s">
        <v>1055</v>
      </c>
      <c r="G106" t="s">
        <v>54</v>
      </c>
      <c r="H106" t="s">
        <v>858</v>
      </c>
      <c r="K106" s="107">
        <v>44561</v>
      </c>
      <c r="L106" s="142">
        <v>18212300000</v>
      </c>
      <c r="M106" s="142">
        <v>3825700000</v>
      </c>
      <c r="N106" s="142">
        <f t="shared" si="0"/>
        <v>19105411000</v>
      </c>
      <c r="O106" s="142">
        <f t="shared" si="1"/>
        <v>19559219000</v>
      </c>
      <c r="P106" s="142">
        <v>6642738000</v>
      </c>
      <c r="Q106" s="142"/>
      <c r="R106" s="142">
        <v>1346919000</v>
      </c>
      <c r="S106" s="142">
        <v>453808000</v>
      </c>
    </row>
    <row r="107" spans="1:21">
      <c r="A107" s="60" t="s">
        <v>902</v>
      </c>
      <c r="B107" s="154"/>
      <c r="C107" s="60" t="s">
        <v>903</v>
      </c>
      <c r="D107" t="s">
        <v>883</v>
      </c>
      <c r="E107" s="64" t="s">
        <v>195</v>
      </c>
      <c r="F107" t="s">
        <v>1055</v>
      </c>
      <c r="G107" t="s">
        <v>54</v>
      </c>
      <c r="H107" t="s">
        <v>884</v>
      </c>
      <c r="I107" t="s">
        <v>858</v>
      </c>
      <c r="J107">
        <v>7.1000000000000004E-3</v>
      </c>
      <c r="K107" s="107">
        <v>44561</v>
      </c>
      <c r="L107" s="142">
        <v>271730000000</v>
      </c>
      <c r="M107" s="142">
        <v>258874000000</v>
      </c>
      <c r="N107" s="142">
        <f t="shared" si="0"/>
        <v>380295000000</v>
      </c>
      <c r="O107" s="142">
        <f t="shared" si="1"/>
        <v>444730000000</v>
      </c>
      <c r="P107" s="142">
        <v>256570000000</v>
      </c>
      <c r="Q107" s="142"/>
      <c r="R107" s="142">
        <v>173000000000</v>
      </c>
      <c r="S107" s="142">
        <v>64435000000</v>
      </c>
    </row>
    <row r="108" spans="1:21">
      <c r="A108" s="60" t="s">
        <v>904</v>
      </c>
      <c r="B108" s="154"/>
      <c r="C108" s="60" t="s">
        <v>905</v>
      </c>
      <c r="D108" t="s">
        <v>891</v>
      </c>
      <c r="E108" s="64" t="s">
        <v>195</v>
      </c>
      <c r="F108" t="s">
        <v>1057</v>
      </c>
      <c r="G108" t="s">
        <v>54</v>
      </c>
      <c r="H108" t="s">
        <v>833</v>
      </c>
      <c r="I108" t="s">
        <v>858</v>
      </c>
      <c r="J108">
        <v>7.3999999999999999E-4</v>
      </c>
      <c r="K108" s="107">
        <v>44561</v>
      </c>
      <c r="L108" s="142">
        <f>46*1000000000000</f>
        <v>46000000000000</v>
      </c>
      <c r="M108" s="142">
        <v>42655000000000</v>
      </c>
      <c r="N108" s="142">
        <f t="shared" si="0"/>
        <v>64837454000000</v>
      </c>
      <c r="O108" s="142">
        <f t="shared" si="1"/>
        <v>68598454000000</v>
      </c>
      <c r="P108" s="142">
        <v>51135000000000</v>
      </c>
      <c r="Q108" s="142"/>
      <c r="R108" s="142">
        <v>22598454000000</v>
      </c>
      <c r="S108" s="142">
        <v>3761000000000</v>
      </c>
    </row>
    <row r="109" spans="1:21">
      <c r="A109" s="60" t="s">
        <v>906</v>
      </c>
      <c r="B109" s="154"/>
      <c r="C109" s="60" t="s">
        <v>907</v>
      </c>
      <c r="D109" t="s">
        <v>883</v>
      </c>
      <c r="E109" s="64" t="s">
        <v>195</v>
      </c>
      <c r="F109" t="s">
        <v>1055</v>
      </c>
      <c r="G109" t="s">
        <v>54</v>
      </c>
      <c r="H109" t="s">
        <v>884</v>
      </c>
      <c r="I109" t="s">
        <v>858</v>
      </c>
      <c r="J109">
        <v>7.1000000000000004E-3</v>
      </c>
      <c r="K109" s="107">
        <v>44561</v>
      </c>
      <c r="L109" s="142">
        <f>T109*U109</f>
        <v>2562655974000</v>
      </c>
      <c r="M109" s="142">
        <v>1035165000000</v>
      </c>
      <c r="N109" s="142">
        <f t="shared" si="0"/>
        <v>2597134974000</v>
      </c>
      <c r="O109" s="142">
        <f t="shared" si="1"/>
        <v>2753637974000</v>
      </c>
      <c r="P109" s="142">
        <v>1179360000000</v>
      </c>
      <c r="Q109" s="142"/>
      <c r="R109" s="142">
        <v>190982000000</v>
      </c>
      <c r="S109" s="142">
        <v>156503000000</v>
      </c>
      <c r="T109" s="142">
        <v>399541000</v>
      </c>
      <c r="U109">
        <v>6414</v>
      </c>
    </row>
    <row r="110" spans="1:21">
      <c r="A110" s="154" t="s">
        <v>908</v>
      </c>
      <c r="B110" s="154"/>
      <c r="C110" s="154" t="s">
        <v>909</v>
      </c>
      <c r="D110" s="45" t="s">
        <v>883</v>
      </c>
      <c r="E110" s="156" t="s">
        <v>195</v>
      </c>
      <c r="F110" s="45" t="s">
        <v>1058</v>
      </c>
      <c r="G110" s="45" t="s">
        <v>54</v>
      </c>
      <c r="H110" s="45" t="s">
        <v>884</v>
      </c>
      <c r="I110" s="45" t="s">
        <v>858</v>
      </c>
      <c r="J110">
        <v>7.1000000000000004E-3</v>
      </c>
      <c r="K110" s="122">
        <v>44286</v>
      </c>
      <c r="L110" s="157">
        <f>T110*U110</f>
        <v>419386658564</v>
      </c>
      <c r="M110" s="157">
        <v>301961000000</v>
      </c>
      <c r="N110" s="157">
        <f t="shared" si="0"/>
        <v>374865658564</v>
      </c>
      <c r="O110" s="157">
        <f t="shared" si="1"/>
        <v>419386658564</v>
      </c>
      <c r="P110" s="157">
        <v>448800000000</v>
      </c>
      <c r="Q110" s="45"/>
      <c r="R110" s="45"/>
      <c r="S110" s="157">
        <v>44521000000</v>
      </c>
      <c r="T110" s="157">
        <v>237075556</v>
      </c>
      <c r="U110" s="45">
        <v>1769</v>
      </c>
    </row>
    <row r="111" spans="1:21">
      <c r="A111" s="60" t="s">
        <v>917</v>
      </c>
      <c r="B111" s="60" t="s">
        <v>918</v>
      </c>
      <c r="C111" s="60" t="s">
        <v>919</v>
      </c>
      <c r="D111" t="s">
        <v>876</v>
      </c>
      <c r="E111" s="64" t="s">
        <v>90</v>
      </c>
      <c r="F111" s="283" t="s">
        <v>924</v>
      </c>
      <c r="G111" t="s">
        <v>54</v>
      </c>
      <c r="H111" t="s">
        <v>55</v>
      </c>
      <c r="I111" t="s">
        <v>858</v>
      </c>
      <c r="J111">
        <v>0.94</v>
      </c>
      <c r="K111" s="65">
        <v>44561</v>
      </c>
      <c r="L111" s="142">
        <f>T111*U111</f>
        <v>41553600000</v>
      </c>
      <c r="M111" s="142">
        <v>30981000000</v>
      </c>
      <c r="N111" s="142">
        <f>L111+R111-S111</f>
        <v>47806600000</v>
      </c>
      <c r="O111" s="142">
        <f>L111+R111</f>
        <v>53589600000</v>
      </c>
      <c r="P111" s="142">
        <v>44670000000</v>
      </c>
      <c r="Q111" s="142"/>
      <c r="R111" s="142">
        <v>12036000000</v>
      </c>
      <c r="S111" s="142">
        <v>5783000000</v>
      </c>
      <c r="T111" s="142">
        <v>787000000</v>
      </c>
      <c r="U111">
        <v>52.8</v>
      </c>
    </row>
    <row r="112" spans="1:21">
      <c r="A112" s="60" t="s">
        <v>920</v>
      </c>
      <c r="B112" s="60" t="s">
        <v>921</v>
      </c>
      <c r="C112" s="60" t="s">
        <v>922</v>
      </c>
      <c r="D112" t="s">
        <v>923</v>
      </c>
      <c r="E112" s="64" t="s">
        <v>887</v>
      </c>
      <c r="F112" t="s">
        <v>924</v>
      </c>
      <c r="G112" t="s">
        <v>54</v>
      </c>
      <c r="H112" t="s">
        <v>888</v>
      </c>
      <c r="I112" t="s">
        <v>858</v>
      </c>
      <c r="J112">
        <v>1.1299999999999999</v>
      </c>
      <c r="K112" s="65">
        <v>44561</v>
      </c>
      <c r="L112" s="142">
        <f t="shared" ref="L112:L124" si="3">T112*U112</f>
        <v>1603830850</v>
      </c>
      <c r="M112" s="142">
        <v>1232500000</v>
      </c>
      <c r="N112" s="142">
        <f t="shared" ref="N112:N124" si="4">L112+R112-S112</f>
        <v>1816330850</v>
      </c>
      <c r="O112" s="142">
        <f t="shared" ref="O112:O124" si="5">L112+R112</f>
        <v>1900230850</v>
      </c>
      <c r="P112" s="142">
        <v>1669500000</v>
      </c>
      <c r="Q112" s="142"/>
      <c r="R112" s="142">
        <v>296400000</v>
      </c>
      <c r="S112" s="142">
        <v>83900000</v>
      </c>
      <c r="T112" s="142">
        <v>1688243000</v>
      </c>
      <c r="U112">
        <v>0.95</v>
      </c>
    </row>
    <row r="113" spans="1:21">
      <c r="A113" s="60" t="s">
        <v>925</v>
      </c>
      <c r="B113" s="154" t="s">
        <v>927</v>
      </c>
      <c r="C113" s="60" t="s">
        <v>926</v>
      </c>
      <c r="D113" t="s">
        <v>867</v>
      </c>
      <c r="E113" s="64" t="s">
        <v>90</v>
      </c>
      <c r="F113" t="s">
        <v>924</v>
      </c>
      <c r="G113" t="s">
        <v>54</v>
      </c>
      <c r="H113" t="s">
        <v>868</v>
      </c>
      <c r="I113" t="s">
        <v>858</v>
      </c>
      <c r="J113">
        <v>1.01</v>
      </c>
      <c r="K113" s="65">
        <v>44561</v>
      </c>
      <c r="L113" s="142">
        <f t="shared" si="3"/>
        <v>28388428932</v>
      </c>
      <c r="M113" s="142">
        <v>26834000000</v>
      </c>
      <c r="N113" s="142">
        <f t="shared" si="4"/>
        <v>38678428932</v>
      </c>
      <c r="O113" s="142">
        <f t="shared" si="5"/>
        <v>45293428932</v>
      </c>
      <c r="P113" s="142">
        <v>59885000000</v>
      </c>
      <c r="Q113" s="142"/>
      <c r="R113" s="142">
        <v>16905000000</v>
      </c>
      <c r="S113" s="142">
        <v>6615000000</v>
      </c>
      <c r="T113" s="142">
        <v>610503848</v>
      </c>
      <c r="U113">
        <v>46.5</v>
      </c>
    </row>
    <row r="114" spans="1:21">
      <c r="A114" s="60" t="s">
        <v>928</v>
      </c>
      <c r="B114" s="166" t="s">
        <v>929</v>
      </c>
      <c r="C114" s="60" t="s">
        <v>930</v>
      </c>
      <c r="D114" t="s">
        <v>931</v>
      </c>
      <c r="E114" s="64" t="s">
        <v>195</v>
      </c>
      <c r="F114" t="s">
        <v>924</v>
      </c>
      <c r="G114" t="s">
        <v>54</v>
      </c>
      <c r="H114" t="s">
        <v>932</v>
      </c>
      <c r="I114" t="s">
        <v>858</v>
      </c>
      <c r="J114">
        <v>2.8000000000000001E-2</v>
      </c>
      <c r="K114" s="65">
        <v>44561</v>
      </c>
      <c r="L114" s="142">
        <f t="shared" si="3"/>
        <v>463200000000</v>
      </c>
      <c r="M114" s="142">
        <v>530112000000</v>
      </c>
      <c r="N114" s="142">
        <f t="shared" si="4"/>
        <v>838300000000</v>
      </c>
      <c r="O114" s="142">
        <f t="shared" si="5"/>
        <v>874293000000</v>
      </c>
      <c r="P114" s="142">
        <v>861101000000</v>
      </c>
      <c r="Q114" s="142"/>
      <c r="R114" s="142">
        <v>411093000000</v>
      </c>
      <c r="S114" s="142">
        <v>35993000000</v>
      </c>
      <c r="T114" s="142">
        <v>1200000000</v>
      </c>
      <c r="U114">
        <v>386</v>
      </c>
    </row>
    <row r="115" spans="1:21">
      <c r="A115" s="154" t="s">
        <v>933</v>
      </c>
      <c r="B115" s="154" t="s">
        <v>934</v>
      </c>
      <c r="C115" s="154" t="s">
        <v>935</v>
      </c>
      <c r="D115" s="45" t="s">
        <v>936</v>
      </c>
      <c r="E115" s="156" t="s">
        <v>195</v>
      </c>
      <c r="F115" s="45" t="s">
        <v>924</v>
      </c>
      <c r="G115" s="45" t="s">
        <v>54</v>
      </c>
      <c r="H115" s="45" t="s">
        <v>55</v>
      </c>
      <c r="I115" s="45" t="s">
        <v>858</v>
      </c>
      <c r="J115">
        <v>0.94</v>
      </c>
      <c r="K115" s="65">
        <v>44561</v>
      </c>
      <c r="L115" s="157">
        <f>31.77*1000000000</f>
        <v>31770000000</v>
      </c>
      <c r="M115" s="157">
        <f>8.995*1000000000</f>
        <v>8995000000</v>
      </c>
      <c r="N115" s="157">
        <f t="shared" si="4"/>
        <v>31770000000</v>
      </c>
      <c r="O115" s="157">
        <f t="shared" si="5"/>
        <v>31770000000</v>
      </c>
      <c r="P115" s="157">
        <f>25.746*1000000000</f>
        <v>25746000000</v>
      </c>
      <c r="Q115" s="157"/>
      <c r="R115" s="157"/>
      <c r="S115" s="157"/>
      <c r="T115" s="157"/>
      <c r="U115" s="45"/>
    </row>
    <row r="116" spans="1:21">
      <c r="A116" s="154" t="s">
        <v>937</v>
      </c>
      <c r="B116" s="154" t="s">
        <v>938</v>
      </c>
      <c r="C116" s="154" t="s">
        <v>939</v>
      </c>
      <c r="D116" s="45" t="s">
        <v>871</v>
      </c>
      <c r="E116" s="156" t="s">
        <v>90</v>
      </c>
      <c r="F116" s="45" t="s">
        <v>924</v>
      </c>
      <c r="G116" s="45" t="s">
        <v>54</v>
      </c>
      <c r="H116" s="45" t="s">
        <v>858</v>
      </c>
      <c r="I116" s="45"/>
      <c r="J116" s="45"/>
      <c r="K116" s="120">
        <v>44561</v>
      </c>
      <c r="L116" s="157">
        <f t="shared" si="3"/>
        <v>11266087564.059999</v>
      </c>
      <c r="M116" s="157">
        <v>18720000000</v>
      </c>
      <c r="N116" s="157">
        <f t="shared" si="4"/>
        <v>9929587564.0599995</v>
      </c>
      <c r="O116" s="157">
        <f t="shared" si="5"/>
        <v>13044687564.059999</v>
      </c>
      <c r="P116" s="157">
        <v>33710900000</v>
      </c>
      <c r="Q116" s="157"/>
      <c r="R116" s="157">
        <v>1778600000</v>
      </c>
      <c r="S116" s="157">
        <v>3115100000</v>
      </c>
      <c r="T116" s="157">
        <v>198416477</v>
      </c>
      <c r="U116" s="45">
        <v>56.78</v>
      </c>
    </row>
    <row r="117" spans="1:21">
      <c r="A117" s="60" t="s">
        <v>940</v>
      </c>
      <c r="B117" s="60" t="s">
        <v>941</v>
      </c>
      <c r="C117" s="60" t="s">
        <v>942</v>
      </c>
      <c r="D117" t="s">
        <v>52</v>
      </c>
      <c r="E117" s="64" t="s">
        <v>61</v>
      </c>
      <c r="F117" t="s">
        <v>924</v>
      </c>
      <c r="G117" t="s">
        <v>54</v>
      </c>
      <c r="H117" t="s">
        <v>55</v>
      </c>
      <c r="I117" t="s">
        <v>858</v>
      </c>
      <c r="J117">
        <v>0.94</v>
      </c>
      <c r="K117" s="65">
        <v>44562</v>
      </c>
      <c r="L117" s="142">
        <f t="shared" si="3"/>
        <v>4798689835.5</v>
      </c>
      <c r="M117" s="142">
        <v>2230000000</v>
      </c>
      <c r="N117" s="142">
        <f>M117+R117-S117</f>
        <v>1850728100</v>
      </c>
      <c r="O117" s="142">
        <f>M117+R117</f>
        <v>2231689100</v>
      </c>
      <c r="P117" s="142">
        <v>4329125000</v>
      </c>
      <c r="Q117" s="142"/>
      <c r="R117" s="142">
        <v>1689100</v>
      </c>
      <c r="S117" s="142">
        <v>380961000</v>
      </c>
      <c r="T117" s="142">
        <f>119548726+99</f>
        <v>119548825</v>
      </c>
      <c r="U117">
        <v>40.14</v>
      </c>
    </row>
    <row r="118" spans="1:21">
      <c r="A118" s="60" t="s">
        <v>943</v>
      </c>
      <c r="B118" s="166" t="s">
        <v>944</v>
      </c>
      <c r="C118" s="60" t="s">
        <v>945</v>
      </c>
      <c r="D118" t="s">
        <v>52</v>
      </c>
      <c r="E118" s="64" t="s">
        <v>61</v>
      </c>
      <c r="F118" t="s">
        <v>924</v>
      </c>
      <c r="G118" t="s">
        <v>54</v>
      </c>
      <c r="H118" t="s">
        <v>55</v>
      </c>
      <c r="I118" t="s">
        <v>858</v>
      </c>
      <c r="J118">
        <v>0.94</v>
      </c>
      <c r="K118" s="65">
        <v>44561</v>
      </c>
      <c r="L118" s="142">
        <f>27.56*1000000000</f>
        <v>27560000000</v>
      </c>
      <c r="M118" s="142">
        <f>5.414*1000000000</f>
        <v>5414000000</v>
      </c>
      <c r="N118" s="142">
        <f t="shared" si="4"/>
        <v>27560000000</v>
      </c>
      <c r="O118" s="142">
        <f t="shared" si="5"/>
        <v>27560000000</v>
      </c>
      <c r="P118" s="142">
        <f>14.393*1000000000</f>
        <v>14393000000</v>
      </c>
      <c r="Q118" s="142"/>
      <c r="R118" s="142"/>
      <c r="S118" s="228"/>
      <c r="T118" s="142"/>
    </row>
    <row r="119" spans="1:21">
      <c r="A119" s="60" t="s">
        <v>946</v>
      </c>
      <c r="B119" s="166" t="s">
        <v>947</v>
      </c>
      <c r="C119" s="60" t="s">
        <v>948</v>
      </c>
      <c r="D119" t="s">
        <v>52</v>
      </c>
      <c r="E119" s="64" t="s">
        <v>61</v>
      </c>
      <c r="F119" t="s">
        <v>924</v>
      </c>
      <c r="G119" t="s">
        <v>54</v>
      </c>
      <c r="H119" t="s">
        <v>55</v>
      </c>
      <c r="I119" t="s">
        <v>858</v>
      </c>
      <c r="J119">
        <v>0.94</v>
      </c>
      <c r="K119" s="65">
        <v>44561</v>
      </c>
      <c r="L119" s="142">
        <f t="shared" si="3"/>
        <v>27565020444.5</v>
      </c>
      <c r="M119" s="142">
        <v>5552200000</v>
      </c>
      <c r="N119" s="142">
        <f t="shared" si="4"/>
        <v>31742020444.5</v>
      </c>
      <c r="O119" s="142">
        <f t="shared" si="5"/>
        <v>31983520444.5</v>
      </c>
      <c r="P119" s="142">
        <v>13682600000</v>
      </c>
      <c r="Q119" s="142"/>
      <c r="R119" s="142">
        <v>4418500000</v>
      </c>
      <c r="S119" s="142">
        <v>241500000</v>
      </c>
      <c r="T119" s="142">
        <v>132792275</v>
      </c>
      <c r="U119">
        <v>207.58</v>
      </c>
    </row>
    <row r="120" spans="1:21">
      <c r="A120" s="60" t="s">
        <v>949</v>
      </c>
      <c r="B120" s="166" t="s">
        <v>950</v>
      </c>
      <c r="C120" s="60" t="s">
        <v>951</v>
      </c>
      <c r="D120" t="s">
        <v>952</v>
      </c>
      <c r="E120" s="64" t="s">
        <v>195</v>
      </c>
      <c r="F120" t="s">
        <v>924</v>
      </c>
      <c r="G120" t="s">
        <v>54</v>
      </c>
      <c r="H120" t="s">
        <v>953</v>
      </c>
      <c r="I120" t="s">
        <v>858</v>
      </c>
      <c r="J120">
        <v>3.1E-2</v>
      </c>
      <c r="K120" s="65">
        <v>44561</v>
      </c>
      <c r="L120" s="142">
        <f t="shared" si="3"/>
        <v>131362852</v>
      </c>
      <c r="M120" s="142">
        <v>89654713000</v>
      </c>
      <c r="N120" s="142">
        <f t="shared" si="4"/>
        <v>68450222852</v>
      </c>
      <c r="O120" s="142">
        <f t="shared" si="5"/>
        <v>73721617852</v>
      </c>
      <c r="P120" s="142">
        <v>230517178000</v>
      </c>
      <c r="Q120" s="142"/>
      <c r="R120" s="142">
        <v>73590255000</v>
      </c>
      <c r="S120" s="142">
        <v>5271395000</v>
      </c>
      <c r="T120" s="142">
        <v>3203972</v>
      </c>
      <c r="U120">
        <v>41</v>
      </c>
    </row>
    <row r="121" spans="1:21">
      <c r="A121" s="154" t="s">
        <v>954</v>
      </c>
      <c r="B121" s="154" t="s">
        <v>955</v>
      </c>
      <c r="C121" s="154" t="s">
        <v>956</v>
      </c>
      <c r="D121" s="45" t="s">
        <v>957</v>
      </c>
      <c r="E121" s="156" t="s">
        <v>958</v>
      </c>
      <c r="F121" s="45" t="s">
        <v>924</v>
      </c>
      <c r="G121" s="45"/>
      <c r="H121" s="45" t="s">
        <v>1016</v>
      </c>
      <c r="I121" s="45" t="s">
        <v>858</v>
      </c>
      <c r="J121" s="45">
        <v>9.0999999999999998E-2</v>
      </c>
      <c r="K121" s="45"/>
      <c r="L121" s="157">
        <f t="shared" si="3"/>
        <v>0</v>
      </c>
      <c r="M121" s="157"/>
      <c r="N121" s="157">
        <f t="shared" si="4"/>
        <v>0</v>
      </c>
      <c r="O121" s="157">
        <f t="shared" si="5"/>
        <v>0</v>
      </c>
      <c r="P121" s="157"/>
      <c r="Q121" s="157"/>
      <c r="R121" s="157"/>
      <c r="S121" s="168"/>
      <c r="T121" s="157"/>
      <c r="U121" s="45"/>
    </row>
    <row r="122" spans="1:21">
      <c r="A122" s="60" t="s">
        <v>959</v>
      </c>
      <c r="B122" s="60" t="s">
        <v>960</v>
      </c>
      <c r="C122" s="60" t="s">
        <v>961</v>
      </c>
      <c r="D122" t="s">
        <v>962</v>
      </c>
      <c r="E122" s="64" t="s">
        <v>61</v>
      </c>
      <c r="F122" t="s">
        <v>924</v>
      </c>
      <c r="G122" t="s">
        <v>54</v>
      </c>
      <c r="H122" t="s">
        <v>55</v>
      </c>
      <c r="I122" t="s">
        <v>858</v>
      </c>
      <c r="J122">
        <v>0.94</v>
      </c>
      <c r="K122" s="65">
        <v>44561</v>
      </c>
      <c r="L122" s="142">
        <f t="shared" si="3"/>
        <v>299158374.12</v>
      </c>
      <c r="M122" s="142">
        <v>14548000000</v>
      </c>
      <c r="N122" s="142">
        <f t="shared" si="4"/>
        <v>16065158374.120001</v>
      </c>
      <c r="O122" s="142">
        <f t="shared" si="5"/>
        <v>16678158374.120001</v>
      </c>
      <c r="P122" s="142">
        <v>26650000000</v>
      </c>
      <c r="Q122" s="142"/>
      <c r="R122" s="142">
        <v>16379000000</v>
      </c>
      <c r="S122" s="142">
        <v>613000000</v>
      </c>
      <c r="T122" s="142">
        <v>44123654</v>
      </c>
      <c r="U122">
        <v>6.78</v>
      </c>
    </row>
    <row r="123" spans="1:21">
      <c r="A123" s="167" t="s">
        <v>963</v>
      </c>
      <c r="B123" s="167" t="s">
        <v>964</v>
      </c>
      <c r="C123" s="167" t="s">
        <v>965</v>
      </c>
      <c r="D123" s="48" t="s">
        <v>966</v>
      </c>
      <c r="E123" s="48" t="s">
        <v>195</v>
      </c>
      <c r="F123" s="48" t="s">
        <v>924</v>
      </c>
      <c r="G123" s="48"/>
      <c r="H123" s="48" t="s">
        <v>1015</v>
      </c>
      <c r="I123" s="48" t="s">
        <v>858</v>
      </c>
      <c r="J123" s="48">
        <v>0.22</v>
      </c>
      <c r="K123" s="169"/>
      <c r="L123" s="157">
        <f t="shared" si="3"/>
        <v>0</v>
      </c>
      <c r="M123" s="170"/>
      <c r="N123" s="157">
        <f t="shared" si="4"/>
        <v>0</v>
      </c>
      <c r="O123" s="157">
        <f t="shared" si="5"/>
        <v>0</v>
      </c>
      <c r="P123" s="170"/>
      <c r="Q123" s="170"/>
      <c r="R123" s="170"/>
      <c r="S123" s="170"/>
      <c r="T123" s="170"/>
      <c r="U123" s="48"/>
    </row>
    <row r="124" spans="1:21">
      <c r="A124" s="154" t="s">
        <v>967</v>
      </c>
      <c r="B124" s="167" t="s">
        <v>968</v>
      </c>
      <c r="C124" s="154" t="s">
        <v>969</v>
      </c>
      <c r="D124" s="45" t="s">
        <v>936</v>
      </c>
      <c r="E124" s="156" t="s">
        <v>195</v>
      </c>
      <c r="F124" s="45" t="s">
        <v>924</v>
      </c>
      <c r="G124" s="45"/>
      <c r="H124" s="45" t="s">
        <v>1014</v>
      </c>
      <c r="I124" s="45" t="s">
        <v>858</v>
      </c>
      <c r="J124" s="45">
        <v>0.14000000000000001</v>
      </c>
      <c r="K124" s="120"/>
      <c r="L124" s="157">
        <f t="shared" si="3"/>
        <v>0</v>
      </c>
      <c r="M124" s="157"/>
      <c r="N124" s="157">
        <f t="shared" si="4"/>
        <v>0</v>
      </c>
      <c r="O124" s="157">
        <f t="shared" si="5"/>
        <v>0</v>
      </c>
      <c r="P124" s="157"/>
      <c r="Q124" s="171"/>
      <c r="R124" s="157"/>
      <c r="S124" s="157"/>
      <c r="T124" s="157"/>
      <c r="U124" s="45"/>
    </row>
    <row r="125" spans="1:21">
      <c r="A125" t="s">
        <v>1123</v>
      </c>
      <c r="B125" t="s">
        <v>1130</v>
      </c>
      <c r="C125" t="s">
        <v>1131</v>
      </c>
      <c r="D125" t="s">
        <v>883</v>
      </c>
      <c r="E125" t="s">
        <v>195</v>
      </c>
      <c r="F125" t="s">
        <v>1056</v>
      </c>
      <c r="G125" t="s">
        <v>54</v>
      </c>
      <c r="H125" t="s">
        <v>884</v>
      </c>
      <c r="I125" t="s">
        <v>858</v>
      </c>
      <c r="J125">
        <v>7.1000000000000004E-3</v>
      </c>
      <c r="K125" s="65">
        <v>44651</v>
      </c>
      <c r="L125">
        <v>3586336051762.5</v>
      </c>
      <c r="M125">
        <v>1296200000000</v>
      </c>
      <c r="N125">
        <v>4133450051762.5</v>
      </c>
      <c r="O125">
        <v>4449436051762.5</v>
      </c>
      <c r="P125">
        <v>2332395000000</v>
      </c>
      <c r="R125">
        <v>863100000000</v>
      </c>
      <c r="S125">
        <v>315986000000</v>
      </c>
      <c r="T125">
        <v>1835851575</v>
      </c>
      <c r="U125">
        <v>1953.5</v>
      </c>
    </row>
    <row r="126" spans="1:21">
      <c r="A126" t="s">
        <v>1124</v>
      </c>
      <c r="B126" t="s">
        <v>1132</v>
      </c>
      <c r="C126" t="s">
        <v>1133</v>
      </c>
      <c r="D126" t="s">
        <v>923</v>
      </c>
      <c r="E126" t="s">
        <v>90</v>
      </c>
      <c r="F126" t="s">
        <v>1056</v>
      </c>
      <c r="G126" t="s">
        <v>54</v>
      </c>
      <c r="H126" t="s">
        <v>55</v>
      </c>
      <c r="I126" t="s">
        <v>858</v>
      </c>
      <c r="J126">
        <v>0.94</v>
      </c>
      <c r="K126" s="65">
        <v>44561</v>
      </c>
      <c r="L126">
        <v>13442222000000</v>
      </c>
      <c r="M126">
        <v>37417000000</v>
      </c>
      <c r="N126">
        <v>13466605000000</v>
      </c>
      <c r="O126">
        <v>13473003000000</v>
      </c>
      <c r="P126">
        <v>105363000000</v>
      </c>
      <c r="R126">
        <v>30781000000</v>
      </c>
      <c r="S126">
        <v>6398000000</v>
      </c>
      <c r="T126">
        <v>1549000000</v>
      </c>
      <c r="U126">
        <v>8678</v>
      </c>
    </row>
    <row r="127" spans="1:21">
      <c r="A127" t="s">
        <v>1125</v>
      </c>
      <c r="B127" t="s">
        <v>1135</v>
      </c>
      <c r="C127" t="s">
        <v>1136</v>
      </c>
      <c r="D127" t="s">
        <v>923</v>
      </c>
      <c r="E127" t="s">
        <v>90</v>
      </c>
      <c r="F127" s="55" t="s">
        <v>1137</v>
      </c>
      <c r="H127" t="s">
        <v>55</v>
      </c>
      <c r="I127" t="s">
        <v>858</v>
      </c>
      <c r="J127">
        <v>0.94</v>
      </c>
      <c r="K127" s="65">
        <v>44742</v>
      </c>
      <c r="L127">
        <v>46789844.600000001</v>
      </c>
      <c r="N127">
        <v>-869786725.39999998</v>
      </c>
      <c r="O127">
        <v>49440274.600000001</v>
      </c>
      <c r="P127">
        <v>2945344000</v>
      </c>
      <c r="R127">
        <v>2650430</v>
      </c>
      <c r="S127">
        <v>919227000</v>
      </c>
      <c r="T127">
        <v>249679</v>
      </c>
      <c r="U127">
        <v>187.4</v>
      </c>
    </row>
    <row r="128" spans="1:21">
      <c r="A128" t="s">
        <v>1126</v>
      </c>
      <c r="B128">
        <v>0</v>
      </c>
      <c r="C128" t="s">
        <v>1138</v>
      </c>
      <c r="D128" t="s">
        <v>883</v>
      </c>
      <c r="E128" t="s">
        <v>195</v>
      </c>
      <c r="F128" s="55" t="s">
        <v>1139</v>
      </c>
      <c r="H128" t="s">
        <v>884</v>
      </c>
      <c r="I128" t="s">
        <v>858</v>
      </c>
      <c r="J128">
        <v>7.1000000000000004E-3</v>
      </c>
      <c r="K128" s="65">
        <v>44651</v>
      </c>
      <c r="L128">
        <v>587736615560</v>
      </c>
      <c r="M128">
        <v>256551000000</v>
      </c>
      <c r="N128">
        <v>586755615560</v>
      </c>
      <c r="O128">
        <v>664646615560</v>
      </c>
      <c r="P128">
        <v>280052000000</v>
      </c>
      <c r="R128">
        <v>76910000000</v>
      </c>
      <c r="S128">
        <v>77891000000</v>
      </c>
      <c r="T128">
        <v>143700884</v>
      </c>
      <c r="U128">
        <v>4090</v>
      </c>
    </row>
    <row r="129" spans="1:21">
      <c r="A129" t="s">
        <v>1127</v>
      </c>
      <c r="B129" t="s">
        <v>1140</v>
      </c>
      <c r="C129" t="s">
        <v>1141</v>
      </c>
      <c r="D129" t="s">
        <v>871</v>
      </c>
      <c r="E129" t="s">
        <v>90</v>
      </c>
      <c r="F129" t="s">
        <v>1056</v>
      </c>
      <c r="G129" t="s">
        <v>54</v>
      </c>
      <c r="H129" t="s">
        <v>858</v>
      </c>
      <c r="K129" s="65">
        <v>44561</v>
      </c>
      <c r="L129">
        <v>211591200000</v>
      </c>
      <c r="M129">
        <v>44081000000</v>
      </c>
      <c r="N129">
        <v>294099200000</v>
      </c>
      <c r="O129">
        <v>298664200000</v>
      </c>
      <c r="P129">
        <v>120241000000</v>
      </c>
      <c r="R129">
        <v>87073000000</v>
      </c>
      <c r="S129">
        <v>4565000000</v>
      </c>
      <c r="T129">
        <v>3930000000</v>
      </c>
      <c r="U129">
        <v>53.84</v>
      </c>
    </row>
    <row r="130" spans="1:21">
      <c r="A130" t="s">
        <v>1128</v>
      </c>
      <c r="B130" t="s">
        <v>1142</v>
      </c>
      <c r="C130" t="s">
        <v>1143</v>
      </c>
      <c r="D130" t="s">
        <v>883</v>
      </c>
      <c r="E130" t="s">
        <v>195</v>
      </c>
      <c r="F130" s="55" t="s">
        <v>1129</v>
      </c>
      <c r="H130" t="s">
        <v>884</v>
      </c>
      <c r="I130" t="s">
        <v>858</v>
      </c>
      <c r="J130">
        <v>7.1000000000000004E-3</v>
      </c>
      <c r="K130" s="65">
        <v>44651</v>
      </c>
      <c r="L130">
        <v>333439003846</v>
      </c>
      <c r="M130">
        <v>252322000000</v>
      </c>
      <c r="N130">
        <v>317913003846</v>
      </c>
      <c r="O130">
        <v>451817003846</v>
      </c>
      <c r="P130">
        <v>337275000000</v>
      </c>
      <c r="R130">
        <v>118378000000</v>
      </c>
      <c r="S130">
        <v>133904000000</v>
      </c>
      <c r="T130">
        <v>249020914</v>
      </c>
      <c r="U130">
        <v>1339</v>
      </c>
    </row>
  </sheetData>
  <pageMargins left="0.75" right="0.75" top="1" bottom="1" header="0.5" footer="0.5"/>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2610"/>
  <sheetViews>
    <sheetView zoomScale="150" zoomScaleNormal="150" workbookViewId="0">
      <pane xSplit="1" ySplit="1" topLeftCell="B2" activePane="bottomRight" state="frozen"/>
      <selection pane="topRight" activeCell="B1" sqref="B1"/>
      <selection pane="bottomLeft" activeCell="A2" sqref="A2"/>
      <selection pane="bottomRight" activeCell="B31" sqref="B31:B40"/>
    </sheetView>
  </sheetViews>
  <sheetFormatPr baseColWidth="10" defaultColWidth="8.83203125" defaultRowHeight="15"/>
  <cols>
    <col min="1" max="1" width="18.5" customWidth="1"/>
    <col min="2" max="2" width="24" customWidth="1"/>
    <col min="3" max="3" width="16" customWidth="1"/>
    <col min="4" max="6" width="12" customWidth="1"/>
    <col min="7" max="7" width="17" customWidth="1"/>
    <col min="8" max="8" width="13" customWidth="1"/>
    <col min="9" max="9" width="13" style="90" customWidth="1"/>
    <col min="10" max="10" width="13" customWidth="1"/>
    <col min="11" max="13" width="14" customWidth="1"/>
    <col min="14" max="14" width="14" style="219" customWidth="1"/>
    <col min="15" max="16" width="14" customWidth="1"/>
    <col min="17" max="17" width="10.1640625" style="71" bestFit="1" customWidth="1"/>
  </cols>
  <sheetData>
    <row r="1" spans="1:17">
      <c r="A1" s="267" t="s">
        <v>0</v>
      </c>
      <c r="B1" s="60" t="s">
        <v>1</v>
      </c>
      <c r="C1" s="60" t="s">
        <v>2</v>
      </c>
      <c r="D1" s="66" t="s">
        <v>409</v>
      </c>
      <c r="E1" s="66" t="s">
        <v>604</v>
      </c>
      <c r="F1" s="66" t="s">
        <v>592</v>
      </c>
      <c r="G1" s="67" t="s">
        <v>410</v>
      </c>
      <c r="H1" s="68" t="s">
        <v>8</v>
      </c>
      <c r="I1" s="89" t="s">
        <v>534</v>
      </c>
      <c r="J1" s="210">
        <v>2015</v>
      </c>
      <c r="K1" s="69">
        <v>2016</v>
      </c>
      <c r="L1" s="70">
        <v>2017</v>
      </c>
      <c r="M1" s="69">
        <v>2018</v>
      </c>
      <c r="N1" s="215">
        <v>2019</v>
      </c>
      <c r="O1" s="69">
        <v>2020</v>
      </c>
      <c r="P1" s="70">
        <v>2021</v>
      </c>
      <c r="Q1" s="71">
        <v>2022</v>
      </c>
    </row>
    <row r="2" spans="1:17">
      <c r="A2" s="295" t="s">
        <v>49</v>
      </c>
      <c r="B2" s="292" t="s">
        <v>50</v>
      </c>
      <c r="C2" s="296" t="s">
        <v>51</v>
      </c>
      <c r="D2" s="66" t="s">
        <v>411</v>
      </c>
      <c r="G2" t="s">
        <v>427</v>
      </c>
      <c r="H2" s="65">
        <v>43523</v>
      </c>
      <c r="K2" s="71">
        <v>70457</v>
      </c>
      <c r="L2" s="72">
        <v>63497</v>
      </c>
      <c r="M2" s="81">
        <v>51878</v>
      </c>
      <c r="N2" s="216"/>
      <c r="O2" s="71"/>
      <c r="P2" s="72"/>
    </row>
    <row r="3" spans="1:17">
      <c r="A3" s="295"/>
      <c r="B3" s="289"/>
      <c r="C3" s="296"/>
      <c r="D3" s="66" t="s">
        <v>412</v>
      </c>
      <c r="E3" t="s">
        <v>413</v>
      </c>
      <c r="G3" t="s">
        <v>427</v>
      </c>
      <c r="H3" s="65">
        <v>43523</v>
      </c>
      <c r="K3" s="71">
        <v>306</v>
      </c>
      <c r="L3" s="72">
        <v>226</v>
      </c>
      <c r="M3" s="71">
        <v>360</v>
      </c>
      <c r="N3" s="216"/>
      <c r="O3" s="71"/>
      <c r="P3" s="72"/>
    </row>
    <row r="4" spans="1:17">
      <c r="A4" s="295"/>
      <c r="B4" s="289"/>
      <c r="C4" s="296"/>
      <c r="D4" s="66" t="s">
        <v>412</v>
      </c>
      <c r="E4" t="s">
        <v>420</v>
      </c>
      <c r="G4" t="s">
        <v>427</v>
      </c>
      <c r="H4" s="65">
        <v>43523</v>
      </c>
      <c r="K4" s="71">
        <v>309</v>
      </c>
      <c r="L4" s="72">
        <v>230</v>
      </c>
      <c r="M4" s="71">
        <v>362</v>
      </c>
      <c r="N4" s="216"/>
      <c r="O4" s="71"/>
      <c r="P4" s="72"/>
    </row>
    <row r="5" spans="1:17">
      <c r="A5" s="295"/>
      <c r="B5" s="289"/>
      <c r="C5" s="296"/>
      <c r="D5" s="66" t="s">
        <v>414</v>
      </c>
      <c r="E5" t="s">
        <v>413</v>
      </c>
      <c r="G5" t="s">
        <v>427</v>
      </c>
      <c r="H5" s="65">
        <v>43523</v>
      </c>
      <c r="K5" s="71">
        <f>K2+K3</f>
        <v>70763</v>
      </c>
      <c r="L5" s="72">
        <f>L2+L3</f>
        <v>63723</v>
      </c>
      <c r="M5" s="71">
        <f>M2+M3</f>
        <v>52238</v>
      </c>
      <c r="N5" s="216"/>
      <c r="O5" s="71"/>
      <c r="P5" s="72"/>
    </row>
    <row r="6" spans="1:17">
      <c r="A6" s="295"/>
      <c r="B6" s="289"/>
      <c r="C6" s="296"/>
      <c r="D6" s="75" t="s">
        <v>415</v>
      </c>
      <c r="E6" s="45" t="s">
        <v>416</v>
      </c>
      <c r="G6" t="s">
        <v>427</v>
      </c>
      <c r="H6" s="65">
        <v>43523</v>
      </c>
      <c r="K6" s="71">
        <f>K7+K8</f>
        <v>5865.8</v>
      </c>
      <c r="L6" s="72">
        <f t="shared" ref="L6" si="0">L7+L8</f>
        <v>15422</v>
      </c>
      <c r="M6" s="71">
        <f t="shared" ref="M6" si="1">M7+M8</f>
        <v>10894.3</v>
      </c>
      <c r="N6" s="216"/>
      <c r="O6" s="71"/>
      <c r="P6" s="72"/>
    </row>
    <row r="7" spans="1:17">
      <c r="A7" s="295"/>
      <c r="B7" s="289"/>
      <c r="C7" s="296"/>
      <c r="D7" s="66" t="s">
        <v>415</v>
      </c>
      <c r="E7">
        <v>3</v>
      </c>
      <c r="G7" t="s">
        <v>427</v>
      </c>
      <c r="H7" s="65">
        <v>43523</v>
      </c>
      <c r="K7" s="71">
        <v>5864</v>
      </c>
      <c r="L7" s="72">
        <v>15421</v>
      </c>
      <c r="M7" s="71">
        <v>10893</v>
      </c>
      <c r="N7" s="216"/>
      <c r="O7" s="71"/>
      <c r="P7" s="72"/>
    </row>
    <row r="8" spans="1:17">
      <c r="A8" s="295"/>
      <c r="B8" s="289"/>
      <c r="C8" s="296"/>
      <c r="D8" s="66" t="s">
        <v>415</v>
      </c>
      <c r="E8">
        <v>6</v>
      </c>
      <c r="G8" t="s">
        <v>427</v>
      </c>
      <c r="H8" s="65">
        <v>43523</v>
      </c>
      <c r="K8" s="71">
        <v>1.8</v>
      </c>
      <c r="L8" s="72">
        <v>1</v>
      </c>
      <c r="M8" s="71">
        <v>1.3</v>
      </c>
      <c r="N8" s="216"/>
      <c r="O8" s="71"/>
      <c r="P8" s="72"/>
    </row>
    <row r="9" spans="1:17">
      <c r="A9" s="295"/>
      <c r="B9" s="289"/>
      <c r="C9" s="296"/>
      <c r="D9" s="66" t="s">
        <v>417</v>
      </c>
      <c r="F9" t="s">
        <v>54</v>
      </c>
      <c r="G9" t="s">
        <v>57</v>
      </c>
      <c r="H9" s="65">
        <v>43523</v>
      </c>
      <c r="K9" s="71"/>
      <c r="L9" s="72"/>
      <c r="M9" s="81">
        <v>81670.055999999997</v>
      </c>
      <c r="N9" s="216"/>
      <c r="O9" s="71"/>
      <c r="P9" s="72"/>
    </row>
    <row r="10" spans="1:17">
      <c r="A10" s="295"/>
      <c r="B10" s="293"/>
      <c r="C10" s="296"/>
      <c r="D10" s="66" t="s">
        <v>418</v>
      </c>
      <c r="H10" s="65">
        <v>43523</v>
      </c>
      <c r="K10" s="71"/>
      <c r="L10" s="72"/>
      <c r="M10" s="73" t="s">
        <v>426</v>
      </c>
      <c r="N10" s="216"/>
      <c r="O10" s="72"/>
      <c r="P10" s="72"/>
    </row>
    <row r="11" spans="1:17">
      <c r="A11" s="295" t="s">
        <v>49</v>
      </c>
      <c r="B11" s="292" t="s">
        <v>50</v>
      </c>
      <c r="C11" s="296" t="s">
        <v>51</v>
      </c>
      <c r="D11" s="66" t="s">
        <v>411</v>
      </c>
      <c r="G11" t="s">
        <v>427</v>
      </c>
      <c r="H11" s="65">
        <v>43888</v>
      </c>
      <c r="K11" s="71">
        <v>70457</v>
      </c>
      <c r="L11" s="72">
        <v>64527</v>
      </c>
      <c r="M11" s="81">
        <v>54154</v>
      </c>
      <c r="N11" s="216">
        <v>49092</v>
      </c>
      <c r="O11" s="71"/>
      <c r="P11" s="72"/>
    </row>
    <row r="12" spans="1:17">
      <c r="A12" s="295"/>
      <c r="B12" s="289"/>
      <c r="C12" s="296"/>
      <c r="D12" s="66" t="s">
        <v>412</v>
      </c>
      <c r="E12" t="s">
        <v>413</v>
      </c>
      <c r="G12" t="s">
        <v>427</v>
      </c>
      <c r="H12" s="65">
        <v>43888</v>
      </c>
      <c r="K12" s="71">
        <v>306</v>
      </c>
      <c r="L12" s="82">
        <v>226</v>
      </c>
      <c r="M12" s="82">
        <v>360</v>
      </c>
      <c r="N12" s="216">
        <v>359</v>
      </c>
      <c r="O12" s="71"/>
      <c r="P12" s="72"/>
    </row>
    <row r="13" spans="1:17">
      <c r="A13" s="295"/>
      <c r="B13" s="289"/>
      <c r="C13" s="296"/>
      <c r="D13" s="66" t="s">
        <v>412</v>
      </c>
      <c r="E13" t="s">
        <v>420</v>
      </c>
      <c r="G13" t="s">
        <v>427</v>
      </c>
      <c r="H13" s="65">
        <v>43888</v>
      </c>
      <c r="K13" s="71">
        <v>309</v>
      </c>
      <c r="L13" s="82">
        <v>230</v>
      </c>
      <c r="M13" s="82">
        <v>362</v>
      </c>
      <c r="N13" s="216">
        <v>360</v>
      </c>
      <c r="O13" s="71"/>
      <c r="P13" s="72"/>
    </row>
    <row r="14" spans="1:17">
      <c r="A14" s="295"/>
      <c r="B14" s="289"/>
      <c r="C14" s="296"/>
      <c r="D14" s="66" t="s">
        <v>414</v>
      </c>
      <c r="E14" t="s">
        <v>413</v>
      </c>
      <c r="G14" t="s">
        <v>427</v>
      </c>
      <c r="H14" s="65">
        <v>43888</v>
      </c>
      <c r="K14" s="71">
        <f>K11+K12</f>
        <v>70763</v>
      </c>
      <c r="L14" s="72">
        <f>L11+L12</f>
        <v>64753</v>
      </c>
      <c r="M14" s="71">
        <f>M11+M12</f>
        <v>54514</v>
      </c>
      <c r="N14" s="216">
        <f>N11+N12</f>
        <v>49451</v>
      </c>
      <c r="O14" s="71"/>
      <c r="P14" s="72"/>
    </row>
    <row r="15" spans="1:17">
      <c r="A15" s="295"/>
      <c r="B15" s="289"/>
      <c r="C15" s="296"/>
      <c r="D15" s="75" t="s">
        <v>415</v>
      </c>
      <c r="E15" s="45" t="s">
        <v>443</v>
      </c>
      <c r="G15" t="s">
        <v>427</v>
      </c>
      <c r="H15" s="65">
        <v>43888</v>
      </c>
      <c r="K15" s="71">
        <f>K16+K17</f>
        <v>5865.8</v>
      </c>
      <c r="L15" s="82">
        <f t="shared" ref="L15:N15" si="2">L16+L17</f>
        <v>15422</v>
      </c>
      <c r="M15" s="71">
        <f t="shared" si="2"/>
        <v>10894.3</v>
      </c>
      <c r="N15" s="216">
        <f t="shared" si="2"/>
        <v>10139.200000000001</v>
      </c>
      <c r="O15" s="71"/>
      <c r="P15" s="72"/>
    </row>
    <row r="16" spans="1:17">
      <c r="A16" s="295"/>
      <c r="B16" s="289"/>
      <c r="C16" s="296"/>
      <c r="D16" s="66" t="s">
        <v>415</v>
      </c>
      <c r="E16">
        <v>3</v>
      </c>
      <c r="G16" t="s">
        <v>427</v>
      </c>
      <c r="H16" s="65">
        <v>43888</v>
      </c>
      <c r="K16" s="71">
        <v>5864</v>
      </c>
      <c r="L16" s="82">
        <v>15421</v>
      </c>
      <c r="M16" s="71">
        <v>10893</v>
      </c>
      <c r="N16" s="216">
        <v>10138</v>
      </c>
      <c r="O16" s="71"/>
      <c r="P16" s="72"/>
    </row>
    <row r="17" spans="1:16">
      <c r="A17" s="295"/>
      <c r="B17" s="289"/>
      <c r="C17" s="296"/>
      <c r="D17" s="66" t="s">
        <v>415</v>
      </c>
      <c r="E17">
        <v>6</v>
      </c>
      <c r="G17" t="s">
        <v>427</v>
      </c>
      <c r="H17" s="65">
        <v>43888</v>
      </c>
      <c r="K17" s="71">
        <v>1.8</v>
      </c>
      <c r="L17" s="82">
        <v>1</v>
      </c>
      <c r="M17" s="71">
        <v>1.3</v>
      </c>
      <c r="N17" s="216">
        <v>1.2</v>
      </c>
      <c r="O17" s="71"/>
      <c r="P17" s="72"/>
    </row>
    <row r="18" spans="1:16">
      <c r="A18" s="295"/>
      <c r="B18" s="289"/>
      <c r="C18" s="296"/>
      <c r="D18" s="66" t="s">
        <v>417</v>
      </c>
      <c r="F18" t="s">
        <v>54</v>
      </c>
      <c r="G18" t="s">
        <v>57</v>
      </c>
      <c r="H18" s="65">
        <v>43888</v>
      </c>
      <c r="K18" s="71"/>
      <c r="L18" s="72"/>
      <c r="M18" s="81">
        <v>81694.925000000003</v>
      </c>
      <c r="N18" s="216">
        <v>75140.111000000004</v>
      </c>
      <c r="O18" s="71"/>
      <c r="P18" s="72"/>
    </row>
    <row r="19" spans="1:16">
      <c r="A19" s="295"/>
      <c r="B19" s="289"/>
      <c r="C19" s="296"/>
      <c r="D19" s="66" t="s">
        <v>417</v>
      </c>
      <c r="F19" t="s">
        <v>421</v>
      </c>
      <c r="G19" t="s">
        <v>57</v>
      </c>
      <c r="H19" s="65">
        <v>43888</v>
      </c>
      <c r="K19" s="71"/>
      <c r="L19" s="72"/>
      <c r="M19" s="71">
        <v>139311.10500000001</v>
      </c>
      <c r="N19" s="216">
        <v>132341.18400000001</v>
      </c>
      <c r="O19" s="71"/>
      <c r="P19" s="72"/>
    </row>
    <row r="20" spans="1:16">
      <c r="A20" s="295"/>
      <c r="B20" s="293"/>
      <c r="C20" s="296"/>
      <c r="D20" s="66" t="s">
        <v>418</v>
      </c>
      <c r="H20" s="65">
        <v>43888</v>
      </c>
      <c r="K20" s="71"/>
      <c r="L20" s="72"/>
      <c r="M20" s="71"/>
      <c r="N20" s="217" t="s">
        <v>425</v>
      </c>
      <c r="O20" s="72"/>
      <c r="P20" s="72"/>
    </row>
    <row r="21" spans="1:16">
      <c r="A21" s="295" t="s">
        <v>49</v>
      </c>
      <c r="B21" s="292" t="s">
        <v>50</v>
      </c>
      <c r="C21" s="296" t="s">
        <v>51</v>
      </c>
      <c r="D21" s="66" t="s">
        <v>411</v>
      </c>
      <c r="G21" t="s">
        <v>427</v>
      </c>
      <c r="H21" s="65">
        <v>44440</v>
      </c>
      <c r="K21" s="71"/>
      <c r="L21" s="72">
        <v>59804</v>
      </c>
      <c r="M21" s="71">
        <v>50291</v>
      </c>
      <c r="N21" s="216">
        <v>45611</v>
      </c>
      <c r="O21" s="71">
        <v>42961</v>
      </c>
      <c r="P21" s="72"/>
    </row>
    <row r="22" spans="1:16">
      <c r="A22" s="295"/>
      <c r="B22" s="289"/>
      <c r="C22" s="296"/>
      <c r="D22" s="66" t="s">
        <v>412</v>
      </c>
      <c r="E22" t="s">
        <v>413</v>
      </c>
      <c r="G22" t="s">
        <v>427</v>
      </c>
      <c r="H22" s="65">
        <v>44440</v>
      </c>
      <c r="K22" s="71"/>
      <c r="L22" s="82">
        <v>220</v>
      </c>
      <c r="M22" s="82">
        <v>314</v>
      </c>
      <c r="N22" s="216">
        <v>324</v>
      </c>
      <c r="O22" s="71">
        <v>254</v>
      </c>
      <c r="P22" s="72"/>
    </row>
    <row r="23" spans="1:16">
      <c r="A23" s="295"/>
      <c r="B23" s="289"/>
      <c r="C23" s="296"/>
      <c r="D23" s="66" t="s">
        <v>412</v>
      </c>
      <c r="E23" t="s">
        <v>420</v>
      </c>
      <c r="G23" t="s">
        <v>427</v>
      </c>
      <c r="H23" s="65">
        <v>44440</v>
      </c>
      <c r="K23" s="71"/>
      <c r="L23" s="82">
        <v>228</v>
      </c>
      <c r="M23" s="82">
        <v>318</v>
      </c>
      <c r="N23" s="216">
        <v>328</v>
      </c>
      <c r="O23" s="71">
        <v>256</v>
      </c>
      <c r="P23" s="72"/>
    </row>
    <row r="24" spans="1:16">
      <c r="A24" s="295"/>
      <c r="B24" s="289"/>
      <c r="C24" s="296"/>
      <c r="D24" s="66" t="s">
        <v>414</v>
      </c>
      <c r="E24" t="s">
        <v>413</v>
      </c>
      <c r="G24" t="s">
        <v>427</v>
      </c>
      <c r="H24" s="65">
        <v>44440</v>
      </c>
      <c r="K24" s="71"/>
      <c r="L24" s="72">
        <f>L21+L22</f>
        <v>60024</v>
      </c>
      <c r="M24" s="71">
        <f t="shared" ref="M24:O24" si="3">M21+M22</f>
        <v>50605</v>
      </c>
      <c r="N24" s="216">
        <f t="shared" si="3"/>
        <v>45935</v>
      </c>
      <c r="O24" s="71">
        <f t="shared" si="3"/>
        <v>43215</v>
      </c>
      <c r="P24" s="72"/>
    </row>
    <row r="25" spans="1:16">
      <c r="A25" s="295"/>
      <c r="B25" s="289"/>
      <c r="C25" s="296"/>
      <c r="D25" s="75" t="s">
        <v>415</v>
      </c>
      <c r="E25" s="45" t="s">
        <v>444</v>
      </c>
      <c r="G25" t="s">
        <v>427</v>
      </c>
      <c r="H25" s="65">
        <v>44440</v>
      </c>
      <c r="K25" s="71"/>
      <c r="L25" s="82">
        <v>13871.8</v>
      </c>
      <c r="M25" s="71">
        <v>10071.1</v>
      </c>
      <c r="N25" s="216">
        <v>9973.2000000000007</v>
      </c>
      <c r="O25" s="71">
        <v>7269.2</v>
      </c>
      <c r="P25" s="72"/>
    </row>
    <row r="26" spans="1:16">
      <c r="A26" s="295"/>
      <c r="B26" s="289"/>
      <c r="C26" s="296"/>
      <c r="D26" s="66" t="s">
        <v>415</v>
      </c>
      <c r="E26">
        <v>3</v>
      </c>
      <c r="G26" t="s">
        <v>427</v>
      </c>
      <c r="H26" s="65">
        <v>44440</v>
      </c>
      <c r="K26" s="71"/>
      <c r="L26" s="82">
        <v>13871</v>
      </c>
      <c r="M26" s="71">
        <v>10070</v>
      </c>
      <c r="N26" s="216">
        <v>9972</v>
      </c>
      <c r="O26" s="71">
        <v>7269</v>
      </c>
      <c r="P26" s="72"/>
    </row>
    <row r="27" spans="1:16">
      <c r="A27" s="295"/>
      <c r="B27" s="289"/>
      <c r="C27" s="296"/>
      <c r="D27" s="66" t="s">
        <v>415</v>
      </c>
      <c r="E27">
        <v>6</v>
      </c>
      <c r="G27" t="s">
        <v>427</v>
      </c>
      <c r="H27" s="65">
        <v>44440</v>
      </c>
      <c r="K27" s="71"/>
      <c r="L27" s="82">
        <v>0.8</v>
      </c>
      <c r="M27" s="71">
        <v>1.1000000000000001</v>
      </c>
      <c r="N27" s="216">
        <v>1.2</v>
      </c>
      <c r="O27" s="71">
        <v>0.2</v>
      </c>
      <c r="P27" s="72"/>
    </row>
    <row r="28" spans="1:16">
      <c r="A28" s="295"/>
      <c r="B28" s="289"/>
      <c r="C28" s="296"/>
      <c r="D28" s="66" t="s">
        <v>417</v>
      </c>
      <c r="F28" t="s">
        <v>54</v>
      </c>
      <c r="G28" t="s">
        <v>57</v>
      </c>
      <c r="H28" s="65">
        <v>44440</v>
      </c>
      <c r="K28" s="71"/>
      <c r="L28" s="72"/>
      <c r="M28" s="83">
        <v>83985.94</v>
      </c>
      <c r="N28" s="216">
        <v>75043.539999999994</v>
      </c>
      <c r="O28" s="71">
        <v>75271.521999999997</v>
      </c>
      <c r="P28" s="72"/>
    </row>
    <row r="29" spans="1:16">
      <c r="A29" s="295"/>
      <c r="B29" s="289"/>
      <c r="C29" s="296"/>
      <c r="D29" s="66" t="s">
        <v>417</v>
      </c>
      <c r="F29" t="s">
        <v>421</v>
      </c>
      <c r="G29" t="s">
        <v>57</v>
      </c>
      <c r="H29" s="65">
        <v>44440</v>
      </c>
      <c r="K29" s="71"/>
      <c r="L29" s="72"/>
      <c r="M29" s="71">
        <v>130781.59</v>
      </c>
      <c r="N29" s="216">
        <v>120964.446</v>
      </c>
      <c r="O29" s="71">
        <v>115564.879</v>
      </c>
      <c r="P29" s="72"/>
    </row>
    <row r="30" spans="1:16">
      <c r="A30" s="295"/>
      <c r="B30" s="293"/>
      <c r="C30" s="296"/>
      <c r="D30" s="66" t="s">
        <v>418</v>
      </c>
      <c r="H30" s="65">
        <v>44440</v>
      </c>
      <c r="K30" s="71"/>
      <c r="L30" s="72"/>
      <c r="M30" s="71"/>
      <c r="N30" s="216"/>
      <c r="O30" s="73" t="s">
        <v>419</v>
      </c>
      <c r="P30" s="72"/>
    </row>
    <row r="31" spans="1:16">
      <c r="A31" s="295" t="s">
        <v>49</v>
      </c>
      <c r="B31" s="292" t="s">
        <v>50</v>
      </c>
      <c r="C31" s="296" t="s">
        <v>51</v>
      </c>
      <c r="D31" s="66" t="s">
        <v>411</v>
      </c>
      <c r="G31" t="s">
        <v>428</v>
      </c>
      <c r="H31" s="65">
        <v>44699</v>
      </c>
      <c r="K31" s="71"/>
      <c r="L31" s="72"/>
      <c r="M31" s="71"/>
      <c r="N31" s="216"/>
      <c r="O31" s="71"/>
      <c r="P31" s="72">
        <v>41202392</v>
      </c>
    </row>
    <row r="32" spans="1:16">
      <c r="A32" s="295"/>
      <c r="B32" s="289"/>
      <c r="C32" s="296"/>
      <c r="D32" s="66" t="s">
        <v>412</v>
      </c>
      <c r="E32" t="s">
        <v>413</v>
      </c>
      <c r="G32" t="s">
        <v>428</v>
      </c>
      <c r="H32" s="65">
        <v>44699</v>
      </c>
      <c r="K32" s="71"/>
      <c r="L32" s="72"/>
      <c r="M32" s="71"/>
      <c r="N32" s="216"/>
      <c r="O32" s="71"/>
      <c r="P32" s="72">
        <v>253302</v>
      </c>
    </row>
    <row r="33" spans="1:19">
      <c r="A33" s="295"/>
      <c r="B33" s="289"/>
      <c r="C33" s="296"/>
      <c r="D33" s="66" t="s">
        <v>412</v>
      </c>
      <c r="E33" t="s">
        <v>420</v>
      </c>
      <c r="G33" t="s">
        <v>428</v>
      </c>
      <c r="H33" s="65">
        <v>44699</v>
      </c>
      <c r="K33" s="71"/>
      <c r="L33" s="72"/>
      <c r="M33" s="71"/>
      <c r="N33" s="216"/>
      <c r="O33" s="71"/>
      <c r="P33" s="72">
        <v>253302</v>
      </c>
    </row>
    <row r="34" spans="1:19">
      <c r="A34" s="295"/>
      <c r="B34" s="289"/>
      <c r="C34" s="296"/>
      <c r="D34" s="66" t="s">
        <v>414</v>
      </c>
      <c r="E34" t="s">
        <v>413</v>
      </c>
      <c r="G34" t="s">
        <v>428</v>
      </c>
      <c r="H34" s="65">
        <v>44699</v>
      </c>
      <c r="K34" s="71"/>
      <c r="L34" s="72"/>
      <c r="M34" s="71"/>
      <c r="N34" s="216"/>
      <c r="O34" s="71"/>
      <c r="P34" s="72">
        <v>41455694</v>
      </c>
    </row>
    <row r="35" spans="1:19">
      <c r="A35" s="295"/>
      <c r="B35" s="289"/>
      <c r="C35" s="296"/>
      <c r="D35" s="75" t="s">
        <v>415</v>
      </c>
      <c r="E35" s="45"/>
      <c r="G35" t="s">
        <v>428</v>
      </c>
      <c r="H35" s="65">
        <v>44699</v>
      </c>
      <c r="K35" s="71"/>
      <c r="L35" s="72"/>
      <c r="M35" s="71"/>
      <c r="N35" s="216"/>
      <c r="O35" s="71"/>
      <c r="P35" s="72">
        <v>7351038</v>
      </c>
    </row>
    <row r="36" spans="1:19">
      <c r="A36" s="295"/>
      <c r="B36" s="289"/>
      <c r="C36" s="296"/>
      <c r="D36" s="66" t="s">
        <v>415</v>
      </c>
      <c r="E36">
        <v>3</v>
      </c>
      <c r="G36" t="s">
        <v>428</v>
      </c>
      <c r="H36" s="65">
        <v>44699</v>
      </c>
      <c r="K36" s="71"/>
      <c r="L36" s="72"/>
      <c r="M36" s="71"/>
      <c r="N36" s="216"/>
      <c r="O36" s="71"/>
      <c r="P36" s="72">
        <v>7350511</v>
      </c>
    </row>
    <row r="37" spans="1:19">
      <c r="A37" s="295"/>
      <c r="B37" s="289"/>
      <c r="C37" s="296"/>
      <c r="D37" s="66" t="s">
        <v>415</v>
      </c>
      <c r="E37">
        <v>6</v>
      </c>
      <c r="G37" t="s">
        <v>428</v>
      </c>
      <c r="H37" s="65">
        <v>44699</v>
      </c>
      <c r="K37" s="71"/>
      <c r="L37" s="72"/>
      <c r="M37" s="71"/>
      <c r="N37" s="216"/>
      <c r="O37" s="71"/>
      <c r="P37" s="72">
        <v>527</v>
      </c>
    </row>
    <row r="38" spans="1:19">
      <c r="A38" s="295"/>
      <c r="B38" s="289"/>
      <c r="C38" s="296"/>
      <c r="D38" s="66" t="s">
        <v>417</v>
      </c>
      <c r="F38" t="s">
        <v>423</v>
      </c>
      <c r="G38" t="s">
        <v>57</v>
      </c>
      <c r="H38" s="65">
        <v>44699</v>
      </c>
      <c r="K38" s="71"/>
      <c r="L38" s="72"/>
      <c r="M38" s="71"/>
      <c r="N38" s="216"/>
      <c r="O38" s="71"/>
      <c r="P38" s="72">
        <v>72506.148000000001</v>
      </c>
    </row>
    <row r="39" spans="1:19">
      <c r="A39" s="295"/>
      <c r="B39" s="289"/>
      <c r="C39" s="296"/>
      <c r="D39" s="66" t="s">
        <v>417</v>
      </c>
      <c r="F39" t="s">
        <v>424</v>
      </c>
      <c r="G39" t="s">
        <v>57</v>
      </c>
      <c r="H39" s="65">
        <v>44699</v>
      </c>
      <c r="K39" s="71"/>
      <c r="L39" s="72"/>
      <c r="M39" s="71"/>
      <c r="N39" s="216"/>
      <c r="O39" s="71"/>
      <c r="P39" s="72">
        <v>67920.774999999994</v>
      </c>
    </row>
    <row r="40" spans="1:19">
      <c r="A40" s="295"/>
      <c r="B40" s="293"/>
      <c r="C40" s="296"/>
      <c r="D40" s="66" t="s">
        <v>418</v>
      </c>
      <c r="H40" s="65">
        <v>44699</v>
      </c>
      <c r="K40" s="71"/>
      <c r="L40" s="72"/>
      <c r="M40" s="71"/>
      <c r="N40" s="216"/>
      <c r="O40" s="71"/>
      <c r="P40" s="74" t="s">
        <v>422</v>
      </c>
    </row>
    <row r="41" spans="1:19">
      <c r="A41" s="295" t="s">
        <v>58</v>
      </c>
      <c r="B41" s="292" t="s">
        <v>59</v>
      </c>
      <c r="C41" s="296" t="s">
        <v>60</v>
      </c>
      <c r="D41" s="66" t="s">
        <v>414</v>
      </c>
      <c r="G41" t="s">
        <v>429</v>
      </c>
      <c r="H41" s="65">
        <v>44561</v>
      </c>
      <c r="K41" s="71">
        <v>8.0287915246316803</v>
      </c>
      <c r="L41" s="72">
        <v>6.5660701667357202</v>
      </c>
      <c r="M41" s="71">
        <v>6.62201886746863</v>
      </c>
      <c r="N41" s="216">
        <v>4.2233661489335503</v>
      </c>
      <c r="O41" s="71">
        <v>3.7507315607425</v>
      </c>
      <c r="P41" s="72">
        <v>4.2233661489335503</v>
      </c>
    </row>
    <row r="42" spans="1:19">
      <c r="A42" s="295"/>
      <c r="B42" s="289"/>
      <c r="C42" s="296"/>
      <c r="D42" s="66" t="s">
        <v>417</v>
      </c>
      <c r="G42" t="s">
        <v>62</v>
      </c>
      <c r="H42" s="65">
        <v>44561</v>
      </c>
      <c r="K42" s="71">
        <v>10.311126979999999</v>
      </c>
      <c r="L42" s="72">
        <v>9.0333661999999997</v>
      </c>
      <c r="M42" s="71">
        <v>8.7434580000000004</v>
      </c>
      <c r="N42" s="216">
        <v>6.4909062000000004</v>
      </c>
      <c r="O42" s="71">
        <v>6.0783424000000004</v>
      </c>
      <c r="P42" s="72">
        <v>6.4909062000000004</v>
      </c>
    </row>
    <row r="43" spans="1:19">
      <c r="A43" s="295"/>
      <c r="B43" s="293"/>
      <c r="C43" s="296"/>
      <c r="D43" s="66" t="s">
        <v>418</v>
      </c>
      <c r="H43" s="65"/>
      <c r="K43" s="71"/>
      <c r="L43" s="72"/>
      <c r="M43" s="71"/>
      <c r="N43" s="216"/>
      <c r="O43" s="71"/>
      <c r="P43" s="72"/>
    </row>
    <row r="44" spans="1:19">
      <c r="A44" s="291" t="s">
        <v>63</v>
      </c>
      <c r="B44" s="292" t="s">
        <v>64</v>
      </c>
      <c r="C44" s="292" t="s">
        <v>65</v>
      </c>
      <c r="D44" s="66" t="s">
        <v>414</v>
      </c>
      <c r="G44" t="s">
        <v>429</v>
      </c>
      <c r="H44" s="65">
        <v>44561</v>
      </c>
      <c r="K44" s="71">
        <v>12.247083817892101</v>
      </c>
      <c r="L44" s="72">
        <v>13.5958064794906</v>
      </c>
      <c r="M44" s="71">
        <v>14.5804238153298</v>
      </c>
      <c r="N44" s="216">
        <v>11.098764958614</v>
      </c>
      <c r="O44" s="71">
        <v>11.0377558529367</v>
      </c>
      <c r="P44" s="72"/>
    </row>
    <row r="45" spans="1:19">
      <c r="A45" s="286"/>
      <c r="B45" s="289"/>
      <c r="C45" s="289"/>
      <c r="D45" s="66" t="s">
        <v>417</v>
      </c>
      <c r="G45" t="s">
        <v>62</v>
      </c>
      <c r="H45" s="65">
        <v>44561</v>
      </c>
      <c r="K45" s="71">
        <v>16.476443515</v>
      </c>
      <c r="L45" s="72">
        <v>18.56133809</v>
      </c>
      <c r="M45" s="71">
        <v>21.667851862999999</v>
      </c>
      <c r="N45" s="216">
        <v>20.524337211500001</v>
      </c>
      <c r="O45" s="71">
        <v>22.008184386</v>
      </c>
      <c r="P45" s="72"/>
    </row>
    <row r="46" spans="1:19">
      <c r="A46" s="294"/>
      <c r="B46" s="293"/>
      <c r="C46" s="293"/>
      <c r="D46" s="66" t="s">
        <v>418</v>
      </c>
      <c r="H46" s="65"/>
      <c r="K46" s="71"/>
      <c r="L46" s="72"/>
      <c r="M46" s="71"/>
      <c r="N46" s="216"/>
      <c r="O46" s="71"/>
      <c r="P46" s="72"/>
    </row>
    <row r="47" spans="1:19">
      <c r="A47" s="295" t="s">
        <v>63</v>
      </c>
      <c r="B47" s="292" t="s">
        <v>64</v>
      </c>
      <c r="C47" s="296" t="s">
        <v>65</v>
      </c>
      <c r="D47" s="66" t="s">
        <v>411</v>
      </c>
      <c r="E47" t="s">
        <v>443</v>
      </c>
      <c r="F47" t="s">
        <v>576</v>
      </c>
      <c r="G47" t="s">
        <v>428</v>
      </c>
      <c r="H47" s="65">
        <v>44762</v>
      </c>
      <c r="K47" s="71"/>
      <c r="L47" s="72"/>
      <c r="M47" s="71"/>
      <c r="N47" s="216">
        <f>14268761</f>
        <v>14268761</v>
      </c>
      <c r="O47" s="71">
        <f>12591944</f>
        <v>12591944</v>
      </c>
      <c r="P47" s="72">
        <f>15690441</f>
        <v>15690441</v>
      </c>
      <c r="R47" s="56"/>
      <c r="S47" s="56"/>
    </row>
    <row r="48" spans="1:19">
      <c r="A48" s="295"/>
      <c r="B48" s="289"/>
      <c r="C48" s="296"/>
      <c r="D48" s="66" t="s">
        <v>411</v>
      </c>
      <c r="E48" t="s">
        <v>449</v>
      </c>
      <c r="F48" t="s">
        <v>576</v>
      </c>
      <c r="G48" t="s">
        <v>428</v>
      </c>
      <c r="H48" s="65">
        <v>44762</v>
      </c>
      <c r="K48" s="71"/>
      <c r="L48" s="72"/>
      <c r="M48" s="71"/>
      <c r="N48" s="216">
        <f>14198188</f>
        <v>14198188</v>
      </c>
      <c r="O48" s="71">
        <f>12524790</f>
        <v>12524790</v>
      </c>
      <c r="P48" s="72">
        <f>15617335</f>
        <v>15617335</v>
      </c>
      <c r="R48" s="56"/>
      <c r="S48" s="56"/>
    </row>
    <row r="49" spans="1:19">
      <c r="A49" s="295"/>
      <c r="B49" s="289"/>
      <c r="C49" s="296"/>
      <c r="D49" s="66" t="s">
        <v>411</v>
      </c>
      <c r="E49" t="s">
        <v>517</v>
      </c>
      <c r="F49" t="s">
        <v>576</v>
      </c>
      <c r="G49" t="s">
        <v>428</v>
      </c>
      <c r="H49" s="65">
        <v>44762</v>
      </c>
      <c r="K49" s="71"/>
      <c r="L49" s="72"/>
      <c r="M49" s="71"/>
      <c r="N49" s="216">
        <f>4814</f>
        <v>4814</v>
      </c>
      <c r="O49" s="71">
        <f>3812</f>
        <v>3812</v>
      </c>
      <c r="P49" s="72">
        <f>3355</f>
        <v>3355</v>
      </c>
      <c r="R49" s="56"/>
      <c r="S49" s="56"/>
    </row>
    <row r="50" spans="1:19">
      <c r="A50" s="295"/>
      <c r="B50" s="289"/>
      <c r="C50" s="296"/>
      <c r="D50" s="66" t="s">
        <v>411</v>
      </c>
      <c r="E50" t="s">
        <v>518</v>
      </c>
      <c r="F50" t="s">
        <v>576</v>
      </c>
      <c r="G50" t="s">
        <v>428</v>
      </c>
      <c r="H50" s="65">
        <v>44762</v>
      </c>
      <c r="K50" s="71"/>
      <c r="L50" s="72"/>
      <c r="M50" s="71"/>
      <c r="N50" s="216">
        <f>22779</f>
        <v>22779</v>
      </c>
      <c r="O50" s="71">
        <f>21242</f>
        <v>21242</v>
      </c>
      <c r="P50" s="72">
        <f>26236</f>
        <v>26236</v>
      </c>
      <c r="R50" s="56"/>
      <c r="S50" s="56"/>
    </row>
    <row r="51" spans="1:19">
      <c r="A51" s="295"/>
      <c r="B51" s="289"/>
      <c r="C51" s="296"/>
      <c r="D51" s="66" t="s">
        <v>411</v>
      </c>
      <c r="E51" t="s">
        <v>519</v>
      </c>
      <c r="F51" t="s">
        <v>576</v>
      </c>
      <c r="G51" t="s">
        <v>428</v>
      </c>
      <c r="H51" s="65">
        <v>44762</v>
      </c>
      <c r="K51" s="71"/>
      <c r="L51" s="72"/>
      <c r="M51" s="71"/>
      <c r="N51" s="216">
        <f>42979</f>
        <v>42979</v>
      </c>
      <c r="O51" s="71">
        <f>42099</f>
        <v>42099</v>
      </c>
      <c r="P51" s="72">
        <f>43514</f>
        <v>43514</v>
      </c>
      <c r="R51" s="56"/>
      <c r="S51" s="56"/>
    </row>
    <row r="52" spans="1:19">
      <c r="A52" s="295"/>
      <c r="B52" s="289"/>
      <c r="C52" s="296"/>
      <c r="D52" s="66" t="s">
        <v>412</v>
      </c>
      <c r="E52" t="s">
        <v>413</v>
      </c>
      <c r="G52" t="s">
        <v>428</v>
      </c>
      <c r="H52" s="65">
        <v>44762</v>
      </c>
      <c r="K52" s="71"/>
      <c r="L52" s="72"/>
      <c r="M52" s="71"/>
      <c r="N52" s="216">
        <v>422</v>
      </c>
      <c r="O52" s="71">
        <v>364</v>
      </c>
      <c r="P52" s="72">
        <v>433</v>
      </c>
      <c r="R52" s="56"/>
      <c r="S52" s="56"/>
    </row>
    <row r="53" spans="1:19">
      <c r="A53" s="295"/>
      <c r="B53" s="289"/>
      <c r="C53" s="296"/>
      <c r="D53" s="66" t="s">
        <v>412</v>
      </c>
      <c r="E53" t="s">
        <v>420</v>
      </c>
      <c r="G53" t="s">
        <v>428</v>
      </c>
      <c r="H53" s="65">
        <v>44762</v>
      </c>
      <c r="K53" s="71"/>
      <c r="L53" s="72"/>
      <c r="M53" s="71"/>
      <c r="N53" s="216">
        <v>412</v>
      </c>
      <c r="O53" s="71">
        <v>344</v>
      </c>
      <c r="P53" s="72">
        <v>408</v>
      </c>
    </row>
    <row r="54" spans="1:19">
      <c r="A54" s="295"/>
      <c r="B54" s="289"/>
      <c r="C54" s="296"/>
      <c r="D54" s="66" t="s">
        <v>415</v>
      </c>
      <c r="H54" s="65"/>
      <c r="K54" s="71"/>
      <c r="L54" s="72"/>
      <c r="M54" s="71"/>
      <c r="N54" s="216"/>
      <c r="O54" s="71"/>
      <c r="P54" s="72"/>
    </row>
    <row r="55" spans="1:19">
      <c r="A55" s="295"/>
      <c r="B55" s="289"/>
      <c r="C55" s="296"/>
      <c r="D55" s="66" t="s">
        <v>587</v>
      </c>
      <c r="G55" t="s">
        <v>617</v>
      </c>
      <c r="H55" s="65">
        <v>44762</v>
      </c>
      <c r="K55" s="71"/>
      <c r="L55" s="72"/>
      <c r="M55" s="71"/>
      <c r="N55" s="216">
        <v>178466.73495000001</v>
      </c>
      <c r="O55" s="71">
        <v>171565.87414999999</v>
      </c>
      <c r="P55" s="72">
        <v>172043.20735000001</v>
      </c>
    </row>
    <row r="56" spans="1:19">
      <c r="A56" s="295"/>
      <c r="B56" s="289"/>
      <c r="C56" s="296"/>
      <c r="D56" s="66" t="s">
        <v>417</v>
      </c>
      <c r="E56" t="s">
        <v>449</v>
      </c>
      <c r="F56" t="s">
        <v>424</v>
      </c>
      <c r="G56" t="s">
        <v>79</v>
      </c>
      <c r="H56" s="65">
        <v>44762</v>
      </c>
      <c r="K56" s="71"/>
      <c r="L56" s="72"/>
      <c r="M56" s="71"/>
      <c r="N56" s="218">
        <f>SUM(N57:N67)</f>
        <v>32233018.312095005</v>
      </c>
      <c r="O56" s="95">
        <f>SUM(O57:O67)</f>
        <v>31138411.893789001</v>
      </c>
      <c r="P56" s="94">
        <f>SUM(P57:P67)</f>
        <v>31900942.297408</v>
      </c>
    </row>
    <row r="57" spans="1:19">
      <c r="A57" s="295"/>
      <c r="B57" s="289"/>
      <c r="C57" s="296"/>
      <c r="D57" s="66" t="s">
        <v>449</v>
      </c>
      <c r="E57" t="s">
        <v>506</v>
      </c>
      <c r="F57" t="s">
        <v>424</v>
      </c>
      <c r="G57" t="s">
        <v>79</v>
      </c>
      <c r="H57" s="65">
        <v>44762</v>
      </c>
      <c r="K57" s="71"/>
      <c r="L57" s="72"/>
      <c r="M57" s="71"/>
      <c r="N57" s="216">
        <v>8643022.3450000007</v>
      </c>
      <c r="O57" s="71">
        <v>7020083.7143700002</v>
      </c>
      <c r="P57" s="72">
        <v>10217886.18737</v>
      </c>
    </row>
    <row r="58" spans="1:19">
      <c r="A58" s="295"/>
      <c r="B58" s="289"/>
      <c r="C58" s="296"/>
      <c r="D58" s="66" t="s">
        <v>449</v>
      </c>
      <c r="E58" t="s">
        <v>507</v>
      </c>
      <c r="F58" t="s">
        <v>424</v>
      </c>
      <c r="G58" t="s">
        <v>79</v>
      </c>
      <c r="H58" s="65">
        <v>44762</v>
      </c>
      <c r="K58" s="71"/>
      <c r="L58" s="72"/>
      <c r="M58" s="71"/>
      <c r="N58" s="216">
        <v>11070789.715</v>
      </c>
      <c r="O58" s="71">
        <v>10451667.45362</v>
      </c>
      <c r="P58" s="72">
        <v>10081715.725</v>
      </c>
    </row>
    <row r="59" spans="1:19">
      <c r="A59" s="295"/>
      <c r="B59" s="289"/>
      <c r="C59" s="296"/>
      <c r="D59" s="66" t="s">
        <v>449</v>
      </c>
      <c r="E59" t="s">
        <v>508</v>
      </c>
      <c r="F59" t="s">
        <v>424</v>
      </c>
      <c r="G59" t="s">
        <v>79</v>
      </c>
      <c r="H59" s="65">
        <v>44762</v>
      </c>
      <c r="K59" s="71"/>
      <c r="L59" s="72"/>
      <c r="M59" s="71"/>
      <c r="N59" s="216">
        <v>3747846.2</v>
      </c>
      <c r="O59" s="71">
        <v>2346939.1</v>
      </c>
      <c r="P59" s="72">
        <v>0</v>
      </c>
    </row>
    <row r="60" spans="1:19">
      <c r="A60" s="295"/>
      <c r="B60" s="289"/>
      <c r="C60" s="296"/>
      <c r="D60" s="66" t="s">
        <v>449</v>
      </c>
      <c r="E60" t="s">
        <v>509</v>
      </c>
      <c r="F60" t="s">
        <v>424</v>
      </c>
      <c r="G60" t="s">
        <v>79</v>
      </c>
      <c r="H60" s="65">
        <v>44762</v>
      </c>
      <c r="K60" s="71"/>
      <c r="L60" s="72"/>
      <c r="M60" s="71"/>
      <c r="N60" s="216">
        <v>4957.5519999999997</v>
      </c>
      <c r="O60" s="71">
        <v>743.29379999999992</v>
      </c>
      <c r="P60" s="72">
        <v>680.21500000000003</v>
      </c>
    </row>
    <row r="61" spans="1:19">
      <c r="A61" s="295"/>
      <c r="B61" s="289"/>
      <c r="C61" s="296"/>
      <c r="D61" s="66" t="s">
        <v>449</v>
      </c>
      <c r="E61" t="s">
        <v>510</v>
      </c>
      <c r="F61" t="s">
        <v>424</v>
      </c>
      <c r="G61" t="s">
        <v>79</v>
      </c>
      <c r="H61" s="65">
        <v>44762</v>
      </c>
      <c r="K61" s="71"/>
      <c r="L61" s="72"/>
      <c r="M61" s="71"/>
      <c r="N61" s="216"/>
      <c r="O61" s="71"/>
      <c r="P61" s="72"/>
    </row>
    <row r="62" spans="1:19">
      <c r="A62" s="295"/>
      <c r="B62" s="289"/>
      <c r="C62" s="296"/>
      <c r="D62" s="66" t="s">
        <v>449</v>
      </c>
      <c r="E62" t="s">
        <v>511</v>
      </c>
      <c r="F62" t="s">
        <v>424</v>
      </c>
      <c r="G62" t="s">
        <v>79</v>
      </c>
      <c r="H62" s="65">
        <v>44762</v>
      </c>
      <c r="K62" s="71"/>
      <c r="L62" s="72"/>
      <c r="M62" s="71"/>
      <c r="N62" s="216">
        <v>62897.669002000002</v>
      </c>
      <c r="O62" s="71">
        <v>43163.319000000003</v>
      </c>
      <c r="P62" s="72">
        <v>32782.554499999998</v>
      </c>
    </row>
    <row r="63" spans="1:19">
      <c r="A63" s="295"/>
      <c r="B63" s="289"/>
      <c r="C63" s="296"/>
      <c r="D63" s="66" t="s">
        <v>449</v>
      </c>
      <c r="E63" t="s">
        <v>512</v>
      </c>
      <c r="F63" t="s">
        <v>424</v>
      </c>
      <c r="G63" t="s">
        <v>79</v>
      </c>
      <c r="H63" s="65">
        <v>44762</v>
      </c>
      <c r="K63" s="71"/>
      <c r="L63" s="72"/>
      <c r="M63" s="71"/>
      <c r="N63" s="216">
        <v>0</v>
      </c>
      <c r="O63" s="71">
        <v>0</v>
      </c>
      <c r="P63" s="72">
        <v>0</v>
      </c>
    </row>
    <row r="64" spans="1:19">
      <c r="A64" s="295"/>
      <c r="B64" s="289"/>
      <c r="C64" s="296"/>
      <c r="D64" s="66" t="s">
        <v>449</v>
      </c>
      <c r="E64" t="s">
        <v>513</v>
      </c>
      <c r="F64" t="s">
        <v>424</v>
      </c>
      <c r="G64" t="s">
        <v>79</v>
      </c>
      <c r="H64" s="65">
        <v>44762</v>
      </c>
      <c r="K64" s="71"/>
      <c r="L64" s="72"/>
      <c r="M64" s="71"/>
      <c r="N64" s="216">
        <v>401658.99240300001</v>
      </c>
      <c r="O64" s="71">
        <v>396418.86952100002</v>
      </c>
      <c r="P64" s="72">
        <v>351430.85375500005</v>
      </c>
    </row>
    <row r="65" spans="1:16">
      <c r="A65" s="295"/>
      <c r="B65" s="289"/>
      <c r="C65" s="296"/>
      <c r="D65" s="66" t="s">
        <v>449</v>
      </c>
      <c r="E65" t="s">
        <v>514</v>
      </c>
      <c r="F65" t="s">
        <v>424</v>
      </c>
      <c r="G65" t="s">
        <v>79</v>
      </c>
      <c r="H65" s="65">
        <v>44762</v>
      </c>
      <c r="K65" s="71"/>
      <c r="L65" s="72"/>
      <c r="M65" s="71"/>
      <c r="N65" s="216">
        <v>15876.938676</v>
      </c>
      <c r="O65" s="71">
        <v>23605.580087999999</v>
      </c>
      <c r="P65" s="72">
        <v>34128.462853000005</v>
      </c>
    </row>
    <row r="66" spans="1:16">
      <c r="A66" s="295"/>
      <c r="B66" s="289"/>
      <c r="C66" s="296"/>
      <c r="D66" s="66" t="s">
        <v>449</v>
      </c>
      <c r="E66" t="s">
        <v>515</v>
      </c>
      <c r="F66" t="s">
        <v>424</v>
      </c>
      <c r="G66" t="s">
        <v>79</v>
      </c>
      <c r="H66" s="65">
        <v>44762</v>
      </c>
      <c r="K66" s="71"/>
      <c r="L66" s="72"/>
      <c r="M66" s="71"/>
      <c r="N66" s="216">
        <v>5224940.3026100006</v>
      </c>
      <c r="O66" s="71">
        <v>8463410.366390001</v>
      </c>
      <c r="P66" s="72">
        <v>8716371.8239300009</v>
      </c>
    </row>
    <row r="67" spans="1:16">
      <c r="A67" s="295"/>
      <c r="B67" s="289"/>
      <c r="C67" s="296"/>
      <c r="D67" s="66" t="s">
        <v>449</v>
      </c>
      <c r="E67" t="s">
        <v>516</v>
      </c>
      <c r="F67" t="s">
        <v>424</v>
      </c>
      <c r="G67" t="s">
        <v>79</v>
      </c>
      <c r="H67" s="65">
        <v>44762</v>
      </c>
      <c r="K67" s="71"/>
      <c r="L67" s="72"/>
      <c r="M67" s="71"/>
      <c r="N67" s="216">
        <v>3061028.5974039999</v>
      </c>
      <c r="O67" s="71">
        <v>2392380.1970000002</v>
      </c>
      <c r="P67" s="72">
        <v>2465946.4750000001</v>
      </c>
    </row>
    <row r="68" spans="1:16">
      <c r="A68" s="295"/>
      <c r="B68" s="289"/>
      <c r="C68" s="296"/>
      <c r="D68" s="66" t="s">
        <v>417</v>
      </c>
      <c r="E68" t="s">
        <v>449</v>
      </c>
      <c r="F68" t="s">
        <v>576</v>
      </c>
      <c r="G68" t="s">
        <v>79</v>
      </c>
      <c r="H68" s="65">
        <v>44762</v>
      </c>
      <c r="K68" s="71"/>
      <c r="L68" s="72"/>
      <c r="M68" s="71"/>
      <c r="N68" s="218">
        <f>SUM(N69:N79)</f>
        <v>22837362.731270008</v>
      </c>
      <c r="O68" s="95">
        <f>SUM(O69:O79)</f>
        <v>22586018.691</v>
      </c>
      <c r="P68" s="94">
        <f>SUM(P69:P79)</f>
        <v>25729418.987590004</v>
      </c>
    </row>
    <row r="69" spans="1:16">
      <c r="A69" s="295"/>
      <c r="B69" s="289"/>
      <c r="C69" s="296"/>
      <c r="D69" s="66" t="s">
        <v>449</v>
      </c>
      <c r="E69" t="s">
        <v>506</v>
      </c>
      <c r="F69" t="s">
        <v>576</v>
      </c>
      <c r="G69" t="s">
        <v>79</v>
      </c>
      <c r="H69" s="65">
        <v>44762</v>
      </c>
      <c r="K69" s="71"/>
      <c r="L69" s="72"/>
      <c r="M69" s="71"/>
      <c r="N69" s="216">
        <v>8643022.3450000007</v>
      </c>
      <c r="O69" s="71">
        <v>7020083.7143700002</v>
      </c>
      <c r="P69">
        <v>10217886.18737</v>
      </c>
    </row>
    <row r="70" spans="1:16">
      <c r="A70" s="295"/>
      <c r="B70" s="289"/>
      <c r="C70" s="296"/>
      <c r="D70" s="66" t="s">
        <v>449</v>
      </c>
      <c r="E70" t="s">
        <v>507</v>
      </c>
      <c r="F70" t="s">
        <v>576</v>
      </c>
      <c r="G70" t="s">
        <v>79</v>
      </c>
      <c r="H70" s="65">
        <v>44762</v>
      </c>
      <c r="K70" s="71"/>
      <c r="L70" s="72"/>
      <c r="M70" s="71"/>
      <c r="N70" s="216">
        <v>11059565.715</v>
      </c>
      <c r="O70" s="71">
        <v>10440401.45362</v>
      </c>
      <c r="P70">
        <v>10054417.947999999</v>
      </c>
    </row>
    <row r="71" spans="1:16">
      <c r="A71" s="295"/>
      <c r="B71" s="289"/>
      <c r="C71" s="296"/>
      <c r="D71" s="66" t="s">
        <v>449</v>
      </c>
      <c r="E71" t="s">
        <v>508</v>
      </c>
      <c r="F71" t="s">
        <v>576</v>
      </c>
      <c r="G71" t="s">
        <v>79</v>
      </c>
      <c r="H71" s="65">
        <v>44762</v>
      </c>
      <c r="K71" s="71"/>
      <c r="L71" s="72"/>
      <c r="M71" s="71"/>
      <c r="N71" s="216">
        <v>0</v>
      </c>
      <c r="O71" s="71">
        <v>0</v>
      </c>
      <c r="P71">
        <v>0</v>
      </c>
    </row>
    <row r="72" spans="1:16">
      <c r="A72" s="295"/>
      <c r="B72" s="289"/>
      <c r="C72" s="296"/>
      <c r="D72" s="66" t="s">
        <v>449</v>
      </c>
      <c r="E72" t="s">
        <v>509</v>
      </c>
      <c r="F72" t="s">
        <v>576</v>
      </c>
      <c r="G72" t="s">
        <v>79</v>
      </c>
      <c r="H72" s="65">
        <v>44762</v>
      </c>
      <c r="K72" s="71"/>
      <c r="L72" s="72"/>
      <c r="M72" s="71"/>
      <c r="N72" s="216">
        <v>4957.5519999999997</v>
      </c>
      <c r="O72" s="71">
        <v>743.29379999999992</v>
      </c>
      <c r="P72">
        <v>680.21500000000003</v>
      </c>
    </row>
    <row r="73" spans="1:16">
      <c r="A73" s="295"/>
      <c r="B73" s="289"/>
      <c r="C73" s="296"/>
      <c r="D73" s="66" t="s">
        <v>449</v>
      </c>
      <c r="E73" t="s">
        <v>510</v>
      </c>
      <c r="F73" t="s">
        <v>576</v>
      </c>
      <c r="G73" t="s">
        <v>79</v>
      </c>
      <c r="H73" s="65">
        <v>44762</v>
      </c>
      <c r="K73" s="71"/>
      <c r="L73" s="72"/>
      <c r="M73" s="71"/>
      <c r="N73" s="216"/>
      <c r="O73" s="71"/>
    </row>
    <row r="74" spans="1:16">
      <c r="A74" s="295"/>
      <c r="B74" s="289"/>
      <c r="C74" s="296"/>
      <c r="D74" s="66" t="s">
        <v>449</v>
      </c>
      <c r="E74" t="s">
        <v>511</v>
      </c>
      <c r="F74" t="s">
        <v>576</v>
      </c>
      <c r="G74" t="s">
        <v>79</v>
      </c>
      <c r="H74" s="65">
        <v>44762</v>
      </c>
      <c r="K74" s="71"/>
      <c r="L74" s="72"/>
      <c r="M74" s="71"/>
      <c r="N74" s="216">
        <v>0</v>
      </c>
      <c r="O74" s="71">
        <v>0</v>
      </c>
      <c r="P74">
        <v>0</v>
      </c>
    </row>
    <row r="75" spans="1:16">
      <c r="A75" s="295"/>
      <c r="B75" s="289"/>
      <c r="C75" s="296"/>
      <c r="D75" s="66" t="s">
        <v>449</v>
      </c>
      <c r="E75" t="s">
        <v>512</v>
      </c>
      <c r="F75" t="s">
        <v>576</v>
      </c>
      <c r="G75" t="s">
        <v>79</v>
      </c>
      <c r="H75" s="65">
        <v>44762</v>
      </c>
      <c r="K75" s="71"/>
      <c r="L75" s="72"/>
      <c r="M75" s="71"/>
      <c r="N75" s="216">
        <v>0</v>
      </c>
      <c r="O75" s="71">
        <v>0</v>
      </c>
      <c r="P75">
        <v>0</v>
      </c>
    </row>
    <row r="76" spans="1:16">
      <c r="A76" s="295"/>
      <c r="B76" s="289"/>
      <c r="C76" s="296"/>
      <c r="D76" s="66" t="s">
        <v>449</v>
      </c>
      <c r="E76" t="s">
        <v>513</v>
      </c>
      <c r="F76" t="s">
        <v>576</v>
      </c>
      <c r="G76" t="s">
        <v>79</v>
      </c>
      <c r="H76" s="65">
        <v>44762</v>
      </c>
      <c r="K76" s="71"/>
      <c r="L76" s="72"/>
      <c r="M76" s="71"/>
      <c r="N76" s="216">
        <v>227621.91999999998</v>
      </c>
      <c r="O76" s="71">
        <v>242130.32000000004</v>
      </c>
      <c r="P76">
        <v>208904.497</v>
      </c>
    </row>
    <row r="77" spans="1:16">
      <c r="A77" s="295"/>
      <c r="B77" s="289"/>
      <c r="C77" s="296"/>
      <c r="D77" s="66" t="s">
        <v>449</v>
      </c>
      <c r="E77" t="s">
        <v>514</v>
      </c>
      <c r="F77" t="s">
        <v>576</v>
      </c>
      <c r="G77" t="s">
        <v>79</v>
      </c>
      <c r="H77" s="65">
        <v>44762</v>
      </c>
      <c r="K77" s="71"/>
      <c r="L77" s="72"/>
      <c r="M77" s="71"/>
      <c r="N77" s="216">
        <v>6349.4542700000002</v>
      </c>
      <c r="O77" s="71">
        <v>10786.04421</v>
      </c>
      <c r="P77">
        <v>16541.443219999997</v>
      </c>
    </row>
    <row r="78" spans="1:16">
      <c r="A78" s="295"/>
      <c r="B78" s="289"/>
      <c r="C78" s="296"/>
      <c r="D78" s="66" t="s">
        <v>449</v>
      </c>
      <c r="E78" t="s">
        <v>515</v>
      </c>
      <c r="F78" t="s">
        <v>576</v>
      </c>
      <c r="G78" t="s">
        <v>79</v>
      </c>
      <c r="H78" s="65">
        <v>44762</v>
      </c>
      <c r="K78" s="71"/>
      <c r="L78" s="72"/>
      <c r="M78" s="71"/>
      <c r="N78" s="216">
        <v>2895845.7450000001</v>
      </c>
      <c r="O78" s="71">
        <v>4871873.8650000002</v>
      </c>
      <c r="P78">
        <v>5230988.6970000006</v>
      </c>
    </row>
    <row r="79" spans="1:16">
      <c r="A79" s="295"/>
      <c r="B79" s="289"/>
      <c r="C79" s="296"/>
      <c r="D79" s="66" t="s">
        <v>449</v>
      </c>
      <c r="E79" t="s">
        <v>516</v>
      </c>
      <c r="F79" t="s">
        <v>576</v>
      </c>
      <c r="G79" t="s">
        <v>79</v>
      </c>
      <c r="H79" s="65">
        <v>44762</v>
      </c>
      <c r="K79" s="71"/>
      <c r="L79" s="72"/>
      <c r="M79" s="71"/>
      <c r="N79" s="216">
        <v>0</v>
      </c>
      <c r="O79" s="71">
        <v>0</v>
      </c>
      <c r="P79">
        <v>0</v>
      </c>
    </row>
    <row r="80" spans="1:16">
      <c r="A80" s="295"/>
      <c r="B80" s="289"/>
      <c r="C80" s="296"/>
      <c r="D80" s="66" t="s">
        <v>418</v>
      </c>
      <c r="H80" s="65"/>
      <c r="K80" s="71"/>
      <c r="L80" s="72"/>
      <c r="M80" s="71"/>
      <c r="N80" s="216"/>
      <c r="O80" s="71"/>
      <c r="P80" s="93" t="s">
        <v>573</v>
      </c>
    </row>
    <row r="81" spans="1:16">
      <c r="A81" s="295"/>
      <c r="B81" s="293"/>
      <c r="C81" s="296"/>
      <c r="D81" s="66" t="s">
        <v>473</v>
      </c>
      <c r="H81" s="65">
        <v>44762</v>
      </c>
      <c r="K81" s="71"/>
      <c r="L81" s="72"/>
      <c r="M81" s="71"/>
      <c r="N81" s="216"/>
      <c r="O81" s="71"/>
      <c r="P81" s="74" t="s">
        <v>572</v>
      </c>
    </row>
    <row r="82" spans="1:16">
      <c r="A82" s="295" t="s">
        <v>66</v>
      </c>
      <c r="B82" s="292" t="s">
        <v>67</v>
      </c>
      <c r="C82" s="296" t="s">
        <v>68</v>
      </c>
      <c r="D82" s="66" t="s">
        <v>575</v>
      </c>
      <c r="G82" t="s">
        <v>428</v>
      </c>
      <c r="H82" s="65">
        <v>44682</v>
      </c>
      <c r="I82" s="90">
        <v>2005</v>
      </c>
      <c r="K82" s="71"/>
      <c r="L82" s="72"/>
      <c r="M82" s="71"/>
      <c r="N82" s="216"/>
      <c r="O82" s="71"/>
      <c r="P82" s="109"/>
    </row>
    <row r="83" spans="1:16">
      <c r="A83" s="295"/>
      <c r="B83" s="289"/>
      <c r="C83" s="296"/>
      <c r="D83" s="66" t="s">
        <v>411</v>
      </c>
      <c r="E83" t="s">
        <v>539</v>
      </c>
      <c r="G83" t="s">
        <v>428</v>
      </c>
      <c r="H83" s="65">
        <v>44682</v>
      </c>
      <c r="I83" s="90">
        <v>38419673</v>
      </c>
      <c r="K83" s="71"/>
      <c r="L83" s="72">
        <v>29995758</v>
      </c>
      <c r="M83" s="71">
        <v>29344948</v>
      </c>
      <c r="N83" s="216">
        <v>24205850</v>
      </c>
      <c r="O83" s="71">
        <v>25759240</v>
      </c>
      <c r="P83" s="109">
        <v>27981535</v>
      </c>
    </row>
    <row r="84" spans="1:16">
      <c r="A84" s="295"/>
      <c r="B84" s="289"/>
      <c r="C84" s="296"/>
      <c r="D84" s="66" t="s">
        <v>412</v>
      </c>
      <c r="E84" t="s">
        <v>413</v>
      </c>
      <c r="G84" t="s">
        <v>428</v>
      </c>
      <c r="H84" s="65">
        <v>44682</v>
      </c>
      <c r="K84" s="71"/>
      <c r="L84" s="72"/>
      <c r="M84" s="71"/>
      <c r="N84" s="216">
        <f>62836</f>
        <v>62836</v>
      </c>
      <c r="O84" s="71">
        <f>58106</f>
        <v>58106</v>
      </c>
      <c r="P84" s="109">
        <f>58106</f>
        <v>58106</v>
      </c>
    </row>
    <row r="85" spans="1:16">
      <c r="A85" s="295"/>
      <c r="B85" s="289"/>
      <c r="C85" s="296"/>
      <c r="D85" s="66" t="s">
        <v>414</v>
      </c>
      <c r="E85" t="s">
        <v>413</v>
      </c>
      <c r="G85" t="s">
        <v>428</v>
      </c>
      <c r="H85" s="65">
        <v>44682</v>
      </c>
      <c r="I85" s="90" t="s">
        <v>970</v>
      </c>
      <c r="K85" s="71"/>
      <c r="L85" s="72"/>
      <c r="M85" s="71"/>
      <c r="N85" s="216">
        <f>N83+N84</f>
        <v>24268686</v>
      </c>
      <c r="O85" s="72">
        <f>O83+O84</f>
        <v>25817346</v>
      </c>
      <c r="P85" s="109">
        <f>P83+P84</f>
        <v>28039641</v>
      </c>
    </row>
    <row r="86" spans="1:16">
      <c r="A86" s="295"/>
      <c r="B86" s="289"/>
      <c r="C86" s="296"/>
      <c r="D86" s="66" t="s">
        <v>415</v>
      </c>
      <c r="E86" s="45" t="s">
        <v>539</v>
      </c>
      <c r="G86" t="s">
        <v>428</v>
      </c>
      <c r="H86" s="65">
        <v>44682</v>
      </c>
      <c r="I86" s="90">
        <v>33394834</v>
      </c>
      <c r="K86" s="71"/>
      <c r="L86" s="72">
        <v>6366492</v>
      </c>
      <c r="M86" s="71">
        <v>6552023</v>
      </c>
      <c r="N86" s="216">
        <v>6121318</v>
      </c>
      <c r="O86" s="72">
        <v>6063090</v>
      </c>
      <c r="P86" s="109">
        <v>5443846</v>
      </c>
    </row>
    <row r="87" spans="1:16">
      <c r="A87" s="295"/>
      <c r="B87" s="289"/>
      <c r="C87" s="296"/>
      <c r="D87" s="66" t="s">
        <v>415</v>
      </c>
      <c r="E87" s="45" t="s">
        <v>540</v>
      </c>
      <c r="G87" t="s">
        <v>428</v>
      </c>
      <c r="H87" s="65">
        <v>44682</v>
      </c>
      <c r="K87" s="71"/>
      <c r="L87" s="72">
        <f>54.87*L100</f>
        <v>9391055.3699999992</v>
      </c>
      <c r="M87" s="71">
        <f t="shared" ref="M87:P87" si="4">54.87*M100</f>
        <v>10445327.549999999</v>
      </c>
      <c r="N87" s="216">
        <f t="shared" si="4"/>
        <v>10481651.49</v>
      </c>
      <c r="O87" s="71">
        <f t="shared" si="4"/>
        <v>9903870.3899999987</v>
      </c>
      <c r="P87" s="109">
        <f t="shared" si="4"/>
        <v>9817889.0999999996</v>
      </c>
    </row>
    <row r="88" spans="1:16">
      <c r="A88" s="295"/>
      <c r="B88" s="289"/>
      <c r="C88" s="296"/>
      <c r="D88" s="66" t="s">
        <v>449</v>
      </c>
      <c r="E88" t="s">
        <v>506</v>
      </c>
      <c r="G88" t="s">
        <v>79</v>
      </c>
      <c r="H88" s="65">
        <v>44682</v>
      </c>
      <c r="I88" s="90">
        <v>41901651</v>
      </c>
      <c r="K88" s="71"/>
      <c r="L88" s="72">
        <v>31026112</v>
      </c>
      <c r="M88" s="71">
        <v>30506684</v>
      </c>
      <c r="N88" s="216">
        <v>25067412</v>
      </c>
      <c r="O88" s="71">
        <v>26746679</v>
      </c>
      <c r="P88" s="109">
        <v>29198835</v>
      </c>
    </row>
    <row r="89" spans="1:16">
      <c r="A89" s="295"/>
      <c r="B89" s="289"/>
      <c r="C89" s="296"/>
      <c r="D89" s="66" t="s">
        <v>449</v>
      </c>
      <c r="E89" t="s">
        <v>507</v>
      </c>
      <c r="G89" t="s">
        <v>79</v>
      </c>
      <c r="H89" s="65">
        <v>44682</v>
      </c>
      <c r="I89" s="90">
        <v>480888</v>
      </c>
      <c r="K89" s="71"/>
      <c r="L89" s="72">
        <v>283323</v>
      </c>
      <c r="M89" s="71">
        <v>465026</v>
      </c>
      <c r="N89" s="216">
        <v>190452</v>
      </c>
      <c r="O89" s="71">
        <v>224926</v>
      </c>
      <c r="P89" s="109">
        <v>398524</v>
      </c>
    </row>
    <row r="90" spans="1:16">
      <c r="A90" s="295"/>
      <c r="B90" s="289"/>
      <c r="C90" s="296"/>
      <c r="D90" s="66" t="s">
        <v>449</v>
      </c>
      <c r="E90" t="s">
        <v>508</v>
      </c>
      <c r="G90" t="s">
        <v>79</v>
      </c>
      <c r="H90" s="65">
        <v>44682</v>
      </c>
      <c r="I90" s="90">
        <v>8020472</v>
      </c>
      <c r="K90" s="71"/>
      <c r="L90">
        <v>8304127</v>
      </c>
      <c r="M90" s="71">
        <v>10655278</v>
      </c>
      <c r="N90" s="216">
        <v>9189864</v>
      </c>
      <c r="O90" s="71">
        <v>7717598</v>
      </c>
      <c r="P90" s="109">
        <v>4187196</v>
      </c>
    </row>
    <row r="91" spans="1:16">
      <c r="A91" s="295"/>
      <c r="B91" s="289"/>
      <c r="C91" s="296"/>
      <c r="D91" s="66" t="s">
        <v>449</v>
      </c>
      <c r="E91" t="s">
        <v>509</v>
      </c>
      <c r="G91" t="s">
        <v>79</v>
      </c>
      <c r="H91" s="65">
        <v>44682</v>
      </c>
      <c r="I91" s="90">
        <v>41076</v>
      </c>
      <c r="K91" s="71"/>
      <c r="L91" s="72">
        <v>777</v>
      </c>
      <c r="M91" s="71">
        <v>4244</v>
      </c>
      <c r="N91" s="216">
        <v>4488</v>
      </c>
      <c r="O91" s="71">
        <v>760</v>
      </c>
      <c r="P91" s="109">
        <v>11254</v>
      </c>
    </row>
    <row r="92" spans="1:16">
      <c r="A92" s="295"/>
      <c r="B92" s="289"/>
      <c r="C92" s="296"/>
      <c r="D92" s="66" t="s">
        <v>449</v>
      </c>
      <c r="E92" t="s">
        <v>511</v>
      </c>
      <c r="G92" t="s">
        <v>79</v>
      </c>
      <c r="H92" s="65">
        <v>44682</v>
      </c>
      <c r="I92" s="90">
        <v>0</v>
      </c>
      <c r="K92" s="71"/>
      <c r="L92" s="72">
        <v>39306</v>
      </c>
      <c r="M92" s="71">
        <v>34495</v>
      </c>
      <c r="N92" s="216">
        <v>52483</v>
      </c>
      <c r="O92" s="71">
        <v>62669</v>
      </c>
      <c r="P92" s="109">
        <v>71550</v>
      </c>
    </row>
    <row r="93" spans="1:16">
      <c r="A93" s="295"/>
      <c r="B93" s="289"/>
      <c r="C93" s="296"/>
      <c r="D93" s="66" t="s">
        <v>449</v>
      </c>
      <c r="E93" t="s">
        <v>512</v>
      </c>
      <c r="G93" t="s">
        <v>79</v>
      </c>
      <c r="H93" s="65">
        <v>44682</v>
      </c>
      <c r="I93" s="90">
        <v>0</v>
      </c>
      <c r="K93" s="71"/>
      <c r="L93" s="72">
        <v>0</v>
      </c>
      <c r="M93" s="71">
        <v>0</v>
      </c>
      <c r="N93" s="216">
        <v>0</v>
      </c>
      <c r="O93" s="71">
        <v>0</v>
      </c>
      <c r="P93" s="109">
        <v>0</v>
      </c>
    </row>
    <row r="94" spans="1:16">
      <c r="A94" s="295"/>
      <c r="B94" s="289"/>
      <c r="C94" s="296"/>
      <c r="D94" s="66" t="s">
        <v>449</v>
      </c>
      <c r="E94" t="s">
        <v>513</v>
      </c>
      <c r="G94" t="s">
        <v>79</v>
      </c>
      <c r="H94" s="65">
        <v>44682</v>
      </c>
      <c r="I94" s="90">
        <v>1236794</v>
      </c>
      <c r="K94" s="71"/>
      <c r="L94" s="72">
        <v>1494512</v>
      </c>
      <c r="M94" s="71">
        <v>1129399</v>
      </c>
      <c r="N94" s="216">
        <v>1978567</v>
      </c>
      <c r="O94" s="71">
        <v>1795659</v>
      </c>
      <c r="P94" s="109">
        <v>1698890</v>
      </c>
    </row>
    <row r="95" spans="1:16">
      <c r="A95" s="295"/>
      <c r="B95" s="289"/>
      <c r="C95" s="296"/>
      <c r="D95" s="66" t="s">
        <v>449</v>
      </c>
      <c r="E95" t="s">
        <v>514</v>
      </c>
      <c r="G95" t="s">
        <v>79</v>
      </c>
      <c r="H95" s="65">
        <v>44682</v>
      </c>
      <c r="I95" s="90">
        <v>0</v>
      </c>
      <c r="K95" s="71"/>
      <c r="L95" s="72">
        <v>5994</v>
      </c>
      <c r="M95" s="71">
        <v>5996</v>
      </c>
      <c r="N95" s="216">
        <v>7145</v>
      </c>
      <c r="O95" s="71">
        <v>9332</v>
      </c>
      <c r="P95" s="109">
        <v>9291</v>
      </c>
    </row>
    <row r="96" spans="1:16">
      <c r="A96" s="295"/>
      <c r="B96" s="289"/>
      <c r="C96" s="296"/>
      <c r="D96" s="66" t="s">
        <v>449</v>
      </c>
      <c r="E96" t="s">
        <v>515</v>
      </c>
      <c r="G96" t="s">
        <v>79</v>
      </c>
      <c r="H96" s="65">
        <v>44682</v>
      </c>
      <c r="I96" s="90">
        <v>0</v>
      </c>
      <c r="K96" s="71"/>
      <c r="L96" s="72">
        <v>322935</v>
      </c>
      <c r="M96" s="71">
        <v>277653</v>
      </c>
      <c r="N96" s="216">
        <v>276564</v>
      </c>
      <c r="O96" s="71">
        <v>269579</v>
      </c>
      <c r="P96" s="109">
        <v>1723907</v>
      </c>
    </row>
    <row r="97" spans="1:16">
      <c r="A97" s="295"/>
      <c r="B97" s="289"/>
      <c r="C97" s="296"/>
      <c r="D97" s="66" t="s">
        <v>449</v>
      </c>
      <c r="E97" t="s">
        <v>516</v>
      </c>
      <c r="G97" t="s">
        <v>79</v>
      </c>
      <c r="H97" s="65">
        <v>44682</v>
      </c>
      <c r="I97" s="90">
        <v>0</v>
      </c>
      <c r="K97" s="71"/>
      <c r="L97" s="72">
        <v>0</v>
      </c>
      <c r="M97" s="71">
        <v>0</v>
      </c>
      <c r="N97" s="216">
        <v>0</v>
      </c>
      <c r="O97" s="71">
        <v>0</v>
      </c>
      <c r="P97" s="109">
        <v>0</v>
      </c>
    </row>
    <row r="98" spans="1:16">
      <c r="A98" s="295"/>
      <c r="B98" s="289"/>
      <c r="C98" s="296"/>
      <c r="D98" s="66" t="s">
        <v>449</v>
      </c>
      <c r="E98" t="s">
        <v>1087</v>
      </c>
      <c r="G98" t="s">
        <v>79</v>
      </c>
      <c r="H98" s="65">
        <v>44682</v>
      </c>
      <c r="I98" s="90">
        <v>41568656</v>
      </c>
      <c r="K98" s="71"/>
      <c r="L98" s="72">
        <v>11280342</v>
      </c>
      <c r="M98" s="71">
        <v>11385085</v>
      </c>
      <c r="N98" s="216">
        <v>11751484</v>
      </c>
      <c r="O98" s="71">
        <v>11586013</v>
      </c>
      <c r="P98" s="109">
        <v>11365454</v>
      </c>
    </row>
    <row r="99" spans="1:16">
      <c r="A99" s="295"/>
      <c r="B99" s="289"/>
      <c r="C99" s="296"/>
      <c r="D99" s="66" t="s">
        <v>417</v>
      </c>
      <c r="E99" t="s">
        <v>539</v>
      </c>
      <c r="G99" t="s">
        <v>79</v>
      </c>
      <c r="H99" s="65">
        <v>44682</v>
      </c>
      <c r="I99" s="90">
        <f>SUM(I88:I98)</f>
        <v>93249537</v>
      </c>
      <c r="K99" s="71"/>
      <c r="L99" s="72">
        <f t="shared" ref="L99:P99" si="5">SUM(L88:L98)</f>
        <v>52757428</v>
      </c>
      <c r="M99" s="71">
        <f t="shared" si="5"/>
        <v>54463860</v>
      </c>
      <c r="N99" s="216">
        <f t="shared" si="5"/>
        <v>48518459</v>
      </c>
      <c r="O99" s="72">
        <f t="shared" si="5"/>
        <v>48413215</v>
      </c>
      <c r="P99" s="109">
        <f t="shared" si="5"/>
        <v>48664901</v>
      </c>
    </row>
    <row r="100" spans="1:16">
      <c r="A100" s="295"/>
      <c r="B100" s="289"/>
      <c r="C100" s="296"/>
      <c r="D100" s="66" t="s">
        <v>417</v>
      </c>
      <c r="E100" t="s">
        <v>540</v>
      </c>
      <c r="G100" t="s">
        <v>617</v>
      </c>
      <c r="H100" s="65">
        <v>44682</v>
      </c>
      <c r="K100" s="71"/>
      <c r="L100" s="72">
        <v>171151</v>
      </c>
      <c r="M100" s="71">
        <v>190365</v>
      </c>
      <c r="N100" s="216">
        <v>191027</v>
      </c>
      <c r="O100" s="72">
        <v>180497</v>
      </c>
      <c r="P100" s="109">
        <v>178930</v>
      </c>
    </row>
    <row r="101" spans="1:16">
      <c r="A101" s="295"/>
      <c r="B101" s="293"/>
      <c r="C101" s="296"/>
      <c r="D101" s="66" t="s">
        <v>418</v>
      </c>
      <c r="H101" s="65"/>
      <c r="K101" s="71"/>
      <c r="L101" s="72"/>
      <c r="M101" s="71"/>
      <c r="N101" s="216"/>
      <c r="O101" s="71"/>
      <c r="P101" s="74" t="s">
        <v>1086</v>
      </c>
    </row>
    <row r="102" spans="1:16">
      <c r="A102" s="295" t="s">
        <v>69</v>
      </c>
      <c r="B102" s="292" t="s">
        <v>70</v>
      </c>
      <c r="C102" s="296" t="s">
        <v>71</v>
      </c>
      <c r="D102" s="66" t="s">
        <v>414</v>
      </c>
      <c r="G102" t="s">
        <v>429</v>
      </c>
      <c r="H102" s="65">
        <v>44561</v>
      </c>
      <c r="K102" s="71">
        <v>91.800593776570196</v>
      </c>
      <c r="L102" s="72">
        <v>66.975500250346002</v>
      </c>
      <c r="M102" s="71">
        <v>66.441625876883506</v>
      </c>
      <c r="N102" s="216">
        <v>58.130282313466502</v>
      </c>
      <c r="O102" s="71">
        <v>43.9616275947863</v>
      </c>
      <c r="P102" s="72"/>
    </row>
    <row r="103" spans="1:16">
      <c r="A103" s="295"/>
      <c r="B103" s="289"/>
      <c r="C103" s="296"/>
      <c r="D103" s="66" t="s">
        <v>417</v>
      </c>
      <c r="G103" t="s">
        <v>62</v>
      </c>
      <c r="H103" s="65">
        <v>44561</v>
      </c>
      <c r="K103" s="71">
        <v>127.7698075333</v>
      </c>
      <c r="L103" s="72">
        <v>93.827355038848793</v>
      </c>
      <c r="M103" s="71">
        <v>93.541288949491104</v>
      </c>
      <c r="N103" s="216">
        <v>83.962493096499898</v>
      </c>
      <c r="O103" s="71">
        <v>71.7325673733</v>
      </c>
      <c r="P103" s="72"/>
    </row>
    <row r="104" spans="1:16">
      <c r="A104" s="295"/>
      <c r="B104" s="293"/>
      <c r="C104" s="296"/>
      <c r="D104" s="66" t="s">
        <v>418</v>
      </c>
      <c r="H104" s="65"/>
      <c r="K104" s="71"/>
      <c r="L104" s="72"/>
      <c r="M104" s="71"/>
      <c r="N104" s="216"/>
      <c r="O104" s="71"/>
      <c r="P104" s="72"/>
    </row>
    <row r="105" spans="1:16">
      <c r="A105" s="295" t="s">
        <v>69</v>
      </c>
      <c r="B105" s="292" t="s">
        <v>70</v>
      </c>
      <c r="C105" s="296" t="s">
        <v>71</v>
      </c>
      <c r="D105" s="66" t="s">
        <v>411</v>
      </c>
      <c r="G105" t="s">
        <v>429</v>
      </c>
      <c r="H105" s="65">
        <v>44561</v>
      </c>
      <c r="K105" s="71"/>
      <c r="L105" s="72"/>
      <c r="M105" s="71"/>
      <c r="N105" s="216">
        <f>65006727</f>
        <v>65006727</v>
      </c>
      <c r="O105" s="71">
        <f>49642532</f>
        <v>49642532</v>
      </c>
      <c r="P105" s="72">
        <f>56401080</f>
        <v>56401080</v>
      </c>
    </row>
    <row r="106" spans="1:16">
      <c r="A106" s="295"/>
      <c r="B106" s="289"/>
      <c r="C106" s="296"/>
      <c r="D106" s="66" t="s">
        <v>412</v>
      </c>
      <c r="E106" t="s">
        <v>413</v>
      </c>
      <c r="G106" t="s">
        <v>429</v>
      </c>
      <c r="H106" s="65">
        <v>44561</v>
      </c>
      <c r="K106" s="71"/>
      <c r="L106" s="72"/>
      <c r="M106" s="71"/>
      <c r="N106" s="216"/>
      <c r="O106" s="71"/>
      <c r="P106" s="72"/>
    </row>
    <row r="107" spans="1:16">
      <c r="A107" s="295"/>
      <c r="B107" s="289"/>
      <c r="C107" s="296"/>
      <c r="D107" s="66" t="s">
        <v>414</v>
      </c>
      <c r="E107" t="s">
        <v>413</v>
      </c>
      <c r="G107" t="s">
        <v>429</v>
      </c>
      <c r="H107" s="65">
        <v>44561</v>
      </c>
      <c r="K107" s="71"/>
      <c r="L107" s="72"/>
      <c r="M107" s="71"/>
      <c r="N107" s="216"/>
      <c r="O107" s="71"/>
      <c r="P107" s="72"/>
    </row>
    <row r="108" spans="1:16">
      <c r="A108" s="295"/>
      <c r="B108" s="289"/>
      <c r="C108" s="296"/>
      <c r="D108" s="66" t="s">
        <v>415</v>
      </c>
      <c r="E108" t="s">
        <v>416</v>
      </c>
      <c r="G108" t="s">
        <v>429</v>
      </c>
      <c r="H108" s="65">
        <v>44561</v>
      </c>
      <c r="K108" s="71"/>
      <c r="L108" s="72"/>
      <c r="M108" s="71"/>
      <c r="N108" s="216"/>
      <c r="O108" s="71"/>
      <c r="P108" s="72"/>
    </row>
    <row r="109" spans="1:16">
      <c r="A109" s="295"/>
      <c r="B109" s="289"/>
      <c r="C109" s="296"/>
      <c r="D109" s="66" t="s">
        <v>417</v>
      </c>
      <c r="E109" t="s">
        <v>449</v>
      </c>
      <c r="F109" t="s">
        <v>576</v>
      </c>
      <c r="G109" t="s">
        <v>79</v>
      </c>
      <c r="H109" s="65">
        <v>44561</v>
      </c>
      <c r="K109" s="71"/>
      <c r="L109" s="72"/>
      <c r="M109" s="71"/>
      <c r="N109" s="216">
        <f>86252164</f>
        <v>86252164</v>
      </c>
      <c r="O109" s="71">
        <f>76459882</f>
        <v>76459882</v>
      </c>
      <c r="P109" s="72">
        <f>82567070</f>
        <v>82567070</v>
      </c>
    </row>
    <row r="110" spans="1:16">
      <c r="A110" s="295"/>
      <c r="B110" s="293"/>
      <c r="C110" s="296"/>
      <c r="D110" s="66" t="s">
        <v>418</v>
      </c>
      <c r="H110" s="65"/>
      <c r="K110" s="71"/>
      <c r="L110" s="72"/>
      <c r="M110" s="71"/>
      <c r="N110" s="216"/>
      <c r="O110" s="71"/>
      <c r="P110" s="74" t="s">
        <v>619</v>
      </c>
    </row>
    <row r="111" spans="1:16">
      <c r="A111" s="295" t="s">
        <v>72</v>
      </c>
      <c r="B111" s="292" t="s">
        <v>73</v>
      </c>
      <c r="C111" s="296" t="s">
        <v>74</v>
      </c>
      <c r="D111" s="66" t="s">
        <v>411</v>
      </c>
      <c r="G111" t="s">
        <v>428</v>
      </c>
      <c r="H111" s="65">
        <v>44561</v>
      </c>
      <c r="K111" s="71">
        <v>1040335</v>
      </c>
      <c r="L111" s="72">
        <v>965570</v>
      </c>
      <c r="M111" s="71">
        <v>1363231</v>
      </c>
      <c r="N111" s="216">
        <v>1934393</v>
      </c>
      <c r="O111" s="71">
        <v>1416448</v>
      </c>
      <c r="P111" s="72">
        <v>1590305</v>
      </c>
    </row>
    <row r="112" spans="1:16">
      <c r="A112" s="295"/>
      <c r="B112" s="289"/>
      <c r="C112" s="296"/>
      <c r="D112" s="66" t="s">
        <v>412</v>
      </c>
      <c r="E112" t="s">
        <v>413</v>
      </c>
      <c r="G112" t="s">
        <v>428</v>
      </c>
      <c r="H112" s="65">
        <v>44561</v>
      </c>
      <c r="K112" s="71">
        <v>1</v>
      </c>
      <c r="L112" s="72">
        <v>1</v>
      </c>
      <c r="M112" s="71">
        <v>1</v>
      </c>
      <c r="N112" s="216">
        <v>1</v>
      </c>
      <c r="O112" s="71">
        <v>1</v>
      </c>
      <c r="P112" s="72">
        <v>1</v>
      </c>
    </row>
    <row r="113" spans="1:16">
      <c r="A113" s="295"/>
      <c r="B113" s="289"/>
      <c r="C113" s="296"/>
      <c r="D113" s="66" t="s">
        <v>417</v>
      </c>
      <c r="E113" t="s">
        <v>424</v>
      </c>
      <c r="G113" t="s">
        <v>57</v>
      </c>
      <c r="H113" s="65">
        <v>44561</v>
      </c>
      <c r="K113" s="71">
        <v>17912</v>
      </c>
      <c r="L113" s="72">
        <v>18104</v>
      </c>
      <c r="M113" s="71">
        <v>20057</v>
      </c>
      <c r="N113" s="216">
        <v>20960</v>
      </c>
      <c r="O113" s="71">
        <v>22142</v>
      </c>
      <c r="P113" s="72">
        <v>22591</v>
      </c>
    </row>
    <row r="114" spans="1:16">
      <c r="A114" s="295"/>
      <c r="B114" s="293"/>
      <c r="C114" s="296"/>
      <c r="D114" s="66" t="s">
        <v>418</v>
      </c>
      <c r="H114" s="65"/>
      <c r="K114" s="71"/>
      <c r="L114" s="72"/>
      <c r="M114" s="71"/>
      <c r="N114" s="216"/>
      <c r="O114" s="71"/>
      <c r="P114" s="72"/>
    </row>
    <row r="115" spans="1:16">
      <c r="A115" s="295" t="s">
        <v>1206</v>
      </c>
      <c r="B115" s="292" t="s">
        <v>73</v>
      </c>
      <c r="C115" s="296" t="s">
        <v>1207</v>
      </c>
      <c r="D115" s="66" t="s">
        <v>411</v>
      </c>
      <c r="G115" t="s">
        <v>428</v>
      </c>
      <c r="H115" s="65">
        <v>44561</v>
      </c>
      <c r="K115" s="71"/>
      <c r="L115" s="72"/>
      <c r="M115" s="71"/>
      <c r="N115" s="216">
        <v>221614</v>
      </c>
      <c r="O115" s="71">
        <v>231950</v>
      </c>
      <c r="P115" s="72">
        <v>222289</v>
      </c>
    </row>
    <row r="116" spans="1:16">
      <c r="A116" s="295"/>
      <c r="B116" s="289"/>
      <c r="C116" s="296"/>
      <c r="D116" s="66" t="s">
        <v>412</v>
      </c>
      <c r="E116" t="s">
        <v>413</v>
      </c>
      <c r="G116" t="s">
        <v>428</v>
      </c>
      <c r="H116" s="65">
        <v>44561</v>
      </c>
      <c r="K116" s="71"/>
      <c r="L116" s="72"/>
      <c r="M116" s="71">
        <v>381533</v>
      </c>
      <c r="N116" s="216">
        <v>231192</v>
      </c>
      <c r="O116" s="71">
        <v>297283</v>
      </c>
      <c r="P116" s="72">
        <v>273432</v>
      </c>
    </row>
    <row r="117" spans="1:16">
      <c r="A117" s="295"/>
      <c r="B117" s="289"/>
      <c r="C117" s="296"/>
      <c r="D117" s="66" t="s">
        <v>415</v>
      </c>
      <c r="E117" t="s">
        <v>416</v>
      </c>
      <c r="G117" t="s">
        <v>428</v>
      </c>
      <c r="H117" s="65">
        <v>44561</v>
      </c>
      <c r="K117" s="71"/>
      <c r="L117" s="72"/>
      <c r="M117" s="71">
        <v>21590220</v>
      </c>
      <c r="N117" s="216">
        <v>19892852</v>
      </c>
      <c r="O117" s="71">
        <v>24528246</v>
      </c>
      <c r="P117" s="72">
        <v>21996103</v>
      </c>
    </row>
    <row r="118" spans="1:16">
      <c r="A118" s="295"/>
      <c r="B118" s="289"/>
      <c r="C118" s="296"/>
      <c r="D118" s="66" t="s">
        <v>417</v>
      </c>
      <c r="G118" t="s">
        <v>1208</v>
      </c>
      <c r="H118" s="65">
        <v>44561</v>
      </c>
      <c r="K118" s="71"/>
      <c r="L118" s="72"/>
      <c r="M118" s="84">
        <f>8.82*M117</f>
        <v>190425740.40000001</v>
      </c>
      <c r="N118" s="84">
        <f>8.82*N117</f>
        <v>175454954.64000002</v>
      </c>
      <c r="O118" s="84">
        <f>8.82*O117</f>
        <v>216339129.72</v>
      </c>
      <c r="P118" s="72">
        <v>193905000</v>
      </c>
    </row>
    <row r="119" spans="1:16">
      <c r="A119" s="295"/>
      <c r="B119" s="293"/>
      <c r="C119" s="296"/>
      <c r="D119" s="66" t="s">
        <v>418</v>
      </c>
      <c r="H119" s="65"/>
      <c r="K119" s="71"/>
      <c r="L119" s="72"/>
      <c r="M119" s="71"/>
      <c r="N119" s="216"/>
      <c r="O119" s="71"/>
      <c r="P119" s="72"/>
    </row>
    <row r="120" spans="1:16">
      <c r="A120" s="295" t="s">
        <v>76</v>
      </c>
      <c r="B120" s="292" t="s">
        <v>77</v>
      </c>
      <c r="C120" s="296" t="s">
        <v>78</v>
      </c>
      <c r="D120" s="66" t="s">
        <v>411</v>
      </c>
      <c r="G120" t="s">
        <v>428</v>
      </c>
      <c r="H120" s="65">
        <v>44561</v>
      </c>
      <c r="K120" s="71"/>
      <c r="L120" s="72"/>
      <c r="M120" s="71">
        <v>4063143</v>
      </c>
      <c r="N120" s="216">
        <v>3963128</v>
      </c>
      <c r="O120" s="71">
        <v>4036591</v>
      </c>
      <c r="P120" s="72"/>
    </row>
    <row r="121" spans="1:16">
      <c r="A121" s="295"/>
      <c r="B121" s="289"/>
      <c r="C121" s="296"/>
      <c r="D121" s="66" t="s">
        <v>412</v>
      </c>
      <c r="E121" t="s">
        <v>413</v>
      </c>
      <c r="G121" t="s">
        <v>428</v>
      </c>
      <c r="H121" s="65">
        <v>44561</v>
      </c>
      <c r="K121" s="71"/>
      <c r="L121" s="72"/>
      <c r="M121" s="71">
        <v>1300042</v>
      </c>
      <c r="N121" s="216">
        <v>1219954</v>
      </c>
      <c r="O121" s="71">
        <v>1001588</v>
      </c>
      <c r="P121" s="72"/>
    </row>
    <row r="122" spans="1:16">
      <c r="A122" s="295"/>
      <c r="B122" s="289"/>
      <c r="C122" s="296"/>
      <c r="D122" s="66" t="s">
        <v>414</v>
      </c>
      <c r="E122" t="s">
        <v>413</v>
      </c>
      <c r="G122" t="s">
        <v>428</v>
      </c>
      <c r="H122" s="65">
        <v>44561</v>
      </c>
      <c r="K122" s="71"/>
      <c r="L122" s="72"/>
      <c r="M122" s="71">
        <v>5363185</v>
      </c>
      <c r="N122" s="216">
        <v>5183082</v>
      </c>
      <c r="O122" s="71">
        <v>5038179</v>
      </c>
      <c r="P122" s="72"/>
    </row>
    <row r="123" spans="1:16">
      <c r="A123" s="295"/>
      <c r="B123" s="289"/>
      <c r="C123" s="296"/>
      <c r="D123" s="66" t="s">
        <v>415</v>
      </c>
      <c r="E123" t="s">
        <v>416</v>
      </c>
      <c r="G123" t="s">
        <v>428</v>
      </c>
      <c r="H123" s="65">
        <v>44561</v>
      </c>
      <c r="K123" s="71"/>
      <c r="L123" s="72"/>
      <c r="M123" s="71"/>
      <c r="N123" s="216"/>
      <c r="O123" s="71"/>
      <c r="P123" s="72"/>
    </row>
    <row r="124" spans="1:16">
      <c r="A124" s="295"/>
      <c r="B124" s="289"/>
      <c r="C124" s="296"/>
      <c r="D124" s="66" t="s">
        <v>417</v>
      </c>
      <c r="G124" t="s">
        <v>79</v>
      </c>
      <c r="H124" s="65">
        <v>44561</v>
      </c>
      <c r="K124" s="71"/>
      <c r="L124" s="72"/>
      <c r="M124" s="71">
        <v>7067031.0930000003</v>
      </c>
      <c r="N124" s="216">
        <v>7195251.4900000002</v>
      </c>
      <c r="O124" s="71">
        <v>7324609</v>
      </c>
      <c r="P124" s="72"/>
    </row>
    <row r="125" spans="1:16">
      <c r="A125" s="295"/>
      <c r="B125" s="293"/>
      <c r="C125" s="296"/>
      <c r="D125" s="66" t="s">
        <v>418</v>
      </c>
      <c r="H125" s="65"/>
      <c r="K125" s="71"/>
      <c r="L125" s="72"/>
      <c r="M125" s="73"/>
      <c r="N125" s="216"/>
      <c r="O125" s="71"/>
      <c r="P125" s="72"/>
    </row>
    <row r="126" spans="1:16">
      <c r="A126" s="295" t="s">
        <v>80</v>
      </c>
      <c r="B126" s="292" t="s">
        <v>81</v>
      </c>
      <c r="C126" s="296" t="s">
        <v>82</v>
      </c>
      <c r="D126" s="66" t="s">
        <v>411</v>
      </c>
      <c r="G126" t="s">
        <v>428</v>
      </c>
      <c r="H126" s="65">
        <v>44196</v>
      </c>
      <c r="K126" s="71">
        <v>562146</v>
      </c>
      <c r="L126" s="72">
        <v>625072</v>
      </c>
      <c r="M126" s="71">
        <v>581703</v>
      </c>
      <c r="N126" s="216">
        <v>642259</v>
      </c>
      <c r="O126" s="71"/>
      <c r="P126" s="72"/>
    </row>
    <row r="127" spans="1:16">
      <c r="A127" s="295"/>
      <c r="B127" s="289"/>
      <c r="C127" s="296"/>
      <c r="D127" s="66" t="s">
        <v>412</v>
      </c>
      <c r="E127" t="s">
        <v>413</v>
      </c>
      <c r="G127" t="s">
        <v>428</v>
      </c>
      <c r="H127" s="65">
        <v>44196</v>
      </c>
      <c r="K127" s="71">
        <v>868089</v>
      </c>
      <c r="L127" s="72">
        <v>510911</v>
      </c>
      <c r="M127" s="71">
        <v>538622</v>
      </c>
      <c r="N127" s="216">
        <v>302574</v>
      </c>
      <c r="O127" s="71"/>
      <c r="P127" s="72"/>
    </row>
    <row r="128" spans="1:16">
      <c r="A128" s="295"/>
      <c r="B128" s="289"/>
      <c r="C128" s="296"/>
      <c r="D128" s="66" t="s">
        <v>414</v>
      </c>
      <c r="E128" t="s">
        <v>413</v>
      </c>
      <c r="G128" t="s">
        <v>428</v>
      </c>
      <c r="H128" s="65">
        <v>44196</v>
      </c>
      <c r="K128" s="71">
        <f>K126+K127</f>
        <v>1430235</v>
      </c>
      <c r="L128" s="72">
        <f>L126+L127</f>
        <v>1135983</v>
      </c>
      <c r="M128" s="71">
        <f>M126+M127</f>
        <v>1120325</v>
      </c>
      <c r="N128" s="216">
        <f>N126+N127</f>
        <v>944833</v>
      </c>
      <c r="O128" s="71"/>
      <c r="P128" s="72"/>
    </row>
    <row r="129" spans="1:16">
      <c r="A129" s="295"/>
      <c r="B129" s="289"/>
      <c r="C129" s="296"/>
      <c r="D129" s="76" t="s">
        <v>415</v>
      </c>
      <c r="E129" s="77" t="s">
        <v>416</v>
      </c>
      <c r="G129" s="77" t="s">
        <v>428</v>
      </c>
      <c r="H129" s="78">
        <v>44196</v>
      </c>
      <c r="I129" s="91"/>
      <c r="J129" s="77"/>
      <c r="K129" s="79">
        <v>69388735</v>
      </c>
      <c r="L129" s="79">
        <v>71714741</v>
      </c>
      <c r="M129" s="79">
        <v>73093077</v>
      </c>
      <c r="N129" s="216">
        <v>75042286</v>
      </c>
      <c r="O129" s="79"/>
      <c r="P129" s="79"/>
    </row>
    <row r="130" spans="1:16">
      <c r="A130" s="295"/>
      <c r="B130" s="289"/>
      <c r="C130" s="296"/>
      <c r="D130" s="76" t="s">
        <v>415</v>
      </c>
      <c r="E130" s="80" t="s">
        <v>442</v>
      </c>
      <c r="G130" s="77" t="s">
        <v>56</v>
      </c>
      <c r="H130" s="78">
        <v>44196</v>
      </c>
      <c r="I130" s="91"/>
      <c r="J130" s="77"/>
      <c r="K130" s="79">
        <v>1427399</v>
      </c>
      <c r="L130" s="79">
        <v>1497075</v>
      </c>
      <c r="M130" s="79">
        <v>1563919</v>
      </c>
      <c r="N130" s="216">
        <v>1570397</v>
      </c>
      <c r="O130" s="79"/>
      <c r="P130" s="79"/>
    </row>
    <row r="131" spans="1:16">
      <c r="A131" s="295"/>
      <c r="B131" s="289"/>
      <c r="C131" s="296"/>
      <c r="D131" s="76" t="s">
        <v>415</v>
      </c>
      <c r="E131" s="80">
        <v>6</v>
      </c>
      <c r="G131" s="77" t="s">
        <v>56</v>
      </c>
      <c r="H131" s="78">
        <v>44196</v>
      </c>
      <c r="I131" s="91"/>
      <c r="J131" s="77"/>
      <c r="K131" s="79">
        <v>142250</v>
      </c>
      <c r="L131" s="79">
        <v>169233</v>
      </c>
      <c r="M131" s="79">
        <v>159039</v>
      </c>
      <c r="N131" s="216">
        <v>129646</v>
      </c>
      <c r="O131" s="79"/>
      <c r="P131" s="79"/>
    </row>
    <row r="132" spans="1:16">
      <c r="A132" s="295"/>
      <c r="B132" s="289"/>
      <c r="C132" s="296"/>
      <c r="D132" s="76" t="s">
        <v>415</v>
      </c>
      <c r="E132" s="80">
        <v>7</v>
      </c>
      <c r="G132" s="77" t="s">
        <v>56</v>
      </c>
      <c r="H132" s="78">
        <v>44196</v>
      </c>
      <c r="I132" s="91"/>
      <c r="J132" s="77"/>
      <c r="K132" s="79">
        <v>139797</v>
      </c>
      <c r="L132" s="79">
        <v>140187</v>
      </c>
      <c r="M132" s="79">
        <v>136608</v>
      </c>
      <c r="N132" s="216">
        <v>146298</v>
      </c>
      <c r="O132" s="79"/>
      <c r="P132" s="79"/>
    </row>
    <row r="133" spans="1:16">
      <c r="A133" s="295"/>
      <c r="B133" s="289"/>
      <c r="C133" s="296"/>
      <c r="D133" s="76" t="s">
        <v>415</v>
      </c>
      <c r="E133" s="80">
        <v>1</v>
      </c>
      <c r="G133" s="77" t="s">
        <v>56</v>
      </c>
      <c r="H133" s="78">
        <v>44196</v>
      </c>
      <c r="I133" s="91"/>
      <c r="J133" s="77"/>
      <c r="K133" s="79">
        <v>15391154</v>
      </c>
      <c r="L133" s="79">
        <v>16786192</v>
      </c>
      <c r="M133" s="79">
        <v>17221109</v>
      </c>
      <c r="N133" s="216">
        <v>18505921</v>
      </c>
      <c r="O133" s="79"/>
      <c r="P133" s="79"/>
    </row>
    <row r="134" spans="1:16">
      <c r="A134" s="295"/>
      <c r="B134" s="289"/>
      <c r="C134" s="296"/>
      <c r="D134" s="76" t="s">
        <v>415</v>
      </c>
      <c r="E134" s="80">
        <v>11</v>
      </c>
      <c r="G134" s="77" t="s">
        <v>56</v>
      </c>
      <c r="H134" s="78">
        <v>44196</v>
      </c>
      <c r="I134" s="91"/>
      <c r="J134" s="77"/>
      <c r="K134" s="79">
        <v>51079073</v>
      </c>
      <c r="L134" s="79">
        <v>51887708</v>
      </c>
      <c r="M134" s="79">
        <v>52759567</v>
      </c>
      <c r="N134" s="216">
        <v>53421006</v>
      </c>
      <c r="O134" s="79"/>
      <c r="P134" s="79"/>
    </row>
    <row r="135" spans="1:16">
      <c r="A135" s="295"/>
      <c r="B135" s="289"/>
      <c r="C135" s="296"/>
      <c r="D135" s="76" t="s">
        <v>415</v>
      </c>
      <c r="E135" s="80">
        <v>12</v>
      </c>
      <c r="G135" s="77" t="s">
        <v>56</v>
      </c>
      <c r="H135" s="78">
        <v>44196</v>
      </c>
      <c r="I135" s="91"/>
      <c r="J135" s="77"/>
      <c r="K135" s="79">
        <v>1185148</v>
      </c>
      <c r="L135" s="79">
        <v>1234346</v>
      </c>
      <c r="M135" s="79">
        <v>1252835</v>
      </c>
      <c r="N135" s="216">
        <v>1269018</v>
      </c>
      <c r="O135" s="79"/>
      <c r="P135" s="79"/>
    </row>
    <row r="136" spans="1:16">
      <c r="A136" s="295"/>
      <c r="B136" s="289"/>
      <c r="C136" s="296"/>
      <c r="D136" s="76" t="s">
        <v>603</v>
      </c>
      <c r="E136" s="80">
        <v>11</v>
      </c>
      <c r="G136" s="77" t="s">
        <v>447</v>
      </c>
      <c r="H136" s="78">
        <v>44196</v>
      </c>
      <c r="I136" s="91"/>
      <c r="J136" s="77"/>
      <c r="K136" s="79">
        <v>124</v>
      </c>
      <c r="L136" s="79">
        <v>128</v>
      </c>
      <c r="M136" s="79">
        <v>128</v>
      </c>
      <c r="N136" s="216">
        <v>127</v>
      </c>
      <c r="O136" s="79"/>
      <c r="P136" s="79"/>
    </row>
    <row r="137" spans="1:16">
      <c r="A137" s="295"/>
      <c r="B137" s="289"/>
      <c r="C137" s="296"/>
      <c r="D137" s="66" t="s">
        <v>417</v>
      </c>
      <c r="G137" t="s">
        <v>166</v>
      </c>
      <c r="H137" s="65">
        <v>44196</v>
      </c>
      <c r="K137" s="71">
        <f>K134/K136</f>
        <v>411928.00806451612</v>
      </c>
      <c r="L137" s="72">
        <f>L134/L136</f>
        <v>405372.71875</v>
      </c>
      <c r="M137" s="71">
        <f>M134/M136</f>
        <v>412184.1171875</v>
      </c>
      <c r="N137" s="216">
        <f>N134/N136</f>
        <v>420637.84251968504</v>
      </c>
      <c r="O137" s="71"/>
      <c r="P137" s="72"/>
    </row>
    <row r="138" spans="1:16">
      <c r="A138" s="295"/>
      <c r="B138" s="293"/>
      <c r="C138" s="296"/>
      <c r="D138" s="66" t="s">
        <v>418</v>
      </c>
      <c r="H138" s="65"/>
      <c r="K138" s="71"/>
      <c r="L138" s="72"/>
      <c r="M138" s="71"/>
      <c r="N138" s="217" t="s">
        <v>448</v>
      </c>
      <c r="O138" s="73"/>
      <c r="P138" s="72"/>
    </row>
    <row r="139" spans="1:16">
      <c r="A139" s="295" t="s">
        <v>80</v>
      </c>
      <c r="B139" s="292" t="s">
        <v>81</v>
      </c>
      <c r="C139" s="296" t="s">
        <v>82</v>
      </c>
      <c r="D139" s="66" t="s">
        <v>411</v>
      </c>
      <c r="G139" t="s">
        <v>428</v>
      </c>
      <c r="H139" s="65">
        <v>44196</v>
      </c>
      <c r="K139" s="71">
        <v>562146</v>
      </c>
      <c r="L139" s="72">
        <v>625072</v>
      </c>
      <c r="M139" s="71">
        <v>581703</v>
      </c>
      <c r="N139" s="216">
        <v>678403</v>
      </c>
      <c r="O139" s="71">
        <v>678967</v>
      </c>
      <c r="P139" s="72"/>
    </row>
    <row r="140" spans="1:16">
      <c r="A140" s="295"/>
      <c r="B140" s="289"/>
      <c r="C140" s="296"/>
      <c r="D140" s="66" t="s">
        <v>412</v>
      </c>
      <c r="E140" t="s">
        <v>413</v>
      </c>
      <c r="G140" t="s">
        <v>428</v>
      </c>
      <c r="H140" s="65">
        <v>44196</v>
      </c>
      <c r="K140" s="71">
        <v>868089</v>
      </c>
      <c r="L140" s="72">
        <v>510911</v>
      </c>
      <c r="M140" s="71">
        <v>538622</v>
      </c>
      <c r="N140" s="216">
        <v>354095</v>
      </c>
      <c r="O140" s="71">
        <v>130090</v>
      </c>
      <c r="P140" s="72"/>
    </row>
    <row r="141" spans="1:16">
      <c r="A141" s="295"/>
      <c r="B141" s="289"/>
      <c r="C141" s="296"/>
      <c r="D141" s="66" t="s">
        <v>414</v>
      </c>
      <c r="E141" t="s">
        <v>413</v>
      </c>
      <c r="G141" t="s">
        <v>428</v>
      </c>
      <c r="H141" s="65">
        <v>44196</v>
      </c>
      <c r="K141" s="71">
        <f>K139+K140</f>
        <v>1430235</v>
      </c>
      <c r="L141" s="72">
        <f>L139+L140</f>
        <v>1135983</v>
      </c>
      <c r="M141" s="71">
        <f>M139+M140</f>
        <v>1120325</v>
      </c>
      <c r="N141" s="216">
        <f>N139+N140</f>
        <v>1032498</v>
      </c>
      <c r="O141" s="71">
        <f>O139+O140</f>
        <v>809057</v>
      </c>
      <c r="P141" s="72"/>
    </row>
    <row r="142" spans="1:16">
      <c r="A142" s="295"/>
      <c r="B142" s="289"/>
      <c r="C142" s="296"/>
      <c r="D142" s="76" t="s">
        <v>415</v>
      </c>
      <c r="E142" s="77" t="s">
        <v>416</v>
      </c>
      <c r="G142" s="77" t="s">
        <v>428</v>
      </c>
      <c r="H142" s="78">
        <v>44196</v>
      </c>
      <c r="I142" s="91"/>
      <c r="J142" s="77"/>
      <c r="K142" s="79">
        <v>69388735</v>
      </c>
      <c r="L142" s="79">
        <v>71714741</v>
      </c>
      <c r="M142" s="79">
        <v>73093077</v>
      </c>
      <c r="N142" s="216">
        <v>75042286</v>
      </c>
      <c r="O142" s="79">
        <v>65100863</v>
      </c>
      <c r="P142" s="79"/>
    </row>
    <row r="143" spans="1:16">
      <c r="A143" s="295"/>
      <c r="B143" s="289"/>
      <c r="C143" s="296"/>
      <c r="D143" s="76" t="s">
        <v>415</v>
      </c>
      <c r="E143" s="80" t="s">
        <v>442</v>
      </c>
      <c r="G143" s="77" t="s">
        <v>56</v>
      </c>
      <c r="H143" s="78">
        <v>44196</v>
      </c>
      <c r="I143" s="91"/>
      <c r="J143" s="77"/>
      <c r="K143" s="79">
        <v>1427399</v>
      </c>
      <c r="L143" s="79">
        <v>1497075</v>
      </c>
      <c r="M143" s="79">
        <v>1563919</v>
      </c>
      <c r="N143" s="216">
        <v>1570397</v>
      </c>
      <c r="O143" s="79">
        <v>1322859</v>
      </c>
      <c r="P143" s="79"/>
    </row>
    <row r="144" spans="1:16">
      <c r="A144" s="295"/>
      <c r="B144" s="289"/>
      <c r="C144" s="296"/>
      <c r="D144" s="76" t="s">
        <v>415</v>
      </c>
      <c r="E144" s="80">
        <v>6</v>
      </c>
      <c r="G144" s="77" t="s">
        <v>56</v>
      </c>
      <c r="H144" s="78">
        <v>44196</v>
      </c>
      <c r="I144" s="91"/>
      <c r="J144" s="77"/>
      <c r="K144" s="79">
        <v>142250</v>
      </c>
      <c r="L144" s="79">
        <v>169233</v>
      </c>
      <c r="M144" s="79">
        <v>159039</v>
      </c>
      <c r="N144" s="216">
        <v>129646</v>
      </c>
      <c r="O144" s="79">
        <v>25217</v>
      </c>
      <c r="P144" s="79"/>
    </row>
    <row r="145" spans="1:16">
      <c r="A145" s="295"/>
      <c r="B145" s="289"/>
      <c r="C145" s="296"/>
      <c r="D145" s="76" t="s">
        <v>415</v>
      </c>
      <c r="E145" s="80">
        <v>7</v>
      </c>
      <c r="G145" s="77" t="s">
        <v>56</v>
      </c>
      <c r="H145" s="78">
        <v>44196</v>
      </c>
      <c r="I145" s="91"/>
      <c r="J145" s="77"/>
      <c r="K145" s="79">
        <v>139797</v>
      </c>
      <c r="L145" s="79">
        <v>140187</v>
      </c>
      <c r="M145" s="79">
        <v>136608</v>
      </c>
      <c r="N145" s="216">
        <v>146298</v>
      </c>
      <c r="O145" s="79">
        <v>166586</v>
      </c>
      <c r="P145" s="79"/>
    </row>
    <row r="146" spans="1:16">
      <c r="A146" s="295"/>
      <c r="B146" s="289"/>
      <c r="C146" s="296"/>
      <c r="D146" s="76" t="s">
        <v>415</v>
      </c>
      <c r="E146" s="80">
        <v>1</v>
      </c>
      <c r="G146" s="77" t="s">
        <v>56</v>
      </c>
      <c r="H146" s="78">
        <v>44196</v>
      </c>
      <c r="I146" s="91"/>
      <c r="J146" s="77"/>
      <c r="K146" s="79">
        <v>15391154</v>
      </c>
      <c r="L146" s="79">
        <v>16786192</v>
      </c>
      <c r="M146" s="79">
        <v>17221109</v>
      </c>
      <c r="N146" s="216">
        <v>18505921</v>
      </c>
      <c r="O146" s="79">
        <v>16234959</v>
      </c>
      <c r="P146" s="79"/>
    </row>
    <row r="147" spans="1:16">
      <c r="A147" s="295"/>
      <c r="B147" s="289"/>
      <c r="C147" s="296"/>
      <c r="D147" s="76" t="s">
        <v>415</v>
      </c>
      <c r="E147" s="80">
        <v>11</v>
      </c>
      <c r="G147" s="77" t="s">
        <v>56</v>
      </c>
      <c r="H147" s="78">
        <v>44196</v>
      </c>
      <c r="I147" s="91"/>
      <c r="J147" s="77"/>
      <c r="K147" s="79">
        <v>51079073</v>
      </c>
      <c r="L147" s="79">
        <v>51887708</v>
      </c>
      <c r="M147" s="79">
        <v>52759567</v>
      </c>
      <c r="N147" s="216">
        <v>53421006</v>
      </c>
      <c r="O147" s="84">
        <v>46200385</v>
      </c>
      <c r="P147" s="79"/>
    </row>
    <row r="148" spans="1:16">
      <c r="A148" s="295"/>
      <c r="B148" s="289"/>
      <c r="C148" s="296"/>
      <c r="D148" s="76" t="s">
        <v>415</v>
      </c>
      <c r="E148" s="80">
        <v>12</v>
      </c>
      <c r="G148" s="77" t="s">
        <v>56</v>
      </c>
      <c r="H148" s="78">
        <v>44196</v>
      </c>
      <c r="I148" s="91"/>
      <c r="J148" s="77"/>
      <c r="K148" s="79">
        <v>1185148</v>
      </c>
      <c r="L148" s="79">
        <v>1234346</v>
      </c>
      <c r="M148" s="79">
        <v>1252835</v>
      </c>
      <c r="N148" s="216">
        <v>1269018</v>
      </c>
      <c r="O148" s="79">
        <v>1150857</v>
      </c>
      <c r="P148" s="79"/>
    </row>
    <row r="149" spans="1:16">
      <c r="A149" s="295"/>
      <c r="B149" s="289"/>
      <c r="C149" s="296"/>
      <c r="D149" s="76" t="s">
        <v>603</v>
      </c>
      <c r="E149" s="80">
        <v>11</v>
      </c>
      <c r="G149" s="77" t="s">
        <v>447</v>
      </c>
      <c r="H149" s="78">
        <v>44196</v>
      </c>
      <c r="I149" s="91"/>
      <c r="J149" s="77"/>
      <c r="K149" s="79">
        <v>124</v>
      </c>
      <c r="L149" s="79">
        <v>128</v>
      </c>
      <c r="M149" s="81">
        <v>128</v>
      </c>
      <c r="N149" s="216">
        <v>127</v>
      </c>
      <c r="O149" s="81">
        <v>99</v>
      </c>
      <c r="P149" s="79"/>
    </row>
    <row r="150" spans="1:16">
      <c r="A150" s="295"/>
      <c r="B150" s="289"/>
      <c r="C150" s="296"/>
      <c r="D150" s="66" t="s">
        <v>417</v>
      </c>
      <c r="G150" t="s">
        <v>166</v>
      </c>
      <c r="H150" s="65">
        <v>44196</v>
      </c>
      <c r="K150" s="71">
        <f>K147/K149</f>
        <v>411928.00806451612</v>
      </c>
      <c r="L150" s="72">
        <f>L147/L149</f>
        <v>405372.71875</v>
      </c>
      <c r="M150" s="71">
        <f>M147/M149</f>
        <v>412184.1171875</v>
      </c>
      <c r="N150" s="216">
        <f>N147/N149</f>
        <v>420637.84251968504</v>
      </c>
      <c r="O150" s="71">
        <f>O147/O149</f>
        <v>466670.55555555556</v>
      </c>
      <c r="P150" s="72"/>
    </row>
    <row r="151" spans="1:16">
      <c r="A151" s="295"/>
      <c r="B151" s="293"/>
      <c r="C151" s="296"/>
      <c r="D151" s="66" t="s">
        <v>418</v>
      </c>
      <c r="H151" s="65"/>
      <c r="K151" s="71"/>
      <c r="L151" s="72"/>
      <c r="M151" s="71"/>
      <c r="N151" s="216"/>
      <c r="O151" s="73" t="s">
        <v>446</v>
      </c>
      <c r="P151" s="72"/>
    </row>
    <row r="152" spans="1:16">
      <c r="A152" s="295" t="s">
        <v>80</v>
      </c>
      <c r="B152" s="292" t="s">
        <v>81</v>
      </c>
      <c r="C152" s="296" t="s">
        <v>82</v>
      </c>
      <c r="D152" s="66" t="s">
        <v>411</v>
      </c>
      <c r="G152" t="s">
        <v>428</v>
      </c>
      <c r="H152" s="65">
        <v>44561</v>
      </c>
      <c r="K152" s="71"/>
      <c r="L152" s="72">
        <v>625072</v>
      </c>
      <c r="M152" s="71">
        <v>581703</v>
      </c>
      <c r="N152" s="216">
        <v>678403</v>
      </c>
      <c r="O152" s="71">
        <v>678967</v>
      </c>
      <c r="P152" s="72">
        <v>699713</v>
      </c>
    </row>
    <row r="153" spans="1:16">
      <c r="A153" s="295"/>
      <c r="B153" s="289"/>
      <c r="C153" s="296"/>
      <c r="D153" s="66" t="s">
        <v>412</v>
      </c>
      <c r="E153" t="s">
        <v>413</v>
      </c>
      <c r="G153" t="s">
        <v>428</v>
      </c>
      <c r="H153" s="65">
        <v>44561</v>
      </c>
      <c r="K153" s="71"/>
      <c r="L153" s="72">
        <v>510911</v>
      </c>
      <c r="M153" s="71">
        <v>538622</v>
      </c>
      <c r="N153" s="216">
        <v>354095</v>
      </c>
      <c r="O153" s="71">
        <v>130090</v>
      </c>
      <c r="P153" s="72">
        <v>134849</v>
      </c>
    </row>
    <row r="154" spans="1:16">
      <c r="A154" s="295"/>
      <c r="B154" s="289"/>
      <c r="C154" s="296"/>
      <c r="D154" s="66" t="s">
        <v>414</v>
      </c>
      <c r="E154" t="s">
        <v>413</v>
      </c>
      <c r="G154" t="s">
        <v>428</v>
      </c>
      <c r="H154" s="65">
        <v>44561</v>
      </c>
      <c r="K154" s="71"/>
      <c r="L154" s="72">
        <f>L152+L153</f>
        <v>1135983</v>
      </c>
      <c r="M154" s="71">
        <f>M152+M153</f>
        <v>1120325</v>
      </c>
      <c r="N154" s="216">
        <f>N152+N153</f>
        <v>1032498</v>
      </c>
      <c r="O154" s="72">
        <f>O152+O153</f>
        <v>809057</v>
      </c>
      <c r="P154" s="72">
        <f>P152+P153</f>
        <v>834562</v>
      </c>
    </row>
    <row r="155" spans="1:16">
      <c r="A155" s="295"/>
      <c r="B155" s="289"/>
      <c r="C155" s="296"/>
      <c r="D155" s="76" t="s">
        <v>415</v>
      </c>
      <c r="E155" s="77" t="s">
        <v>416</v>
      </c>
      <c r="G155" s="77" t="s">
        <v>428</v>
      </c>
      <c r="H155" s="78">
        <v>44561</v>
      </c>
      <c r="I155" s="91"/>
      <c r="J155" s="77"/>
      <c r="K155" s="79"/>
      <c r="L155" s="79">
        <v>71714741</v>
      </c>
      <c r="M155" s="79">
        <v>73093077</v>
      </c>
      <c r="N155" s="216">
        <v>132520346</v>
      </c>
      <c r="O155" s="79">
        <v>117682832</v>
      </c>
      <c r="P155" s="79">
        <v>121705368</v>
      </c>
    </row>
    <row r="156" spans="1:16">
      <c r="A156" s="295"/>
      <c r="B156" s="289"/>
      <c r="C156" s="296"/>
      <c r="D156" s="76" t="s">
        <v>415</v>
      </c>
      <c r="E156" s="80" t="s">
        <v>442</v>
      </c>
      <c r="G156" s="77" t="s">
        <v>56</v>
      </c>
      <c r="H156" s="78">
        <v>44561</v>
      </c>
      <c r="I156" s="91"/>
      <c r="J156" s="77"/>
      <c r="K156" s="79"/>
      <c r="L156" s="79">
        <v>1497075</v>
      </c>
      <c r="M156" s="79">
        <v>1563919</v>
      </c>
      <c r="N156" s="216">
        <v>1570397</v>
      </c>
      <c r="O156" s="79">
        <v>1322859</v>
      </c>
      <c r="P156" s="79">
        <v>1878910</v>
      </c>
    </row>
    <row r="157" spans="1:16">
      <c r="A157" s="295"/>
      <c r="B157" s="289"/>
      <c r="C157" s="296"/>
      <c r="D157" s="76" t="s">
        <v>415</v>
      </c>
      <c r="E157" s="80">
        <v>6</v>
      </c>
      <c r="G157" s="77" t="s">
        <v>56</v>
      </c>
      <c r="H157" s="78">
        <v>44561</v>
      </c>
      <c r="I157" s="91"/>
      <c r="J157" s="77"/>
      <c r="K157" s="79"/>
      <c r="L157" s="79">
        <v>169233</v>
      </c>
      <c r="M157" s="79">
        <v>159039</v>
      </c>
      <c r="N157" s="216">
        <v>129646</v>
      </c>
      <c r="O157" s="79">
        <v>25217</v>
      </c>
      <c r="P157" s="79">
        <v>29765</v>
      </c>
    </row>
    <row r="158" spans="1:16">
      <c r="A158" s="295"/>
      <c r="B158" s="289"/>
      <c r="C158" s="296"/>
      <c r="D158" s="76" t="s">
        <v>415</v>
      </c>
      <c r="E158" s="80">
        <v>7</v>
      </c>
      <c r="G158" s="77" t="s">
        <v>56</v>
      </c>
      <c r="H158" s="78">
        <v>44561</v>
      </c>
      <c r="I158" s="91"/>
      <c r="J158" s="77"/>
      <c r="K158" s="79"/>
      <c r="L158" s="79">
        <v>140187</v>
      </c>
      <c r="M158" s="79">
        <v>136608</v>
      </c>
      <c r="N158" s="216">
        <v>146298</v>
      </c>
      <c r="O158" s="79">
        <v>166586</v>
      </c>
      <c r="P158" s="79">
        <v>139999</v>
      </c>
    </row>
    <row r="159" spans="1:16">
      <c r="A159" s="295"/>
      <c r="B159" s="289"/>
      <c r="C159" s="296"/>
      <c r="D159" s="76" t="s">
        <v>415</v>
      </c>
      <c r="E159" s="80">
        <v>1</v>
      </c>
      <c r="G159" s="77" t="s">
        <v>56</v>
      </c>
      <c r="H159" s="78">
        <v>44561</v>
      </c>
      <c r="I159" s="91"/>
      <c r="J159" s="77"/>
      <c r="K159" s="79"/>
      <c r="L159" s="79">
        <v>16786192</v>
      </c>
      <c r="M159" s="79">
        <v>17221109</v>
      </c>
      <c r="N159" s="216">
        <v>18505921</v>
      </c>
      <c r="O159" s="79">
        <v>16234959</v>
      </c>
      <c r="P159" s="79">
        <v>18534765</v>
      </c>
    </row>
    <row r="160" spans="1:16">
      <c r="A160" s="295"/>
      <c r="B160" s="289"/>
      <c r="C160" s="296"/>
      <c r="D160" s="76" t="s">
        <v>415</v>
      </c>
      <c r="E160" s="80">
        <v>11</v>
      </c>
      <c r="G160" s="77" t="s">
        <v>56</v>
      </c>
      <c r="H160" s="78">
        <v>44561</v>
      </c>
      <c r="I160" s="91"/>
      <c r="J160" s="77"/>
      <c r="K160" s="79"/>
      <c r="L160" s="79">
        <v>51887708</v>
      </c>
      <c r="M160" s="79">
        <v>52759567</v>
      </c>
      <c r="N160" s="216">
        <v>110899066</v>
      </c>
      <c r="O160" s="84">
        <v>98782354</v>
      </c>
      <c r="P160" s="79">
        <v>99805490</v>
      </c>
    </row>
    <row r="161" spans="1:16">
      <c r="A161" s="295"/>
      <c r="B161" s="289"/>
      <c r="C161" s="296"/>
      <c r="D161" s="76" t="s">
        <v>415</v>
      </c>
      <c r="E161" s="80">
        <v>12</v>
      </c>
      <c r="G161" s="77" t="s">
        <v>56</v>
      </c>
      <c r="H161" s="78">
        <v>44561</v>
      </c>
      <c r="I161" s="91"/>
      <c r="J161" s="77"/>
      <c r="K161" s="79"/>
      <c r="L161" s="79">
        <v>1234346</v>
      </c>
      <c r="M161" s="79">
        <v>1252835</v>
      </c>
      <c r="N161" s="216">
        <v>1269018</v>
      </c>
      <c r="O161" s="79">
        <v>1150857</v>
      </c>
      <c r="P161" s="79">
        <v>1316438</v>
      </c>
    </row>
    <row r="162" spans="1:16">
      <c r="A162" s="295"/>
      <c r="B162" s="289"/>
      <c r="C162" s="296"/>
      <c r="D162" s="76" t="s">
        <v>603</v>
      </c>
      <c r="E162" s="80">
        <v>11</v>
      </c>
      <c r="G162" s="77" t="s">
        <v>447</v>
      </c>
      <c r="H162" s="78">
        <v>44561</v>
      </c>
      <c r="I162" s="91"/>
      <c r="J162" s="77"/>
      <c r="K162" s="79"/>
      <c r="L162" s="79">
        <v>128</v>
      </c>
      <c r="M162" s="81">
        <v>127.5</v>
      </c>
      <c r="N162" s="216">
        <v>127</v>
      </c>
      <c r="O162" s="81">
        <v>135</v>
      </c>
      <c r="P162" s="79">
        <v>115.9</v>
      </c>
    </row>
    <row r="163" spans="1:16">
      <c r="A163" s="295"/>
      <c r="B163" s="289"/>
      <c r="C163" s="296"/>
      <c r="D163" s="66" t="s">
        <v>417</v>
      </c>
      <c r="G163" t="s">
        <v>166</v>
      </c>
      <c r="H163" s="65">
        <v>44561</v>
      </c>
      <c r="K163" s="71"/>
      <c r="L163" s="72">
        <f>L160/L162</f>
        <v>405372.71875</v>
      </c>
      <c r="M163" s="71">
        <f>M160/M162</f>
        <v>413800.52549019607</v>
      </c>
      <c r="N163" s="216">
        <f>N160/N162</f>
        <v>873220.99212598428</v>
      </c>
      <c r="O163" s="71">
        <f>O160/O162</f>
        <v>731721.1407407407</v>
      </c>
      <c r="P163" s="72">
        <f>P160/P162</f>
        <v>861134.51251078513</v>
      </c>
    </row>
    <row r="164" spans="1:16">
      <c r="A164" s="295"/>
      <c r="B164" s="293"/>
      <c r="C164" s="296"/>
      <c r="D164" s="66" t="s">
        <v>418</v>
      </c>
      <c r="H164" s="65"/>
      <c r="K164" s="71"/>
      <c r="L164" s="72"/>
      <c r="M164" s="71"/>
      <c r="N164" s="216"/>
      <c r="O164" s="71"/>
      <c r="P164" s="74" t="s">
        <v>445</v>
      </c>
    </row>
    <row r="165" spans="1:16">
      <c r="A165" s="295" t="s">
        <v>86</v>
      </c>
      <c r="B165" s="292" t="s">
        <v>87</v>
      </c>
      <c r="C165" s="296" t="s">
        <v>88</v>
      </c>
      <c r="D165" s="66" t="s">
        <v>411</v>
      </c>
      <c r="G165" t="s">
        <v>429</v>
      </c>
      <c r="H165" s="65">
        <v>44561</v>
      </c>
      <c r="K165" s="71"/>
      <c r="L165" s="72">
        <v>50.5</v>
      </c>
      <c r="M165" s="71">
        <v>48.8</v>
      </c>
      <c r="N165" s="216">
        <v>49.2</v>
      </c>
      <c r="O165" s="71">
        <v>41.7</v>
      </c>
      <c r="P165" s="72">
        <v>33.200000000000003</v>
      </c>
    </row>
    <row r="166" spans="1:16">
      <c r="A166" s="295"/>
      <c r="B166" s="289"/>
      <c r="C166" s="296"/>
      <c r="D166" s="66" t="s">
        <v>412</v>
      </c>
      <c r="E166" t="s">
        <v>413</v>
      </c>
      <c r="G166" t="s">
        <v>429</v>
      </c>
      <c r="H166" s="65">
        <v>44561</v>
      </c>
      <c r="K166" s="71"/>
      <c r="L166" s="72">
        <v>6.1</v>
      </c>
      <c r="M166" s="71">
        <v>5.4</v>
      </c>
      <c r="N166" s="216">
        <v>5.2</v>
      </c>
      <c r="O166" s="71">
        <v>3.8</v>
      </c>
      <c r="P166" s="72">
        <v>2.4</v>
      </c>
    </row>
    <row r="167" spans="1:16">
      <c r="A167" s="295"/>
      <c r="B167" s="289"/>
      <c r="C167" s="296"/>
      <c r="D167" s="66" t="s">
        <v>414</v>
      </c>
      <c r="E167" t="s">
        <v>413</v>
      </c>
      <c r="G167" t="s">
        <v>429</v>
      </c>
      <c r="H167" s="65">
        <v>44561</v>
      </c>
      <c r="K167" s="71"/>
      <c r="L167" s="72">
        <v>56.6</v>
      </c>
      <c r="M167" s="71">
        <v>54.2</v>
      </c>
      <c r="N167" s="216">
        <v>54.400000000000013</v>
      </c>
      <c r="O167" s="71">
        <v>45.5</v>
      </c>
      <c r="P167" s="72">
        <v>35.6</v>
      </c>
    </row>
    <row r="168" spans="1:16">
      <c r="A168" s="295"/>
      <c r="B168" s="289"/>
      <c r="C168" s="296"/>
      <c r="D168" s="66" t="s">
        <v>415</v>
      </c>
      <c r="E168" t="s">
        <v>416</v>
      </c>
      <c r="G168" t="s">
        <v>429</v>
      </c>
      <c r="H168" s="65">
        <v>44561</v>
      </c>
      <c r="K168" s="71"/>
      <c r="L168" s="72">
        <v>946.27100840336141</v>
      </c>
      <c r="M168" s="71">
        <v>946.27100840336141</v>
      </c>
      <c r="N168" s="216">
        <v>946.27100840336141</v>
      </c>
      <c r="O168" s="71">
        <v>822.359943977591</v>
      </c>
      <c r="P168" s="72">
        <v>834.55532212885146</v>
      </c>
    </row>
    <row r="169" spans="1:16">
      <c r="A169" s="295"/>
      <c r="B169" s="289"/>
      <c r="C169" s="296"/>
      <c r="D169" s="66" t="s">
        <v>417</v>
      </c>
      <c r="G169" t="s">
        <v>91</v>
      </c>
      <c r="H169" s="65">
        <v>44561</v>
      </c>
      <c r="K169" s="71"/>
      <c r="L169" s="72">
        <v>12570</v>
      </c>
      <c r="M169" s="71">
        <v>12570</v>
      </c>
      <c r="N169" s="216">
        <v>12570</v>
      </c>
      <c r="O169" s="71">
        <v>10924</v>
      </c>
      <c r="P169" s="72">
        <v>11086</v>
      </c>
    </row>
    <row r="170" spans="1:16">
      <c r="A170" s="295"/>
      <c r="B170" s="293"/>
      <c r="C170" s="296"/>
      <c r="D170" s="66" t="s">
        <v>418</v>
      </c>
      <c r="H170" s="65"/>
      <c r="K170" s="71"/>
      <c r="L170" s="72"/>
      <c r="M170" s="71"/>
      <c r="N170" s="216"/>
      <c r="O170" s="71"/>
      <c r="P170" s="74" t="s">
        <v>581</v>
      </c>
    </row>
    <row r="171" spans="1:16">
      <c r="A171" s="295" t="s">
        <v>92</v>
      </c>
      <c r="B171" s="292" t="s">
        <v>93</v>
      </c>
      <c r="C171" s="296" t="s">
        <v>94</v>
      </c>
      <c r="D171" s="66" t="s">
        <v>411</v>
      </c>
      <c r="G171" t="s">
        <v>428</v>
      </c>
      <c r="H171" s="65">
        <v>44561</v>
      </c>
      <c r="K171" s="71">
        <v>298055</v>
      </c>
      <c r="L171" s="72">
        <v>298055</v>
      </c>
      <c r="M171" s="71">
        <v>298055</v>
      </c>
      <c r="N171" s="216">
        <v>299000</v>
      </c>
      <c r="O171" s="71">
        <v>236000</v>
      </c>
      <c r="P171" s="72">
        <v>288000</v>
      </c>
    </row>
    <row r="172" spans="1:16">
      <c r="A172" s="295"/>
      <c r="B172" s="289"/>
      <c r="C172" s="296"/>
      <c r="D172" s="66" t="s">
        <v>412</v>
      </c>
      <c r="E172" t="s">
        <v>413</v>
      </c>
      <c r="G172" t="s">
        <v>428</v>
      </c>
      <c r="H172" s="65">
        <v>44561</v>
      </c>
      <c r="K172" s="71">
        <v>76855.254000000001</v>
      </c>
      <c r="L172" s="72">
        <v>76855.254000000001</v>
      </c>
      <c r="M172" s="71">
        <v>76855.254000000001</v>
      </c>
      <c r="N172" s="216">
        <v>51000</v>
      </c>
      <c r="O172" s="71">
        <v>27000</v>
      </c>
      <c r="P172" s="72">
        <v>31000</v>
      </c>
    </row>
    <row r="173" spans="1:16">
      <c r="A173" s="295"/>
      <c r="B173" s="289"/>
      <c r="C173" s="296"/>
      <c r="D173" s="66" t="s">
        <v>414</v>
      </c>
      <c r="E173" t="s">
        <v>413</v>
      </c>
      <c r="G173" t="s">
        <v>428</v>
      </c>
      <c r="H173" s="65">
        <v>44561</v>
      </c>
      <c r="K173" s="71">
        <v>374910.25400000002</v>
      </c>
      <c r="L173" s="72">
        <v>374910.25400000002</v>
      </c>
      <c r="M173" s="71">
        <v>374910.25400000002</v>
      </c>
      <c r="N173" s="216">
        <f>SUM(N171:N172)</f>
        <v>350000</v>
      </c>
      <c r="O173" s="71">
        <f t="shared" ref="O173:P173" si="6">SUM(O171:O172)</f>
        <v>263000</v>
      </c>
      <c r="P173" s="72">
        <f t="shared" si="6"/>
        <v>319000</v>
      </c>
    </row>
    <row r="174" spans="1:16">
      <c r="A174" s="295"/>
      <c r="B174" s="289"/>
      <c r="C174" s="296"/>
      <c r="D174" s="66" t="s">
        <v>600</v>
      </c>
      <c r="G174" t="s">
        <v>1108</v>
      </c>
      <c r="H174" s="65">
        <v>44561</v>
      </c>
      <c r="I174" s="90" t="s">
        <v>970</v>
      </c>
      <c r="K174" s="71">
        <f t="shared" ref="K174:L174" si="7">K173/K176</f>
        <v>2.7004793886091725</v>
      </c>
      <c r="L174" s="72">
        <f t="shared" si="7"/>
        <v>2.7004793886091725</v>
      </c>
      <c r="M174" s="71">
        <f>M173/M176</f>
        <v>2.7004793886091725</v>
      </c>
      <c r="N174" s="216">
        <v>2.93</v>
      </c>
      <c r="O174" s="71">
        <v>2.82</v>
      </c>
      <c r="P174" s="72">
        <v>3.98</v>
      </c>
    </row>
    <row r="175" spans="1:16">
      <c r="A175" s="295"/>
      <c r="B175" s="289"/>
      <c r="C175" s="296"/>
      <c r="D175" s="66" t="s">
        <v>415</v>
      </c>
      <c r="E175" t="s">
        <v>416</v>
      </c>
      <c r="G175" t="s">
        <v>428</v>
      </c>
      <c r="H175" s="65">
        <v>44561</v>
      </c>
      <c r="K175" s="71"/>
      <c r="L175" s="72"/>
      <c r="M175" s="71"/>
      <c r="N175" s="216"/>
      <c r="O175" s="71"/>
      <c r="P175" s="72"/>
    </row>
    <row r="176" spans="1:16">
      <c r="A176" s="295"/>
      <c r="B176" s="289"/>
      <c r="C176" s="296"/>
      <c r="D176" s="66" t="s">
        <v>417</v>
      </c>
      <c r="G176" t="s">
        <v>96</v>
      </c>
      <c r="H176" s="65">
        <v>44561</v>
      </c>
      <c r="K176" s="71">
        <v>138831</v>
      </c>
      <c r="L176" s="72">
        <v>138831</v>
      </c>
      <c r="M176" s="71">
        <v>138831</v>
      </c>
      <c r="N176" s="216">
        <f>N173/N174</f>
        <v>119453.92491467576</v>
      </c>
      <c r="O176" s="71">
        <f t="shared" ref="O176:P176" si="8">O173/O174</f>
        <v>93262.411347517729</v>
      </c>
      <c r="P176" s="72">
        <f t="shared" si="8"/>
        <v>80150.753768844224</v>
      </c>
    </row>
    <row r="177" spans="1:16">
      <c r="A177" s="295"/>
      <c r="B177" s="293"/>
      <c r="C177" s="296"/>
      <c r="D177" s="66" t="s">
        <v>418</v>
      </c>
      <c r="H177" s="65"/>
      <c r="K177" s="71"/>
      <c r="L177" s="72"/>
      <c r="M177" s="71"/>
      <c r="N177" s="216"/>
      <c r="O177" s="71"/>
      <c r="P177" s="74" t="s">
        <v>580</v>
      </c>
    </row>
    <row r="178" spans="1:16">
      <c r="A178" s="295" t="s">
        <v>97</v>
      </c>
      <c r="B178" s="292" t="s">
        <v>98</v>
      </c>
      <c r="C178" s="296" t="s">
        <v>99</v>
      </c>
      <c r="D178" s="66" t="s">
        <v>411</v>
      </c>
      <c r="G178" t="s">
        <v>429</v>
      </c>
      <c r="H178" s="65">
        <v>44561</v>
      </c>
      <c r="K178" s="71"/>
      <c r="L178" s="72">
        <v>63</v>
      </c>
      <c r="M178" s="71">
        <v>66</v>
      </c>
      <c r="N178" s="216">
        <v>62</v>
      </c>
      <c r="O178" s="71">
        <v>54</v>
      </c>
      <c r="P178" s="72">
        <v>57</v>
      </c>
    </row>
    <row r="179" spans="1:16">
      <c r="A179" s="295"/>
      <c r="B179" s="289"/>
      <c r="C179" s="296"/>
      <c r="D179" s="66" t="s">
        <v>412</v>
      </c>
      <c r="E179" t="s">
        <v>413</v>
      </c>
      <c r="G179" t="s">
        <v>429</v>
      </c>
      <c r="H179" s="65">
        <v>44561</v>
      </c>
      <c r="K179" s="71"/>
      <c r="L179" s="72">
        <v>3</v>
      </c>
      <c r="M179" s="71">
        <v>3</v>
      </c>
      <c r="N179" s="216">
        <v>2</v>
      </c>
      <c r="O179" s="71">
        <v>4</v>
      </c>
      <c r="P179" s="72">
        <v>4</v>
      </c>
    </row>
    <row r="180" spans="1:16">
      <c r="A180" s="295"/>
      <c r="B180" s="289"/>
      <c r="C180" s="296"/>
      <c r="D180" s="66" t="s">
        <v>414</v>
      </c>
      <c r="E180" t="s">
        <v>413</v>
      </c>
      <c r="G180" t="s">
        <v>429</v>
      </c>
      <c r="H180" s="65">
        <v>44561</v>
      </c>
      <c r="K180" s="71"/>
      <c r="L180" s="72">
        <v>66</v>
      </c>
      <c r="M180" s="71">
        <v>69</v>
      </c>
      <c r="N180" s="216">
        <v>64</v>
      </c>
      <c r="O180" s="71">
        <v>58</v>
      </c>
      <c r="P180" s="72">
        <v>61</v>
      </c>
    </row>
    <row r="181" spans="1:16">
      <c r="A181" s="295"/>
      <c r="B181" s="289"/>
      <c r="C181" s="296"/>
      <c r="D181" s="66" t="s">
        <v>415</v>
      </c>
      <c r="E181" t="s">
        <v>416</v>
      </c>
      <c r="G181" t="s">
        <v>429</v>
      </c>
      <c r="H181" s="65">
        <v>44561</v>
      </c>
      <c r="K181" s="71"/>
      <c r="L181" s="72">
        <v>613</v>
      </c>
      <c r="M181" s="71">
        <v>628</v>
      </c>
      <c r="N181" s="216">
        <v>639</v>
      </c>
      <c r="O181" s="71">
        <v>583</v>
      </c>
      <c r="P181" s="72">
        <v>611</v>
      </c>
    </row>
    <row r="182" spans="1:16">
      <c r="A182" s="295"/>
      <c r="B182" s="289"/>
      <c r="C182" s="296"/>
      <c r="D182" s="66" t="s">
        <v>417</v>
      </c>
      <c r="G182" t="s">
        <v>91</v>
      </c>
      <c r="H182" s="65">
        <v>44561</v>
      </c>
      <c r="K182" s="71"/>
      <c r="L182" s="72">
        <v>9568.2675814751292</v>
      </c>
      <c r="M182" s="71">
        <v>9802.4013722126929</v>
      </c>
      <c r="N182" s="216">
        <v>9974.0994854202399</v>
      </c>
      <c r="O182" s="71">
        <v>9100</v>
      </c>
      <c r="P182" s="72">
        <v>9500</v>
      </c>
    </row>
    <row r="183" spans="1:16">
      <c r="A183" s="295"/>
      <c r="B183" s="293"/>
      <c r="C183" s="296"/>
      <c r="D183" s="66" t="s">
        <v>418</v>
      </c>
      <c r="H183" s="65"/>
      <c r="K183" s="71"/>
      <c r="L183" s="72"/>
      <c r="M183" s="71"/>
      <c r="N183" s="216"/>
      <c r="O183" s="71"/>
      <c r="P183" s="72"/>
    </row>
    <row r="184" spans="1:16">
      <c r="A184" s="295" t="s">
        <v>109</v>
      </c>
      <c r="B184" s="292" t="s">
        <v>110</v>
      </c>
      <c r="C184" s="296" t="s">
        <v>111</v>
      </c>
      <c r="D184" s="66" t="s">
        <v>411</v>
      </c>
      <c r="G184" t="s">
        <v>429</v>
      </c>
      <c r="H184" s="65">
        <v>44561</v>
      </c>
      <c r="K184" s="71">
        <v>9.98209123846366</v>
      </c>
      <c r="L184" s="72">
        <v>8.7791840316313294</v>
      </c>
      <c r="M184" s="71">
        <v>9.3084717803376105</v>
      </c>
      <c r="N184" s="216">
        <v>8.4480133281525607</v>
      </c>
      <c r="O184" s="71">
        <v>8.0503032419862404</v>
      </c>
      <c r="P184" s="72"/>
    </row>
    <row r="185" spans="1:16">
      <c r="A185" s="295"/>
      <c r="B185" s="289"/>
      <c r="C185" s="296"/>
      <c r="D185" s="66" t="s">
        <v>412</v>
      </c>
      <c r="E185" t="s">
        <v>413</v>
      </c>
      <c r="G185" t="s">
        <v>429</v>
      </c>
      <c r="H185" s="65">
        <v>44561</v>
      </c>
      <c r="K185" s="71"/>
      <c r="L185" s="72"/>
      <c r="M185" s="71"/>
      <c r="N185" s="216"/>
      <c r="O185" s="71"/>
      <c r="P185" s="72"/>
    </row>
    <row r="186" spans="1:16">
      <c r="A186" s="295"/>
      <c r="B186" s="289"/>
      <c r="C186" s="296"/>
      <c r="D186" s="66" t="s">
        <v>414</v>
      </c>
      <c r="E186" t="s">
        <v>413</v>
      </c>
      <c r="G186" t="s">
        <v>429</v>
      </c>
      <c r="H186" s="65">
        <v>44561</v>
      </c>
      <c r="K186" s="71"/>
      <c r="L186" s="72"/>
      <c r="M186" s="71"/>
      <c r="N186" s="216"/>
      <c r="O186" s="71"/>
      <c r="P186" s="72"/>
    </row>
    <row r="187" spans="1:16">
      <c r="A187" s="295"/>
      <c r="B187" s="289"/>
      <c r="C187" s="296"/>
      <c r="D187" s="66" t="s">
        <v>415</v>
      </c>
      <c r="E187" t="s">
        <v>416</v>
      </c>
      <c r="G187" t="s">
        <v>429</v>
      </c>
      <c r="H187" s="65">
        <v>44561</v>
      </c>
      <c r="K187" s="71"/>
      <c r="L187" s="72"/>
      <c r="M187" s="71"/>
      <c r="N187" s="216"/>
      <c r="O187" s="71"/>
      <c r="P187" s="72"/>
    </row>
    <row r="188" spans="1:16">
      <c r="A188" s="295"/>
      <c r="B188" s="289"/>
      <c r="C188" s="296"/>
      <c r="D188" s="66" t="s">
        <v>417</v>
      </c>
      <c r="G188" t="s">
        <v>62</v>
      </c>
      <c r="H188" s="65">
        <v>44561</v>
      </c>
      <c r="K188" s="71">
        <v>13.525581534692501</v>
      </c>
      <c r="L188" s="72">
        <v>11.5214877484265</v>
      </c>
      <c r="M188" s="71">
        <v>12.199646670480099</v>
      </c>
      <c r="N188" s="216">
        <v>12.8612387470939</v>
      </c>
      <c r="O188" s="71">
        <v>12.092829316131199</v>
      </c>
      <c r="P188" s="72"/>
    </row>
    <row r="189" spans="1:16">
      <c r="A189" s="295"/>
      <c r="B189" s="293"/>
      <c r="C189" s="296"/>
      <c r="D189" s="66" t="s">
        <v>418</v>
      </c>
      <c r="H189" s="65"/>
      <c r="K189" s="71"/>
      <c r="L189" s="72"/>
      <c r="M189" s="71"/>
      <c r="N189" s="216"/>
      <c r="O189" s="71"/>
      <c r="P189" s="72"/>
    </row>
    <row r="190" spans="1:16">
      <c r="A190" s="295" t="s">
        <v>109</v>
      </c>
      <c r="B190" s="292" t="s">
        <v>110</v>
      </c>
      <c r="C190" s="296" t="s">
        <v>111</v>
      </c>
      <c r="D190" s="66" t="s">
        <v>575</v>
      </c>
      <c r="H190" s="65">
        <v>44866</v>
      </c>
      <c r="I190" s="90">
        <v>2011</v>
      </c>
      <c r="K190" s="71"/>
      <c r="L190" s="72"/>
      <c r="M190" s="71"/>
      <c r="N190" s="216"/>
      <c r="O190" s="71"/>
      <c r="P190" s="72"/>
    </row>
    <row r="191" spans="1:16">
      <c r="A191" s="295"/>
      <c r="B191" s="289"/>
      <c r="C191" s="296"/>
      <c r="D191" s="66" t="s">
        <v>411</v>
      </c>
      <c r="G191" t="s">
        <v>429</v>
      </c>
      <c r="H191" s="65">
        <v>44866</v>
      </c>
      <c r="I191" s="90">
        <v>24</v>
      </c>
      <c r="K191" s="71">
        <v>18</v>
      </c>
      <c r="L191" s="72">
        <v>16.5</v>
      </c>
      <c r="M191" s="71">
        <v>15.5</v>
      </c>
      <c r="N191" s="216">
        <v>14</v>
      </c>
      <c r="O191" s="71">
        <v>11.5</v>
      </c>
      <c r="P191" s="72">
        <v>13</v>
      </c>
    </row>
    <row r="192" spans="1:16">
      <c r="A192" s="295"/>
      <c r="B192" s="289"/>
      <c r="C192" s="296"/>
      <c r="D192" s="66" t="s">
        <v>412</v>
      </c>
      <c r="H192" s="65">
        <v>44866</v>
      </c>
      <c r="K192" s="71"/>
      <c r="L192" s="72"/>
      <c r="M192" s="71"/>
      <c r="N192" s="216"/>
      <c r="O192" s="71"/>
      <c r="P192" s="72"/>
    </row>
    <row r="193" spans="1:17">
      <c r="A193" s="295"/>
      <c r="B193" s="289"/>
      <c r="C193" s="296"/>
      <c r="D193" s="66" t="s">
        <v>414</v>
      </c>
      <c r="H193" s="65">
        <v>44866</v>
      </c>
      <c r="K193" s="71"/>
      <c r="L193" s="72"/>
      <c r="M193" s="71"/>
      <c r="N193" s="216"/>
      <c r="O193" s="71"/>
      <c r="P193" s="72"/>
    </row>
    <row r="194" spans="1:17">
      <c r="A194" s="295"/>
      <c r="B194" s="289"/>
      <c r="C194" s="296"/>
      <c r="D194" s="66" t="s">
        <v>415</v>
      </c>
      <c r="H194" s="65">
        <v>44866</v>
      </c>
      <c r="K194" s="71"/>
      <c r="L194" s="72"/>
      <c r="M194" s="71"/>
      <c r="N194" s="216"/>
      <c r="O194" s="71"/>
      <c r="P194" s="72"/>
    </row>
    <row r="195" spans="1:17">
      <c r="A195" s="295"/>
      <c r="B195" s="289"/>
      <c r="C195" s="296"/>
      <c r="D195" s="66" t="s">
        <v>417</v>
      </c>
      <c r="G195" t="s">
        <v>62</v>
      </c>
      <c r="H195" s="65">
        <v>44866</v>
      </c>
      <c r="K195" s="71"/>
      <c r="L195" s="72"/>
      <c r="M195" s="71"/>
      <c r="N195" s="216"/>
      <c r="O195" s="71"/>
      <c r="P195" s="72">
        <v>11.323</v>
      </c>
    </row>
    <row r="196" spans="1:17">
      <c r="A196" s="295"/>
      <c r="B196" s="293"/>
      <c r="C196" s="296"/>
      <c r="D196" s="66" t="s">
        <v>418</v>
      </c>
      <c r="H196" s="65">
        <v>44866</v>
      </c>
      <c r="K196" s="71"/>
      <c r="L196" s="72"/>
      <c r="M196" s="71"/>
      <c r="N196" s="216"/>
      <c r="O196" s="71"/>
      <c r="P196" s="74" t="s">
        <v>583</v>
      </c>
    </row>
    <row r="197" spans="1:17">
      <c r="A197" s="295" t="s">
        <v>100</v>
      </c>
      <c r="B197" s="292" t="s">
        <v>101</v>
      </c>
      <c r="C197" s="296" t="s">
        <v>102</v>
      </c>
      <c r="D197" s="66" t="s">
        <v>411</v>
      </c>
      <c r="G197" t="s">
        <v>429</v>
      </c>
      <c r="H197" s="65">
        <v>44562</v>
      </c>
      <c r="K197" s="71"/>
      <c r="L197" s="72"/>
      <c r="M197" s="71"/>
      <c r="N197" s="216"/>
      <c r="O197" s="71"/>
      <c r="P197" s="72">
        <v>29.2</v>
      </c>
    </row>
    <row r="198" spans="1:17">
      <c r="A198" s="295"/>
      <c r="B198" s="289"/>
      <c r="C198" s="296"/>
      <c r="D198" s="66" t="s">
        <v>412</v>
      </c>
      <c r="E198" t="s">
        <v>413</v>
      </c>
      <c r="G198" t="s">
        <v>429</v>
      </c>
      <c r="H198" s="65">
        <v>44562</v>
      </c>
      <c r="K198" s="71"/>
      <c r="L198" s="72"/>
      <c r="M198" s="71"/>
      <c r="N198" s="216"/>
      <c r="O198" s="71"/>
      <c r="P198" s="72">
        <v>5.3</v>
      </c>
    </row>
    <row r="199" spans="1:17">
      <c r="A199" s="295"/>
      <c r="B199" s="289"/>
      <c r="C199" s="296"/>
      <c r="D199" s="66" t="s">
        <v>414</v>
      </c>
      <c r="E199" t="s">
        <v>413</v>
      </c>
      <c r="G199" t="s">
        <v>429</v>
      </c>
      <c r="H199" s="65">
        <v>44562</v>
      </c>
      <c r="K199" s="71"/>
      <c r="L199" s="72">
        <v>44.1</v>
      </c>
      <c r="M199" s="71">
        <v>42</v>
      </c>
      <c r="N199" s="216">
        <v>39.799999999999997</v>
      </c>
      <c r="O199" s="71">
        <v>32.200000000000003</v>
      </c>
      <c r="P199" s="72">
        <v>34.5</v>
      </c>
    </row>
    <row r="200" spans="1:17">
      <c r="A200" s="295"/>
      <c r="B200" s="289"/>
      <c r="C200" s="296"/>
      <c r="D200" s="66" t="s">
        <v>415</v>
      </c>
      <c r="E200" t="s">
        <v>416</v>
      </c>
      <c r="G200" t="s">
        <v>429</v>
      </c>
      <c r="H200" s="65">
        <v>44562</v>
      </c>
      <c r="K200" s="71"/>
      <c r="L200" s="72"/>
      <c r="M200" s="71"/>
      <c r="N200" s="216"/>
      <c r="O200" s="71"/>
      <c r="P200" s="72"/>
    </row>
    <row r="201" spans="1:17">
      <c r="A201" s="295"/>
      <c r="B201" s="289"/>
      <c r="C201" s="296"/>
      <c r="D201" s="66" t="s">
        <v>417</v>
      </c>
      <c r="G201" t="s">
        <v>1105</v>
      </c>
      <c r="H201" s="65">
        <v>44562</v>
      </c>
      <c r="K201" s="71"/>
      <c r="L201" s="72"/>
      <c r="M201" s="71"/>
      <c r="N201" s="216"/>
      <c r="O201" s="71">
        <v>3.78</v>
      </c>
      <c r="P201" s="72">
        <v>15.9</v>
      </c>
    </row>
    <row r="202" spans="1:17">
      <c r="A202" s="295"/>
      <c r="B202" s="293"/>
      <c r="C202" s="296"/>
      <c r="D202" s="66" t="s">
        <v>418</v>
      </c>
      <c r="H202" s="65">
        <v>44562</v>
      </c>
      <c r="K202" s="71"/>
      <c r="L202" s="72"/>
      <c r="M202" s="71"/>
      <c r="N202" s="216"/>
      <c r="O202" s="71"/>
      <c r="P202" s="74" t="s">
        <v>579</v>
      </c>
    </row>
    <row r="203" spans="1:17">
      <c r="A203" s="295" t="s">
        <v>100</v>
      </c>
      <c r="B203" s="292" t="s">
        <v>101</v>
      </c>
      <c r="C203" s="296" t="s">
        <v>102</v>
      </c>
      <c r="D203" s="66" t="s">
        <v>411</v>
      </c>
      <c r="G203" t="s">
        <v>429</v>
      </c>
      <c r="H203" s="65">
        <v>45019</v>
      </c>
      <c r="K203" s="71"/>
      <c r="L203" s="72"/>
      <c r="M203" s="71"/>
      <c r="N203" s="216"/>
      <c r="O203" s="71">
        <v>27.5</v>
      </c>
      <c r="P203" s="72">
        <v>29.2</v>
      </c>
      <c r="Q203" s="71">
        <v>25.4</v>
      </c>
    </row>
    <row r="204" spans="1:17">
      <c r="A204" s="295"/>
      <c r="B204" s="289"/>
      <c r="C204" s="296"/>
      <c r="D204" s="66" t="s">
        <v>412</v>
      </c>
      <c r="E204" t="s">
        <v>413</v>
      </c>
      <c r="G204" t="s">
        <v>429</v>
      </c>
      <c r="H204" s="65">
        <v>45019</v>
      </c>
      <c r="K204" s="71"/>
      <c r="L204" s="72"/>
      <c r="M204" s="71"/>
      <c r="N204" s="216"/>
      <c r="O204" s="71">
        <v>4.7</v>
      </c>
      <c r="P204" s="72">
        <v>5.3</v>
      </c>
      <c r="Q204" s="71">
        <v>4.5999999999999996</v>
      </c>
    </row>
    <row r="205" spans="1:17">
      <c r="A205" s="295"/>
      <c r="B205" s="289"/>
      <c r="C205" s="296"/>
      <c r="D205" s="66" t="s">
        <v>414</v>
      </c>
      <c r="E205" t="s">
        <v>413</v>
      </c>
      <c r="G205" t="s">
        <v>429</v>
      </c>
      <c r="H205" s="65">
        <v>45019</v>
      </c>
      <c r="K205" s="71"/>
      <c r="L205" s="72">
        <v>44.1</v>
      </c>
      <c r="M205" s="71">
        <v>42</v>
      </c>
      <c r="N205" s="216">
        <v>39.799999999999997</v>
      </c>
      <c r="O205" s="71">
        <v>32.200000000000003</v>
      </c>
      <c r="P205" s="72">
        <v>34.5</v>
      </c>
      <c r="Q205" s="71">
        <v>30</v>
      </c>
    </row>
    <row r="206" spans="1:17">
      <c r="A206" s="295"/>
      <c r="B206" s="289"/>
      <c r="C206" s="296"/>
      <c r="D206" s="66" t="s">
        <v>600</v>
      </c>
      <c r="G206" t="s">
        <v>608</v>
      </c>
      <c r="H206" s="65">
        <v>45019</v>
      </c>
      <c r="K206" s="71"/>
      <c r="L206" s="72"/>
      <c r="M206" s="71"/>
      <c r="N206" s="216"/>
      <c r="O206" s="71">
        <v>2.08</v>
      </c>
      <c r="P206" s="72">
        <v>2.0499999999999998</v>
      </c>
      <c r="Q206" s="71">
        <v>1.97</v>
      </c>
    </row>
    <row r="207" spans="1:17">
      <c r="A207" s="295"/>
      <c r="B207" s="289"/>
      <c r="C207" s="296"/>
      <c r="D207" s="66" t="s">
        <v>415</v>
      </c>
      <c r="E207" t="s">
        <v>416</v>
      </c>
      <c r="G207" t="s">
        <v>429</v>
      </c>
      <c r="H207" s="65">
        <v>45019</v>
      </c>
      <c r="K207" s="71"/>
      <c r="L207" s="72"/>
      <c r="M207" s="71"/>
      <c r="N207" s="216"/>
      <c r="O207" s="71"/>
      <c r="P207" s="72"/>
    </row>
    <row r="208" spans="1:17">
      <c r="A208" s="295"/>
      <c r="B208" s="289"/>
      <c r="C208" s="296"/>
      <c r="D208" s="66" t="s">
        <v>417</v>
      </c>
      <c r="G208" t="s">
        <v>1105</v>
      </c>
      <c r="H208" s="65">
        <v>45019</v>
      </c>
      <c r="K208" s="71"/>
      <c r="L208" s="72"/>
      <c r="M208" s="71"/>
      <c r="N208" s="216"/>
      <c r="O208" s="71"/>
      <c r="P208" s="72"/>
      <c r="Q208" s="71">
        <v>14.8</v>
      </c>
    </row>
    <row r="209" spans="1:17">
      <c r="A209" s="295"/>
      <c r="B209" s="293"/>
      <c r="C209" s="296"/>
      <c r="D209" s="66" t="s">
        <v>418</v>
      </c>
      <c r="H209" s="65">
        <v>45019</v>
      </c>
      <c r="K209" s="71"/>
      <c r="L209" s="72"/>
      <c r="M209" s="71"/>
      <c r="N209" s="216"/>
      <c r="O209" s="71"/>
      <c r="P209" s="74"/>
      <c r="Q209" s="73" t="s">
        <v>1280</v>
      </c>
    </row>
    <row r="210" spans="1:17">
      <c r="A210" s="295" t="s">
        <v>103</v>
      </c>
      <c r="B210" s="292" t="s">
        <v>104</v>
      </c>
      <c r="C210" s="296" t="s">
        <v>105</v>
      </c>
      <c r="D210" s="66" t="s">
        <v>414</v>
      </c>
      <c r="G210" t="s">
        <v>429</v>
      </c>
      <c r="H210" s="65">
        <v>44561</v>
      </c>
      <c r="K210" s="71">
        <v>12.6485763125094</v>
      </c>
      <c r="L210" s="72">
        <v>12.381008123704399</v>
      </c>
      <c r="M210" s="71">
        <v>12.277614766045099</v>
      </c>
      <c r="N210" s="216">
        <v>12.512963056846599</v>
      </c>
      <c r="O210" s="71">
        <v>10.700060724044199</v>
      </c>
      <c r="P210" s="72"/>
    </row>
    <row r="211" spans="1:17">
      <c r="A211" s="295"/>
      <c r="B211" s="289"/>
      <c r="C211" s="296"/>
      <c r="D211" s="66" t="s">
        <v>417</v>
      </c>
      <c r="G211" t="s">
        <v>62</v>
      </c>
      <c r="H211" s="65">
        <v>44561</v>
      </c>
      <c r="K211" s="71">
        <v>16.692451879226802</v>
      </c>
      <c r="L211" s="72">
        <v>16.1094990846277</v>
      </c>
      <c r="M211" s="71">
        <v>15.767973619907</v>
      </c>
      <c r="N211" s="216">
        <v>17.0235153303285</v>
      </c>
      <c r="O211" s="71">
        <v>15.014898459545799</v>
      </c>
      <c r="P211" s="72"/>
    </row>
    <row r="212" spans="1:17">
      <c r="A212" s="295"/>
      <c r="B212" s="293"/>
      <c r="C212" s="296"/>
      <c r="D212" s="66" t="s">
        <v>418</v>
      </c>
      <c r="H212" s="65"/>
      <c r="K212" s="71"/>
      <c r="L212" s="72"/>
      <c r="M212" s="71"/>
      <c r="N212" s="216"/>
      <c r="O212" s="71"/>
      <c r="P212" s="72"/>
    </row>
    <row r="213" spans="1:17">
      <c r="A213" s="295" t="s">
        <v>103</v>
      </c>
      <c r="B213" s="292" t="s">
        <v>104</v>
      </c>
      <c r="C213" s="296" t="s">
        <v>105</v>
      </c>
      <c r="D213" s="66" t="s">
        <v>575</v>
      </c>
      <c r="H213" s="65"/>
      <c r="I213" s="90">
        <v>2005</v>
      </c>
      <c r="K213" s="71"/>
      <c r="L213" s="72"/>
      <c r="M213" s="71"/>
      <c r="N213" s="216"/>
      <c r="O213" s="71"/>
      <c r="P213" s="72"/>
    </row>
    <row r="214" spans="1:17">
      <c r="A214" s="295"/>
      <c r="B214" s="289"/>
      <c r="C214" s="296"/>
      <c r="D214" s="66" t="s">
        <v>411</v>
      </c>
      <c r="F214" t="s">
        <v>576</v>
      </c>
      <c r="G214" t="s">
        <v>428</v>
      </c>
      <c r="H214" s="65">
        <v>44847</v>
      </c>
      <c r="I214" s="90">
        <v>20219000</v>
      </c>
      <c r="K214" s="71"/>
      <c r="L214" s="72"/>
      <c r="M214" s="71"/>
      <c r="N214" s="216">
        <v>12659000</v>
      </c>
      <c r="O214" s="71">
        <v>10934000</v>
      </c>
      <c r="P214" s="72">
        <v>13829815</v>
      </c>
    </row>
    <row r="215" spans="1:17">
      <c r="A215" s="295"/>
      <c r="B215" s="289"/>
      <c r="C215" s="296"/>
      <c r="D215" s="66" t="s">
        <v>577</v>
      </c>
      <c r="F215" t="s">
        <v>576</v>
      </c>
      <c r="G215" t="s">
        <v>430</v>
      </c>
      <c r="H215" s="65">
        <v>44847</v>
      </c>
      <c r="I215" s="96">
        <v>0.754</v>
      </c>
      <c r="K215" s="71"/>
      <c r="L215" s="72"/>
      <c r="M215" s="71"/>
      <c r="N215" s="216">
        <v>0.74399999999999999</v>
      </c>
      <c r="O215" s="71">
        <v>0.73</v>
      </c>
      <c r="P215" s="72">
        <v>0.76500000000000001</v>
      </c>
    </row>
    <row r="216" spans="1:17">
      <c r="A216" s="295"/>
      <c r="B216" s="289"/>
      <c r="C216" s="296"/>
      <c r="D216" s="66" t="s">
        <v>411</v>
      </c>
      <c r="E216" t="s">
        <v>1104</v>
      </c>
      <c r="F216" t="s">
        <v>594</v>
      </c>
      <c r="G216" t="s">
        <v>428</v>
      </c>
      <c r="H216" s="65">
        <v>44847</v>
      </c>
      <c r="I216" s="90">
        <v>4999000</v>
      </c>
      <c r="K216" s="71"/>
      <c r="L216" s="72"/>
      <c r="M216" s="71"/>
      <c r="N216" s="216">
        <v>5121000</v>
      </c>
      <c r="O216" s="71">
        <v>5221000</v>
      </c>
      <c r="P216" s="72">
        <v>3483770</v>
      </c>
    </row>
    <row r="217" spans="1:17">
      <c r="A217" s="295"/>
      <c r="B217" s="289"/>
      <c r="C217" s="296"/>
      <c r="D217" s="66" t="s">
        <v>577</v>
      </c>
      <c r="E217" t="s">
        <v>1104</v>
      </c>
      <c r="F217" t="s">
        <v>594</v>
      </c>
      <c r="G217" t="s">
        <v>430</v>
      </c>
      <c r="H217" s="65">
        <v>44847</v>
      </c>
      <c r="I217" s="96">
        <v>0.46400000000000002</v>
      </c>
      <c r="K217" s="71"/>
      <c r="L217" s="72"/>
      <c r="M217" s="71"/>
      <c r="N217" s="216">
        <v>0.27400000000000002</v>
      </c>
      <c r="O217" s="71">
        <v>0.26600000000000001</v>
      </c>
      <c r="P217" s="72">
        <v>0.214</v>
      </c>
    </row>
    <row r="218" spans="1:17">
      <c r="A218" s="295"/>
      <c r="B218" s="289"/>
      <c r="C218" s="296"/>
      <c r="D218" s="66" t="s">
        <v>411</v>
      </c>
      <c r="G218" t="s">
        <v>428</v>
      </c>
      <c r="H218" s="65"/>
      <c r="I218" s="96" t="s">
        <v>970</v>
      </c>
      <c r="K218" s="71"/>
      <c r="L218" s="72"/>
      <c r="M218" s="71"/>
      <c r="N218" s="216">
        <v>13509000</v>
      </c>
      <c r="O218" s="71">
        <v>11387000</v>
      </c>
      <c r="P218" s="72">
        <v>14292256</v>
      </c>
    </row>
    <row r="219" spans="1:17">
      <c r="A219" s="295"/>
      <c r="B219" s="289"/>
      <c r="C219" s="296"/>
      <c r="D219" s="66" t="s">
        <v>412</v>
      </c>
      <c r="E219" t="s">
        <v>413</v>
      </c>
      <c r="G219" t="s">
        <v>428</v>
      </c>
      <c r="H219" s="65">
        <v>44847</v>
      </c>
      <c r="K219" s="71"/>
      <c r="L219" s="72"/>
      <c r="M219" s="71"/>
      <c r="N219" s="216">
        <v>279500</v>
      </c>
      <c r="O219" s="71">
        <v>291600</v>
      </c>
      <c r="P219" s="72">
        <v>10797</v>
      </c>
    </row>
    <row r="220" spans="1:17">
      <c r="A220" s="295"/>
      <c r="B220" s="289"/>
      <c r="C220" s="296"/>
      <c r="D220" s="66" t="s">
        <v>415</v>
      </c>
      <c r="E220" t="s">
        <v>416</v>
      </c>
      <c r="G220" t="s">
        <v>428</v>
      </c>
      <c r="H220" s="65">
        <v>44847</v>
      </c>
      <c r="K220" s="71"/>
      <c r="L220" s="72"/>
      <c r="M220" s="71"/>
      <c r="N220" s="216">
        <v>22249000</v>
      </c>
      <c r="O220" s="71">
        <v>20456000</v>
      </c>
      <c r="P220" s="72">
        <v>21062357</v>
      </c>
    </row>
    <row r="221" spans="1:17">
      <c r="A221" s="295"/>
      <c r="B221" s="289"/>
      <c r="C221" s="296"/>
      <c r="D221" s="66" t="s">
        <v>449</v>
      </c>
      <c r="E221" t="s">
        <v>443</v>
      </c>
      <c r="F221" t="s">
        <v>576</v>
      </c>
      <c r="G221" t="s">
        <v>79</v>
      </c>
      <c r="H221" s="65">
        <v>44847</v>
      </c>
      <c r="I221" s="94">
        <f>SUM(I222:I226)+I232</f>
        <v>26799000</v>
      </c>
      <c r="J221" s="94"/>
      <c r="K221" s="71"/>
      <c r="L221" s="72"/>
      <c r="M221" s="71"/>
      <c r="N221" s="218">
        <f>SUM(N222:N226)+N232</f>
        <v>17020000</v>
      </c>
      <c r="O221" s="95">
        <f t="shared" ref="O221" si="9">SUM(O222:O226)+O232</f>
        <v>14983000</v>
      </c>
      <c r="P221" s="94">
        <f t="shared" ref="P221" si="10">SUM(P222:P226)+P232</f>
        <v>18076325</v>
      </c>
    </row>
    <row r="222" spans="1:17">
      <c r="A222" s="295"/>
      <c r="B222" s="289"/>
      <c r="C222" s="296"/>
      <c r="D222" s="66" t="s">
        <v>449</v>
      </c>
      <c r="E222" t="s">
        <v>506</v>
      </c>
      <c r="F222" t="s">
        <v>576</v>
      </c>
      <c r="G222" t="s">
        <v>79</v>
      </c>
      <c r="H222" s="65">
        <v>44847</v>
      </c>
      <c r="I222" s="90">
        <v>19711000</v>
      </c>
      <c r="K222" s="71"/>
      <c r="L222" s="72"/>
      <c r="M222" s="71"/>
      <c r="N222" s="216">
        <v>9776000</v>
      </c>
      <c r="O222" s="71">
        <v>7960000</v>
      </c>
      <c r="P222" s="72">
        <v>10860781</v>
      </c>
    </row>
    <row r="223" spans="1:17">
      <c r="A223" s="295"/>
      <c r="B223" s="289"/>
      <c r="C223" s="296"/>
      <c r="D223" s="66" t="s">
        <v>449</v>
      </c>
      <c r="E223" t="s">
        <v>507</v>
      </c>
      <c r="F223" t="s">
        <v>576</v>
      </c>
      <c r="G223" t="s">
        <v>79</v>
      </c>
      <c r="H223" s="65">
        <v>44847</v>
      </c>
      <c r="I223" s="90">
        <v>356000</v>
      </c>
      <c r="K223" s="71"/>
      <c r="L223" s="72"/>
      <c r="M223" s="71"/>
      <c r="N223" s="216">
        <v>6289000</v>
      </c>
      <c r="O223" s="71">
        <v>5883000</v>
      </c>
      <c r="P223" s="72">
        <v>5554766</v>
      </c>
    </row>
    <row r="224" spans="1:17">
      <c r="A224" s="295"/>
      <c r="B224" s="289"/>
      <c r="C224" s="296"/>
      <c r="D224" s="66" t="s">
        <v>449</v>
      </c>
      <c r="E224" t="s">
        <v>508</v>
      </c>
      <c r="F224" t="s">
        <v>576</v>
      </c>
      <c r="G224" t="s">
        <v>79</v>
      </c>
      <c r="H224" s="65">
        <v>44847</v>
      </c>
      <c r="I224" s="90">
        <v>6636000</v>
      </c>
      <c r="K224" s="71"/>
      <c r="L224" s="72"/>
      <c r="M224" s="71"/>
      <c r="N224" s="216"/>
      <c r="O224" s="71"/>
      <c r="P224" s="72"/>
    </row>
    <row r="225" spans="1:16">
      <c r="A225" s="295"/>
      <c r="B225" s="289"/>
      <c r="C225" s="296"/>
      <c r="D225" s="66" t="s">
        <v>449</v>
      </c>
      <c r="E225" t="s">
        <v>509</v>
      </c>
      <c r="F225" t="s">
        <v>576</v>
      </c>
      <c r="G225" t="s">
        <v>79</v>
      </c>
      <c r="H225" s="65">
        <v>44847</v>
      </c>
      <c r="I225" s="90">
        <v>225000</v>
      </c>
      <c r="K225" s="71"/>
      <c r="L225" s="72"/>
      <c r="M225" s="71"/>
      <c r="N225" s="216">
        <v>5000</v>
      </c>
      <c r="O225" s="71">
        <v>6000</v>
      </c>
      <c r="P225" s="72">
        <v>7000</v>
      </c>
    </row>
    <row r="226" spans="1:16">
      <c r="A226" s="295"/>
      <c r="B226" s="289"/>
      <c r="C226" s="296"/>
      <c r="D226" s="66" t="s">
        <v>449</v>
      </c>
      <c r="E226" t="s">
        <v>510</v>
      </c>
      <c r="F226" t="s">
        <v>576</v>
      </c>
      <c r="G226" t="s">
        <v>79</v>
      </c>
      <c r="H226" s="65">
        <v>44847</v>
      </c>
      <c r="I226" s="90">
        <v>387000</v>
      </c>
      <c r="K226" s="71"/>
      <c r="L226" s="72"/>
      <c r="M226" s="71"/>
      <c r="N226" s="216">
        <v>1258000</v>
      </c>
      <c r="O226" s="71">
        <v>1505000</v>
      </c>
      <c r="P226" s="72">
        <v>1974966</v>
      </c>
    </row>
    <row r="227" spans="1:16">
      <c r="A227" s="295"/>
      <c r="B227" s="289"/>
      <c r="C227" s="296"/>
      <c r="D227" s="66" t="s">
        <v>449</v>
      </c>
      <c r="E227" t="s">
        <v>511</v>
      </c>
      <c r="F227" t="s">
        <v>576</v>
      </c>
      <c r="G227" t="s">
        <v>79</v>
      </c>
      <c r="H227" s="65">
        <v>44847</v>
      </c>
      <c r="K227" s="71"/>
      <c r="L227" s="72"/>
      <c r="M227" s="71"/>
      <c r="N227" s="216"/>
      <c r="O227" s="71"/>
      <c r="P227" s="72"/>
    </row>
    <row r="228" spans="1:16">
      <c r="A228" s="295"/>
      <c r="B228" s="289"/>
      <c r="C228" s="296"/>
      <c r="D228" s="66" t="s">
        <v>449</v>
      </c>
      <c r="E228" t="s">
        <v>512</v>
      </c>
      <c r="F228" t="s">
        <v>576</v>
      </c>
      <c r="G228" t="s">
        <v>79</v>
      </c>
      <c r="H228" s="65">
        <v>44847</v>
      </c>
      <c r="K228" s="71"/>
      <c r="L228" s="72"/>
      <c r="M228" s="71"/>
      <c r="N228" s="216"/>
      <c r="O228" s="71"/>
      <c r="P228" s="72"/>
    </row>
    <row r="229" spans="1:16">
      <c r="A229" s="295"/>
      <c r="B229" s="289"/>
      <c r="C229" s="296"/>
      <c r="D229" s="66" t="s">
        <v>449</v>
      </c>
      <c r="E229" t="s">
        <v>513</v>
      </c>
      <c r="F229" t="s">
        <v>576</v>
      </c>
      <c r="G229" t="s">
        <v>79</v>
      </c>
      <c r="H229" s="65">
        <v>44847</v>
      </c>
      <c r="I229" s="90">
        <v>387000</v>
      </c>
      <c r="K229" s="71"/>
      <c r="L229" s="72"/>
      <c r="M229" s="71"/>
      <c r="N229" s="216">
        <v>512000</v>
      </c>
      <c r="O229" s="71">
        <v>482000</v>
      </c>
      <c r="P229" s="72">
        <v>397904</v>
      </c>
    </row>
    <row r="230" spans="1:16">
      <c r="A230" s="295"/>
      <c r="B230" s="289"/>
      <c r="C230" s="296"/>
      <c r="D230" s="66" t="s">
        <v>449</v>
      </c>
      <c r="E230" t="s">
        <v>514</v>
      </c>
      <c r="F230" t="s">
        <v>576</v>
      </c>
      <c r="G230" t="s">
        <v>79</v>
      </c>
      <c r="H230" s="65">
        <v>44847</v>
      </c>
      <c r="K230" s="71"/>
      <c r="L230" s="72"/>
      <c r="M230" s="71"/>
      <c r="N230" s="216">
        <v>5000</v>
      </c>
      <c r="O230" s="71">
        <v>6000</v>
      </c>
      <c r="P230" s="72">
        <v>6529</v>
      </c>
    </row>
    <row r="231" spans="1:16">
      <c r="A231" s="295"/>
      <c r="B231" s="289"/>
      <c r="C231" s="296"/>
      <c r="D231" s="66" t="s">
        <v>449</v>
      </c>
      <c r="E231" t="s">
        <v>515</v>
      </c>
      <c r="F231" t="s">
        <v>576</v>
      </c>
      <c r="G231" t="s">
        <v>79</v>
      </c>
      <c r="H231" s="65">
        <v>44847</v>
      </c>
      <c r="K231" s="71"/>
      <c r="L231" s="72"/>
      <c r="M231" s="71"/>
      <c r="N231" s="216">
        <v>741000</v>
      </c>
      <c r="O231" s="71">
        <v>1017000</v>
      </c>
      <c r="P231" s="72">
        <v>1570533</v>
      </c>
    </row>
    <row r="232" spans="1:16">
      <c r="A232" s="295"/>
      <c r="B232" s="289"/>
      <c r="C232" s="296"/>
      <c r="D232" s="66" t="s">
        <v>449</v>
      </c>
      <c r="E232" t="s">
        <v>578</v>
      </c>
      <c r="F232" t="s">
        <v>576</v>
      </c>
      <c r="G232" t="s">
        <v>79</v>
      </c>
      <c r="H232" s="65">
        <v>44847</v>
      </c>
      <c r="I232" s="90">
        <v>-516000</v>
      </c>
      <c r="K232" s="71"/>
      <c r="L232" s="72"/>
      <c r="M232" s="71"/>
      <c r="N232" s="216">
        <v>-308000</v>
      </c>
      <c r="O232" s="71">
        <v>-371000</v>
      </c>
      <c r="P232" s="72">
        <v>-321188</v>
      </c>
    </row>
    <row r="233" spans="1:16">
      <c r="A233" s="295"/>
      <c r="B233" s="289"/>
      <c r="C233" s="296"/>
      <c r="D233" s="66" t="s">
        <v>594</v>
      </c>
      <c r="G233" t="s">
        <v>79</v>
      </c>
      <c r="H233" s="65">
        <v>44847</v>
      </c>
      <c r="I233" s="90">
        <v>10770000</v>
      </c>
      <c r="K233" s="71"/>
      <c r="L233" s="72"/>
      <c r="M233" s="71"/>
      <c r="N233" s="216">
        <v>18666000</v>
      </c>
      <c r="O233" s="71">
        <v>19637000</v>
      </c>
      <c r="P233" s="72">
        <v>16309815</v>
      </c>
    </row>
    <row r="234" spans="1:16">
      <c r="A234" s="295"/>
      <c r="B234" s="289"/>
      <c r="C234" s="296"/>
      <c r="D234" s="66" t="s">
        <v>417</v>
      </c>
      <c r="G234" t="s">
        <v>79</v>
      </c>
      <c r="H234" s="65">
        <v>44847</v>
      </c>
      <c r="I234" s="90">
        <f>I221+I233</f>
        <v>37569000</v>
      </c>
      <c r="K234" s="71"/>
      <c r="L234" s="72"/>
      <c r="M234" s="71"/>
      <c r="N234" s="216">
        <f t="shared" ref="N234:P234" si="11">N221+N233</f>
        <v>35686000</v>
      </c>
      <c r="O234" s="71">
        <f t="shared" si="11"/>
        <v>34620000</v>
      </c>
      <c r="P234" s="72">
        <f t="shared" si="11"/>
        <v>34386140</v>
      </c>
    </row>
    <row r="235" spans="1:16">
      <c r="A235" s="295"/>
      <c r="B235" s="293"/>
      <c r="C235" s="296"/>
      <c r="D235" s="66" t="s">
        <v>418</v>
      </c>
      <c r="H235" s="65">
        <v>44847</v>
      </c>
      <c r="K235" s="71"/>
      <c r="L235" s="72"/>
      <c r="M235" s="71"/>
      <c r="N235" s="216"/>
      <c r="O235" s="71"/>
      <c r="P235" s="74" t="s">
        <v>574</v>
      </c>
    </row>
    <row r="236" spans="1:16">
      <c r="A236" s="295" t="s">
        <v>106</v>
      </c>
      <c r="B236" s="292" t="s">
        <v>107</v>
      </c>
      <c r="C236" s="296" t="s">
        <v>108</v>
      </c>
      <c r="D236" s="66" t="s">
        <v>411</v>
      </c>
      <c r="G236" t="s">
        <v>428</v>
      </c>
      <c r="H236" s="65">
        <v>44561</v>
      </c>
      <c r="K236" s="71">
        <v>1048006</v>
      </c>
      <c r="L236" s="72">
        <v>1048006</v>
      </c>
      <c r="M236" s="71">
        <v>1048006</v>
      </c>
      <c r="N236" s="216">
        <v>1048006</v>
      </c>
      <c r="O236" s="71">
        <v>1106156</v>
      </c>
      <c r="P236" s="72"/>
    </row>
    <row r="237" spans="1:16">
      <c r="A237" s="295"/>
      <c r="B237" s="289"/>
      <c r="C237" s="296"/>
      <c r="D237" s="66" t="s">
        <v>412</v>
      </c>
      <c r="E237" t="s">
        <v>413</v>
      </c>
      <c r="G237" t="s">
        <v>428</v>
      </c>
      <c r="H237" s="65">
        <v>44561</v>
      </c>
      <c r="K237" s="71">
        <v>2548437</v>
      </c>
      <c r="L237" s="72">
        <v>2548437</v>
      </c>
      <c r="M237" s="71">
        <v>2548437</v>
      </c>
      <c r="N237" s="216">
        <v>1500431</v>
      </c>
      <c r="O237" s="71">
        <v>1466830</v>
      </c>
      <c r="P237" s="72"/>
    </row>
    <row r="238" spans="1:16">
      <c r="A238" s="295"/>
      <c r="B238" s="289"/>
      <c r="C238" s="296"/>
      <c r="D238" s="66" t="s">
        <v>414</v>
      </c>
      <c r="E238" t="s">
        <v>413</v>
      </c>
      <c r="G238" t="s">
        <v>428</v>
      </c>
      <c r="H238" s="65">
        <v>44561</v>
      </c>
      <c r="K238" s="71">
        <v>3596443</v>
      </c>
      <c r="L238" s="72">
        <v>3596443</v>
      </c>
      <c r="M238" s="71">
        <v>3596443</v>
      </c>
      <c r="N238" s="216">
        <v>2548437</v>
      </c>
      <c r="O238" s="71">
        <v>2572986</v>
      </c>
      <c r="P238" s="72"/>
    </row>
    <row r="239" spans="1:16">
      <c r="A239" s="295"/>
      <c r="B239" s="289"/>
      <c r="C239" s="296"/>
      <c r="D239" s="66" t="s">
        <v>415</v>
      </c>
      <c r="E239" t="s">
        <v>416</v>
      </c>
      <c r="G239" t="s">
        <v>428</v>
      </c>
      <c r="H239" s="65">
        <v>44561</v>
      </c>
      <c r="K239" s="71"/>
      <c r="L239" s="72"/>
      <c r="M239" s="71"/>
      <c r="N239" s="216"/>
      <c r="O239" s="71"/>
      <c r="P239" s="72"/>
    </row>
    <row r="240" spans="1:16">
      <c r="A240" s="295"/>
      <c r="B240" s="289"/>
      <c r="C240" s="296"/>
      <c r="D240" s="66" t="s">
        <v>417</v>
      </c>
      <c r="G240" t="s">
        <v>96</v>
      </c>
      <c r="H240" s="65">
        <v>44561</v>
      </c>
      <c r="K240" s="71">
        <v>5301216</v>
      </c>
      <c r="L240" s="72">
        <v>5301216</v>
      </c>
      <c r="M240" s="71">
        <v>5301216</v>
      </c>
      <c r="N240" s="216">
        <v>5301216</v>
      </c>
      <c r="O240" s="71">
        <v>5543677</v>
      </c>
      <c r="P240" s="72"/>
    </row>
    <row r="241" spans="1:16">
      <c r="A241" s="295"/>
      <c r="B241" s="293"/>
      <c r="C241" s="296"/>
      <c r="D241" s="66" t="s">
        <v>418</v>
      </c>
      <c r="H241" s="65"/>
      <c r="K241" s="71"/>
      <c r="L241" s="72"/>
      <c r="M241" s="71"/>
      <c r="N241" s="216"/>
      <c r="O241" s="71"/>
      <c r="P241" s="72"/>
    </row>
    <row r="242" spans="1:16">
      <c r="A242" s="295" t="s">
        <v>106</v>
      </c>
      <c r="B242" s="292" t="s">
        <v>107</v>
      </c>
      <c r="C242" s="296" t="s">
        <v>108</v>
      </c>
      <c r="D242" s="66" t="s">
        <v>411</v>
      </c>
      <c r="G242" t="s">
        <v>428</v>
      </c>
      <c r="H242" s="65">
        <v>44791</v>
      </c>
      <c r="K242" s="71"/>
      <c r="L242" s="72"/>
      <c r="M242" s="71"/>
      <c r="N242" s="216">
        <v>1048006</v>
      </c>
      <c r="O242" s="71">
        <v>1106156</v>
      </c>
      <c r="P242" s="72">
        <f>1117753</f>
        <v>1117753</v>
      </c>
    </row>
    <row r="243" spans="1:16">
      <c r="A243" s="295"/>
      <c r="B243" s="289"/>
      <c r="C243" s="296"/>
      <c r="D243" s="66" t="s">
        <v>412</v>
      </c>
      <c r="E243" t="s">
        <v>413</v>
      </c>
      <c r="G243" t="s">
        <v>428</v>
      </c>
      <c r="H243" s="65">
        <v>44791</v>
      </c>
      <c r="K243" s="71"/>
      <c r="L243" s="72"/>
      <c r="M243" s="71"/>
      <c r="N243" s="216">
        <v>1500431</v>
      </c>
      <c r="O243" s="71">
        <v>1466830</v>
      </c>
      <c r="P243" s="72">
        <f>1436765</f>
        <v>1436765</v>
      </c>
    </row>
    <row r="244" spans="1:16">
      <c r="A244" s="295"/>
      <c r="B244" s="289"/>
      <c r="C244" s="296"/>
      <c r="D244" s="66" t="s">
        <v>415</v>
      </c>
      <c r="E244" t="s">
        <v>416</v>
      </c>
      <c r="G244" t="s">
        <v>428</v>
      </c>
      <c r="H244" s="65">
        <v>44791</v>
      </c>
      <c r="K244" s="71"/>
      <c r="L244" s="72"/>
      <c r="M244" s="71"/>
      <c r="N244" s="216">
        <f>1309400</f>
        <v>1309400</v>
      </c>
      <c r="O244" s="71">
        <f>1369288</f>
        <v>1369288</v>
      </c>
      <c r="P244" s="72">
        <f>1398504</f>
        <v>1398504</v>
      </c>
    </row>
    <row r="245" spans="1:16">
      <c r="A245" s="295"/>
      <c r="B245" s="289"/>
      <c r="C245" s="296"/>
      <c r="D245" s="66" t="s">
        <v>487</v>
      </c>
      <c r="G245" t="s">
        <v>428</v>
      </c>
      <c r="H245" s="65">
        <v>44791</v>
      </c>
      <c r="K245" s="71"/>
      <c r="L245" s="72"/>
      <c r="M245" s="71"/>
      <c r="N245" s="216">
        <f>3857837</f>
        <v>3857837</v>
      </c>
      <c r="O245" s="71">
        <f>3942274</f>
        <v>3942274</v>
      </c>
      <c r="P245" s="72">
        <f>3953022</f>
        <v>3953022</v>
      </c>
    </row>
    <row r="246" spans="1:16">
      <c r="A246" s="295"/>
      <c r="B246" s="289"/>
      <c r="C246" s="296"/>
      <c r="D246" s="66" t="s">
        <v>417</v>
      </c>
      <c r="G246" t="s">
        <v>96</v>
      </c>
      <c r="H246" s="65">
        <v>44791</v>
      </c>
      <c r="K246" s="71"/>
      <c r="L246" s="72"/>
      <c r="M246" s="71"/>
      <c r="N246" s="216">
        <f>N244/0.247</f>
        <v>5301214.5748987859</v>
      </c>
      <c r="O246" s="71">
        <f>O244/0.247</f>
        <v>5543676.1133603239</v>
      </c>
      <c r="P246" s="71">
        <f>P244/0.247</f>
        <v>5661959.5141700404</v>
      </c>
    </row>
    <row r="247" spans="1:16">
      <c r="A247" s="295"/>
      <c r="B247" s="293"/>
      <c r="C247" s="296"/>
      <c r="D247" s="66" t="s">
        <v>418</v>
      </c>
      <c r="H247" s="65">
        <v>44791</v>
      </c>
      <c r="K247" s="71"/>
      <c r="L247" s="72"/>
      <c r="M247" s="71"/>
      <c r="N247" s="216"/>
      <c r="O247" s="71"/>
      <c r="P247" s="74" t="s">
        <v>582</v>
      </c>
    </row>
    <row r="248" spans="1:16">
      <c r="A248" s="295" t="s">
        <v>112</v>
      </c>
      <c r="B248" s="292" t="s">
        <v>113</v>
      </c>
      <c r="C248" s="296" t="s">
        <v>114</v>
      </c>
      <c r="D248" s="66" t="s">
        <v>575</v>
      </c>
      <c r="H248" s="65"/>
      <c r="I248" s="90">
        <v>2005</v>
      </c>
      <c r="K248" s="71"/>
      <c r="L248" s="72"/>
      <c r="M248" s="71"/>
      <c r="N248" s="216"/>
      <c r="O248" s="71"/>
      <c r="P248" s="72"/>
    </row>
    <row r="249" spans="1:16">
      <c r="A249" s="295"/>
      <c r="B249" s="289"/>
      <c r="C249" s="296"/>
      <c r="D249" s="66" t="s">
        <v>411</v>
      </c>
      <c r="F249" t="s">
        <v>576</v>
      </c>
      <c r="G249" t="s">
        <v>428</v>
      </c>
      <c r="H249" s="65">
        <v>44756</v>
      </c>
      <c r="I249" s="56">
        <v>1806880.79033897</v>
      </c>
      <c r="K249" s="71"/>
      <c r="L249" s="72"/>
      <c r="M249" s="71">
        <v>1858987.911270939</v>
      </c>
      <c r="N249" s="216">
        <v>1766080.3867375692</v>
      </c>
      <c r="O249" s="71"/>
      <c r="P249" s="56"/>
    </row>
    <row r="250" spans="1:16">
      <c r="A250" s="295"/>
      <c r="B250" s="289"/>
      <c r="C250" s="296"/>
      <c r="D250" s="66" t="s">
        <v>577</v>
      </c>
      <c r="F250" t="s">
        <v>576</v>
      </c>
      <c r="G250" t="s">
        <v>430</v>
      </c>
      <c r="H250" s="65">
        <v>44756</v>
      </c>
      <c r="I250" s="99">
        <v>0.292034636322417</v>
      </c>
      <c r="K250" s="71"/>
      <c r="L250" s="72"/>
      <c r="M250" s="71">
        <v>0.28202612760300338</v>
      </c>
      <c r="N250" s="216">
        <v>0.27337410747069402</v>
      </c>
      <c r="O250" s="71"/>
      <c r="P250" s="99"/>
    </row>
    <row r="251" spans="1:16">
      <c r="A251" s="295"/>
      <c r="B251" s="289"/>
      <c r="C251" s="296"/>
      <c r="D251" s="66" t="s">
        <v>411</v>
      </c>
      <c r="F251" t="s">
        <v>594</v>
      </c>
      <c r="G251" t="s">
        <v>428</v>
      </c>
      <c r="H251" s="65">
        <v>44756</v>
      </c>
      <c r="I251" s="56">
        <v>9913677.1400000006</v>
      </c>
      <c r="K251" s="71"/>
      <c r="L251" s="72"/>
      <c r="M251" s="71">
        <v>5910301.6392847747</v>
      </c>
      <c r="N251" s="216">
        <v>5545417.9551846134</v>
      </c>
      <c r="O251" s="71"/>
      <c r="P251" s="56"/>
    </row>
    <row r="252" spans="1:16">
      <c r="A252" s="295"/>
      <c r="B252" s="289"/>
      <c r="C252" s="296"/>
      <c r="D252" s="66" t="s">
        <v>577</v>
      </c>
      <c r="F252" t="s">
        <v>594</v>
      </c>
      <c r="G252" t="s">
        <v>430</v>
      </c>
      <c r="H252" s="65">
        <v>44756</v>
      </c>
      <c r="I252" s="99">
        <v>0.369901153033176</v>
      </c>
      <c r="K252" s="71"/>
      <c r="L252" s="72"/>
      <c r="M252" s="71">
        <v>0.28898404260144606</v>
      </c>
      <c r="N252" s="216">
        <v>0.27100000000000002</v>
      </c>
      <c r="O252" s="71"/>
      <c r="P252" s="99"/>
    </row>
    <row r="253" spans="1:16">
      <c r="A253" s="295"/>
      <c r="B253" s="289"/>
      <c r="C253" s="296"/>
      <c r="D253" s="66" t="s">
        <v>414</v>
      </c>
      <c r="E253" t="s">
        <v>413</v>
      </c>
      <c r="G253" t="s">
        <v>429</v>
      </c>
      <c r="H253" s="65">
        <v>44756</v>
      </c>
      <c r="K253" s="71"/>
      <c r="L253" s="72"/>
      <c r="M253" s="71"/>
      <c r="N253" s="216"/>
      <c r="O253" s="71"/>
      <c r="P253" s="72"/>
    </row>
    <row r="254" spans="1:16">
      <c r="A254" s="295"/>
      <c r="B254" s="289"/>
      <c r="C254" s="296"/>
      <c r="D254" s="66" t="s">
        <v>415</v>
      </c>
      <c r="E254" s="45">
        <v>3</v>
      </c>
      <c r="H254" s="65">
        <v>44756</v>
      </c>
      <c r="K254" s="71"/>
      <c r="L254" s="72"/>
      <c r="M254" s="71">
        <v>5910301.6392847747</v>
      </c>
      <c r="N254" s="216">
        <v>5545417.9551846134</v>
      </c>
      <c r="O254" s="71"/>
      <c r="P254" s="56"/>
    </row>
    <row r="255" spans="1:16">
      <c r="A255" s="295"/>
      <c r="B255" s="289"/>
      <c r="C255" s="296"/>
      <c r="D255" s="66" t="s">
        <v>587</v>
      </c>
      <c r="G255" t="s">
        <v>617</v>
      </c>
      <c r="H255" s="65">
        <v>44756</v>
      </c>
      <c r="I255" s="90">
        <v>222922</v>
      </c>
      <c r="K255" s="71"/>
      <c r="L255" s="72"/>
      <c r="M255" s="71">
        <v>326548.26804999996</v>
      </c>
      <c r="N255" s="216">
        <v>306009.87319999997</v>
      </c>
      <c r="O255" s="71"/>
      <c r="P255" s="72"/>
    </row>
    <row r="256" spans="1:16">
      <c r="A256" s="295"/>
      <c r="B256" s="289"/>
      <c r="C256" s="296"/>
      <c r="D256" s="66" t="s">
        <v>417</v>
      </c>
      <c r="E256" t="s">
        <v>449</v>
      </c>
      <c r="F256" t="s">
        <v>576</v>
      </c>
      <c r="G256" t="s">
        <v>79</v>
      </c>
      <c r="H256" s="65">
        <v>44756</v>
      </c>
      <c r="I256" s="90">
        <f>SUM(I257:I267)</f>
        <v>6187214</v>
      </c>
      <c r="K256" s="71"/>
      <c r="L256" s="72"/>
      <c r="M256" s="71">
        <f t="shared" ref="M256:N256" si="12">SUM(M257:M267)</f>
        <v>10345517</v>
      </c>
      <c r="N256" s="216">
        <f t="shared" si="12"/>
        <v>13299306</v>
      </c>
      <c r="O256" s="71"/>
      <c r="P256" s="72"/>
    </row>
    <row r="257" spans="1:16">
      <c r="A257" s="295"/>
      <c r="B257" s="289"/>
      <c r="C257" s="296"/>
      <c r="D257" s="66" t="s">
        <v>449</v>
      </c>
      <c r="E257" s="97" t="s">
        <v>506</v>
      </c>
      <c r="F257" t="s">
        <v>576</v>
      </c>
      <c r="G257" t="s">
        <v>79</v>
      </c>
      <c r="H257" s="65">
        <v>44756</v>
      </c>
      <c r="I257" s="72"/>
      <c r="J257" s="72"/>
      <c r="K257" s="71"/>
      <c r="L257" s="72"/>
      <c r="M257" s="71"/>
      <c r="N257" s="216"/>
      <c r="O257" s="71"/>
      <c r="P257" s="72"/>
    </row>
    <row r="258" spans="1:16">
      <c r="A258" s="295"/>
      <c r="B258" s="289"/>
      <c r="C258" s="296"/>
      <c r="D258" s="66" t="s">
        <v>449</v>
      </c>
      <c r="E258" s="97" t="s">
        <v>507</v>
      </c>
      <c r="F258" t="s">
        <v>576</v>
      </c>
      <c r="G258" t="s">
        <v>79</v>
      </c>
      <c r="H258" s="65">
        <v>44756</v>
      </c>
      <c r="I258" s="72">
        <v>2181551</v>
      </c>
      <c r="J258" s="72"/>
      <c r="K258" s="71"/>
      <c r="L258" s="72"/>
      <c r="M258" s="71">
        <v>2927822</v>
      </c>
      <c r="N258" s="216">
        <v>2806967</v>
      </c>
      <c r="O258" s="71"/>
      <c r="P258" s="72"/>
    </row>
    <row r="259" spans="1:16">
      <c r="A259" s="295"/>
      <c r="B259" s="289"/>
      <c r="C259" s="296"/>
      <c r="D259" s="66" t="s">
        <v>449</v>
      </c>
      <c r="E259" s="97" t="s">
        <v>508</v>
      </c>
      <c r="F259" t="s">
        <v>576</v>
      </c>
      <c r="G259" t="s">
        <v>79</v>
      </c>
      <c r="H259" s="65">
        <v>44756</v>
      </c>
      <c r="I259" s="72"/>
      <c r="J259" s="72"/>
      <c r="K259" s="71"/>
      <c r="L259" s="72"/>
      <c r="M259" s="71"/>
      <c r="N259" s="216"/>
      <c r="O259" s="71"/>
      <c r="P259" s="72"/>
    </row>
    <row r="260" spans="1:16">
      <c r="A260" s="295"/>
      <c r="B260" s="289"/>
      <c r="C260" s="296"/>
      <c r="D260" s="66" t="s">
        <v>449</v>
      </c>
      <c r="E260" s="97" t="s">
        <v>509</v>
      </c>
      <c r="F260" t="s">
        <v>576</v>
      </c>
      <c r="G260" t="s">
        <v>79</v>
      </c>
      <c r="H260" s="65">
        <v>44756</v>
      </c>
      <c r="I260" s="72">
        <v>80129</v>
      </c>
      <c r="J260" s="72"/>
      <c r="K260" s="71"/>
      <c r="L260" s="72"/>
      <c r="M260" s="71">
        <v>28479</v>
      </c>
      <c r="N260" s="216">
        <v>12880</v>
      </c>
      <c r="O260" s="71"/>
      <c r="P260" s="72"/>
    </row>
    <row r="261" spans="1:16">
      <c r="A261" s="295"/>
      <c r="B261" s="289"/>
      <c r="C261" s="296"/>
      <c r="D261" s="66" t="s">
        <v>449</v>
      </c>
      <c r="E261" s="97" t="s">
        <v>510</v>
      </c>
      <c r="F261" t="s">
        <v>576</v>
      </c>
      <c r="G261" t="s">
        <v>79</v>
      </c>
      <c r="H261" s="65">
        <v>44756</v>
      </c>
      <c r="I261" s="72"/>
      <c r="J261" s="72"/>
      <c r="K261" s="71"/>
      <c r="L261" s="72"/>
      <c r="M261" s="71"/>
      <c r="N261" s="216"/>
      <c r="O261" s="71"/>
      <c r="P261" s="72"/>
    </row>
    <row r="262" spans="1:16">
      <c r="A262" s="295"/>
      <c r="B262" s="289"/>
      <c r="C262" s="296"/>
      <c r="D262" s="66" t="s">
        <v>449</v>
      </c>
      <c r="E262" s="98" t="s">
        <v>511</v>
      </c>
      <c r="F262" t="s">
        <v>576</v>
      </c>
      <c r="G262" t="s">
        <v>79</v>
      </c>
      <c r="H262" s="65">
        <v>44756</v>
      </c>
      <c r="I262" s="72"/>
      <c r="J262" s="72"/>
      <c r="K262" s="71"/>
      <c r="L262" s="72"/>
      <c r="M262" s="71"/>
      <c r="N262" s="216"/>
      <c r="O262" s="71"/>
      <c r="P262" s="72"/>
    </row>
    <row r="263" spans="1:16">
      <c r="A263" s="295"/>
      <c r="B263" s="289"/>
      <c r="C263" s="296"/>
      <c r="D263" s="66" t="s">
        <v>449</v>
      </c>
      <c r="E263" s="98" t="s">
        <v>512</v>
      </c>
      <c r="F263" t="s">
        <v>576</v>
      </c>
      <c r="G263" t="s">
        <v>79</v>
      </c>
      <c r="H263" s="65">
        <v>44756</v>
      </c>
      <c r="I263" s="72"/>
      <c r="J263" s="72"/>
      <c r="K263" s="71"/>
      <c r="L263" s="72"/>
      <c r="M263" s="71"/>
      <c r="N263" s="216"/>
      <c r="O263" s="71"/>
      <c r="P263" s="72"/>
    </row>
    <row r="264" spans="1:16">
      <c r="A264" s="295"/>
      <c r="B264" s="289"/>
      <c r="C264" s="296"/>
      <c r="D264" s="66" t="s">
        <v>449</v>
      </c>
      <c r="E264" s="98" t="s">
        <v>513</v>
      </c>
      <c r="F264" t="s">
        <v>576</v>
      </c>
      <c r="G264" t="s">
        <v>79</v>
      </c>
      <c r="H264" s="65">
        <v>44756</v>
      </c>
      <c r="I264" s="72"/>
      <c r="J264" s="72"/>
      <c r="K264" s="71"/>
      <c r="L264" s="72"/>
      <c r="M264" s="71"/>
      <c r="N264" s="216"/>
      <c r="O264" s="71"/>
      <c r="P264" s="72"/>
    </row>
    <row r="265" spans="1:16">
      <c r="A265" s="295"/>
      <c r="B265" s="289"/>
      <c r="C265" s="296"/>
      <c r="D265" s="66" t="s">
        <v>449</v>
      </c>
      <c r="E265" s="98" t="s">
        <v>514</v>
      </c>
      <c r="F265" t="s">
        <v>576</v>
      </c>
      <c r="G265" t="s">
        <v>79</v>
      </c>
      <c r="H265" s="65">
        <v>44756</v>
      </c>
      <c r="I265" s="72"/>
      <c r="J265" s="72"/>
      <c r="K265" s="71"/>
      <c r="L265" s="72"/>
      <c r="M265" s="71">
        <v>2680270</v>
      </c>
      <c r="N265" s="216">
        <v>5506000</v>
      </c>
      <c r="O265" s="71"/>
      <c r="P265" s="72"/>
    </row>
    <row r="266" spans="1:16">
      <c r="A266" s="295"/>
      <c r="B266" s="289"/>
      <c r="C266" s="296"/>
      <c r="D266" s="66" t="s">
        <v>449</v>
      </c>
      <c r="E266" s="98" t="s">
        <v>515</v>
      </c>
      <c r="F266" t="s">
        <v>576</v>
      </c>
      <c r="G266" t="s">
        <v>79</v>
      </c>
      <c r="H266" s="65">
        <v>44756</v>
      </c>
      <c r="I266" s="72"/>
      <c r="J266" s="72"/>
      <c r="K266" s="71"/>
      <c r="L266" s="72"/>
      <c r="M266" s="71">
        <v>1073969</v>
      </c>
      <c r="N266" s="216">
        <v>1333000</v>
      </c>
      <c r="O266" s="71"/>
      <c r="P266" s="72"/>
    </row>
    <row r="267" spans="1:16">
      <c r="A267" s="295"/>
      <c r="B267" s="289"/>
      <c r="C267" s="296"/>
      <c r="D267" s="66" t="s">
        <v>449</v>
      </c>
      <c r="E267" s="97" t="s">
        <v>516</v>
      </c>
      <c r="F267" t="s">
        <v>576</v>
      </c>
      <c r="G267" t="s">
        <v>79</v>
      </c>
      <c r="H267" s="65">
        <v>44756</v>
      </c>
      <c r="I267" s="72">
        <v>3925534</v>
      </c>
      <c r="J267" s="72"/>
      <c r="K267" s="71"/>
      <c r="L267" s="72"/>
      <c r="M267" s="71">
        <v>3634977</v>
      </c>
      <c r="N267" s="216">
        <v>3640459</v>
      </c>
      <c r="O267" s="71"/>
      <c r="P267" s="72"/>
    </row>
    <row r="268" spans="1:16">
      <c r="A268" s="295"/>
      <c r="B268" s="293"/>
      <c r="C268" s="296"/>
      <c r="D268" s="66" t="s">
        <v>473</v>
      </c>
      <c r="H268" s="65"/>
      <c r="K268" s="71"/>
      <c r="L268" s="72"/>
      <c r="M268" s="71"/>
      <c r="N268" s="216"/>
      <c r="O268" s="71"/>
      <c r="P268" s="74" t="s">
        <v>1107</v>
      </c>
    </row>
    <row r="269" spans="1:16">
      <c r="A269" s="295" t="s">
        <v>112</v>
      </c>
      <c r="B269" s="292" t="s">
        <v>113</v>
      </c>
      <c r="C269" s="296" t="s">
        <v>114</v>
      </c>
      <c r="D269" s="66" t="s">
        <v>575</v>
      </c>
      <c r="H269" s="65"/>
      <c r="I269" s="90">
        <v>2005</v>
      </c>
      <c r="K269" s="71"/>
      <c r="L269" s="72"/>
      <c r="M269" s="71"/>
      <c r="N269" s="216"/>
      <c r="O269" s="71"/>
      <c r="P269" s="72"/>
    </row>
    <row r="270" spans="1:16">
      <c r="A270" s="295"/>
      <c r="B270" s="289"/>
      <c r="C270" s="296"/>
      <c r="D270" s="66" t="s">
        <v>411</v>
      </c>
      <c r="F270" t="s">
        <v>576</v>
      </c>
      <c r="G270" t="s">
        <v>428</v>
      </c>
      <c r="H270" s="65">
        <v>44756</v>
      </c>
      <c r="I270" s="56">
        <v>1806880.79033897</v>
      </c>
      <c r="K270" s="71"/>
      <c r="L270" s="72"/>
      <c r="M270" s="71"/>
      <c r="N270" s="216"/>
      <c r="O270" s="71">
        <v>1922944.0277451701</v>
      </c>
      <c r="P270" s="56">
        <v>1929402.3664103062</v>
      </c>
    </row>
    <row r="271" spans="1:16">
      <c r="A271" s="295"/>
      <c r="B271" s="289"/>
      <c r="C271" s="296"/>
      <c r="D271" s="66" t="s">
        <v>577</v>
      </c>
      <c r="F271" t="s">
        <v>576</v>
      </c>
      <c r="G271" t="s">
        <v>430</v>
      </c>
      <c r="H271" s="65">
        <v>44756</v>
      </c>
      <c r="I271" s="99">
        <v>0.292034636322417</v>
      </c>
      <c r="K271" s="71"/>
      <c r="L271" s="72"/>
      <c r="M271" s="71"/>
      <c r="N271" s="216"/>
      <c r="O271" s="71">
        <v>0.27315818517470303</v>
      </c>
      <c r="P271" s="99">
        <v>0.2838918661431491</v>
      </c>
    </row>
    <row r="272" spans="1:16">
      <c r="A272" s="295"/>
      <c r="B272" s="289"/>
      <c r="C272" s="296"/>
      <c r="D272" s="66" t="s">
        <v>411</v>
      </c>
      <c r="F272" t="s">
        <v>594</v>
      </c>
      <c r="G272" t="s">
        <v>428</v>
      </c>
      <c r="H272" s="65">
        <v>44756</v>
      </c>
      <c r="I272" s="56">
        <v>9913677.1400000006</v>
      </c>
      <c r="K272" s="71"/>
      <c r="L272" s="72"/>
      <c r="M272" s="71"/>
      <c r="N272" s="216"/>
      <c r="O272" s="71">
        <v>4386675.8489898499</v>
      </c>
      <c r="P272" s="56">
        <v>5120850.6626992403</v>
      </c>
    </row>
    <row r="273" spans="1:16">
      <c r="A273" s="295"/>
      <c r="B273" s="289"/>
      <c r="C273" s="296"/>
      <c r="D273" s="66" t="s">
        <v>577</v>
      </c>
      <c r="F273" t="s">
        <v>594</v>
      </c>
      <c r="G273" t="s">
        <v>430</v>
      </c>
      <c r="H273" s="65">
        <v>44756</v>
      </c>
      <c r="I273" s="99">
        <v>0.369901153033176</v>
      </c>
      <c r="K273" s="71"/>
      <c r="L273" s="72"/>
      <c r="M273" s="71"/>
      <c r="N273" s="216"/>
      <c r="O273" s="71">
        <v>0.25178942402772397</v>
      </c>
      <c r="P273" s="99">
        <v>0.28848509040106685</v>
      </c>
    </row>
    <row r="274" spans="1:16">
      <c r="A274" s="295"/>
      <c r="B274" s="289"/>
      <c r="C274" s="296"/>
      <c r="D274" s="66" t="s">
        <v>414</v>
      </c>
      <c r="E274" t="s">
        <v>413</v>
      </c>
      <c r="G274" t="s">
        <v>429</v>
      </c>
      <c r="H274" s="65">
        <v>44756</v>
      </c>
      <c r="K274" s="71"/>
      <c r="L274" s="72"/>
      <c r="M274" s="71"/>
      <c r="N274" s="216"/>
      <c r="O274" s="71"/>
      <c r="P274" s="72"/>
    </row>
    <row r="275" spans="1:16">
      <c r="A275" s="295"/>
      <c r="B275" s="289"/>
      <c r="C275" s="296"/>
      <c r="D275" s="66" t="s">
        <v>415</v>
      </c>
      <c r="E275" s="45">
        <v>3</v>
      </c>
      <c r="H275" s="65">
        <v>44756</v>
      </c>
      <c r="K275" s="71"/>
      <c r="L275" s="72"/>
      <c r="M275" s="71"/>
      <c r="N275" s="216"/>
      <c r="O275" s="71">
        <v>4386675.8489898499</v>
      </c>
      <c r="P275" s="56">
        <v>5120850.6626992403</v>
      </c>
    </row>
    <row r="276" spans="1:16">
      <c r="A276" s="295"/>
      <c r="B276" s="289"/>
      <c r="C276" s="296"/>
      <c r="D276" s="66" t="s">
        <v>587</v>
      </c>
      <c r="E276" t="s">
        <v>588</v>
      </c>
      <c r="G276" t="s">
        <v>617</v>
      </c>
      <c r="H276" s="65">
        <v>44756</v>
      </c>
      <c r="I276" s="90">
        <v>222922</v>
      </c>
      <c r="K276" s="71"/>
      <c r="L276" s="72"/>
      <c r="M276" s="71"/>
      <c r="N276" s="216"/>
      <c r="O276" s="71">
        <v>291761.81880000001</v>
      </c>
      <c r="P276" s="72">
        <v>294348.43605000002</v>
      </c>
    </row>
    <row r="277" spans="1:16">
      <c r="A277" s="295"/>
      <c r="B277" s="289"/>
      <c r="C277" s="296"/>
      <c r="D277" s="66" t="s">
        <v>587</v>
      </c>
      <c r="E277" t="s">
        <v>589</v>
      </c>
      <c r="G277" t="s">
        <v>617</v>
      </c>
      <c r="H277" s="65">
        <v>44756</v>
      </c>
      <c r="K277" s="71"/>
      <c r="L277" s="72"/>
      <c r="M277" s="71"/>
      <c r="N277" s="216"/>
      <c r="O277" s="71">
        <v>23829.763900000002</v>
      </c>
      <c r="P277" s="72">
        <v>25769.4</v>
      </c>
    </row>
    <row r="278" spans="1:16">
      <c r="A278" s="295"/>
      <c r="B278" s="289"/>
      <c r="C278" s="296"/>
      <c r="D278" s="66" t="s">
        <v>417</v>
      </c>
      <c r="E278" t="s">
        <v>449</v>
      </c>
      <c r="F278" t="s">
        <v>576</v>
      </c>
      <c r="G278" t="s">
        <v>79</v>
      </c>
      <c r="H278" s="65">
        <v>44756</v>
      </c>
      <c r="I278" s="90">
        <f>SUM(I279:I289)</f>
        <v>6187214</v>
      </c>
      <c r="K278" s="71"/>
      <c r="L278" s="72"/>
      <c r="M278" s="71"/>
      <c r="N278" s="216"/>
      <c r="O278" s="71">
        <f>SUM(O279:O289)</f>
        <v>14163708</v>
      </c>
      <c r="P278" s="90">
        <f>SUM(P279:P289)</f>
        <v>14504546</v>
      </c>
    </row>
    <row r="279" spans="1:16">
      <c r="A279" s="295"/>
      <c r="B279" s="289"/>
      <c r="C279" s="296"/>
      <c r="D279" s="66" t="s">
        <v>449</v>
      </c>
      <c r="E279" s="97" t="s">
        <v>506</v>
      </c>
      <c r="F279" t="s">
        <v>576</v>
      </c>
      <c r="G279" t="s">
        <v>79</v>
      </c>
      <c r="H279" s="65">
        <v>44756</v>
      </c>
      <c r="I279" s="72"/>
      <c r="J279" s="72"/>
      <c r="K279" s="71"/>
      <c r="L279" s="72"/>
      <c r="M279" s="71"/>
      <c r="N279" s="216"/>
      <c r="O279" s="71" t="s">
        <v>586</v>
      </c>
      <c r="P279" s="72" t="s">
        <v>586</v>
      </c>
    </row>
    <row r="280" spans="1:16">
      <c r="A280" s="295"/>
      <c r="B280" s="289"/>
      <c r="C280" s="296"/>
      <c r="D280" s="66" t="s">
        <v>449</v>
      </c>
      <c r="E280" s="97" t="s">
        <v>507</v>
      </c>
      <c r="F280" t="s">
        <v>576</v>
      </c>
      <c r="G280" t="s">
        <v>79</v>
      </c>
      <c r="H280" s="65">
        <v>44756</v>
      </c>
      <c r="I280" s="72">
        <v>2181551</v>
      </c>
      <c r="J280" s="72"/>
      <c r="K280" s="71"/>
      <c r="L280" s="72"/>
      <c r="M280" s="71"/>
      <c r="N280" s="216"/>
      <c r="O280" s="71">
        <v>3117978</v>
      </c>
      <c r="P280" s="72">
        <v>3179666</v>
      </c>
    </row>
    <row r="281" spans="1:16">
      <c r="A281" s="295"/>
      <c r="B281" s="289"/>
      <c r="C281" s="296"/>
      <c r="D281" s="66" t="s">
        <v>449</v>
      </c>
      <c r="E281" s="97" t="s">
        <v>508</v>
      </c>
      <c r="F281" t="s">
        <v>576</v>
      </c>
      <c r="G281" t="s">
        <v>79</v>
      </c>
      <c r="H281" s="65">
        <v>44756</v>
      </c>
      <c r="I281" s="72"/>
      <c r="J281" s="72"/>
      <c r="K281" s="71"/>
      <c r="L281" s="72"/>
      <c r="M281" s="71"/>
      <c r="N281" s="216"/>
      <c r="O281" s="71" t="s">
        <v>586</v>
      </c>
      <c r="P281" s="72" t="s">
        <v>586</v>
      </c>
    </row>
    <row r="282" spans="1:16">
      <c r="A282" s="295"/>
      <c r="B282" s="289"/>
      <c r="C282" s="296"/>
      <c r="D282" s="66" t="s">
        <v>449</v>
      </c>
      <c r="E282" s="97" t="s">
        <v>509</v>
      </c>
      <c r="F282" t="s">
        <v>576</v>
      </c>
      <c r="G282" t="s">
        <v>79</v>
      </c>
      <c r="H282" s="65">
        <v>44756</v>
      </c>
      <c r="I282" s="72">
        <v>80129</v>
      </c>
      <c r="J282" s="72"/>
      <c r="K282" s="71"/>
      <c r="L282" s="72"/>
      <c r="M282" s="71"/>
      <c r="N282" s="216"/>
      <c r="O282" s="71">
        <v>4056</v>
      </c>
      <c r="P282" s="72">
        <v>2963</v>
      </c>
    </row>
    <row r="283" spans="1:16">
      <c r="A283" s="295"/>
      <c r="B283" s="289"/>
      <c r="C283" s="296"/>
      <c r="D283" s="66" t="s">
        <v>449</v>
      </c>
      <c r="E283" s="97" t="s">
        <v>510</v>
      </c>
      <c r="F283" t="s">
        <v>576</v>
      </c>
      <c r="G283" t="s">
        <v>79</v>
      </c>
      <c r="H283" s="65">
        <v>44756</v>
      </c>
      <c r="I283" s="72"/>
      <c r="J283" s="72"/>
      <c r="K283" s="71"/>
      <c r="L283" s="72"/>
      <c r="M283" s="71"/>
      <c r="N283" s="216"/>
      <c r="O283" s="71"/>
      <c r="P283" s="72"/>
    </row>
    <row r="284" spans="1:16">
      <c r="A284" s="295"/>
      <c r="B284" s="289"/>
      <c r="C284" s="296"/>
      <c r="D284" s="66" t="s">
        <v>449</v>
      </c>
      <c r="E284" s="98" t="s">
        <v>511</v>
      </c>
      <c r="F284" t="s">
        <v>576</v>
      </c>
      <c r="G284" t="s">
        <v>79</v>
      </c>
      <c r="H284" s="65">
        <v>44756</v>
      </c>
      <c r="I284" s="72"/>
      <c r="J284" s="72"/>
      <c r="K284" s="71"/>
      <c r="L284" s="72"/>
      <c r="M284" s="71"/>
      <c r="N284" s="216"/>
      <c r="O284" s="71" t="s">
        <v>586</v>
      </c>
      <c r="P284" s="72" t="s">
        <v>586</v>
      </c>
    </row>
    <row r="285" spans="1:16">
      <c r="A285" s="295"/>
      <c r="B285" s="289"/>
      <c r="C285" s="296"/>
      <c r="D285" s="66" t="s">
        <v>449</v>
      </c>
      <c r="E285" s="98" t="s">
        <v>512</v>
      </c>
      <c r="F285" t="s">
        <v>576</v>
      </c>
      <c r="G285" t="s">
        <v>79</v>
      </c>
      <c r="H285" s="65">
        <v>44756</v>
      </c>
      <c r="I285" s="72"/>
      <c r="J285" s="72"/>
      <c r="K285" s="71"/>
      <c r="L285" s="72"/>
      <c r="M285" s="71"/>
      <c r="N285" s="216"/>
      <c r="O285" s="71" t="s">
        <v>586</v>
      </c>
      <c r="P285" s="72" t="s">
        <v>586</v>
      </c>
    </row>
    <row r="286" spans="1:16">
      <c r="A286" s="295"/>
      <c r="B286" s="289"/>
      <c r="C286" s="296"/>
      <c r="D286" s="66" t="s">
        <v>449</v>
      </c>
      <c r="E286" s="98" t="s">
        <v>513</v>
      </c>
      <c r="F286" t="s">
        <v>576</v>
      </c>
      <c r="G286" t="s">
        <v>79</v>
      </c>
      <c r="H286" s="65">
        <v>44756</v>
      </c>
      <c r="I286" s="72"/>
      <c r="J286" s="72"/>
      <c r="K286" s="71"/>
      <c r="L286" s="72"/>
      <c r="M286" s="71"/>
      <c r="N286" s="216"/>
      <c r="O286" s="71" t="s">
        <v>586</v>
      </c>
      <c r="P286" s="72" t="s">
        <v>586</v>
      </c>
    </row>
    <row r="287" spans="1:16">
      <c r="A287" s="295"/>
      <c r="B287" s="289"/>
      <c r="C287" s="296"/>
      <c r="D287" s="66" t="s">
        <v>449</v>
      </c>
      <c r="E287" s="98" t="s">
        <v>514</v>
      </c>
      <c r="F287" t="s">
        <v>576</v>
      </c>
      <c r="G287" t="s">
        <v>79</v>
      </c>
      <c r="H287" s="65">
        <v>44756</v>
      </c>
      <c r="I287" s="72"/>
      <c r="J287" s="72"/>
      <c r="K287" s="71"/>
      <c r="L287" s="72"/>
      <c r="M287" s="71"/>
      <c r="N287" s="216"/>
      <c r="O287" s="71">
        <v>5699000</v>
      </c>
      <c r="P287" s="72">
        <v>6219000</v>
      </c>
    </row>
    <row r="288" spans="1:16">
      <c r="A288" s="295"/>
      <c r="B288" s="289"/>
      <c r="C288" s="296"/>
      <c r="D288" s="66" t="s">
        <v>449</v>
      </c>
      <c r="E288" s="98" t="s">
        <v>515</v>
      </c>
      <c r="F288" t="s">
        <v>576</v>
      </c>
      <c r="G288" t="s">
        <v>79</v>
      </c>
      <c r="H288" s="65">
        <v>44756</v>
      </c>
      <c r="I288" s="72"/>
      <c r="J288" s="72"/>
      <c r="K288" s="71"/>
      <c r="L288" s="72"/>
      <c r="M288" s="71"/>
      <c r="N288" s="216"/>
      <c r="O288" s="71">
        <v>1425000</v>
      </c>
      <c r="P288" s="72">
        <v>1300000</v>
      </c>
    </row>
    <row r="289" spans="1:16">
      <c r="A289" s="295"/>
      <c r="B289" s="289"/>
      <c r="C289" s="296"/>
      <c r="D289" s="66" t="s">
        <v>449</v>
      </c>
      <c r="E289" s="97" t="s">
        <v>516</v>
      </c>
      <c r="F289" t="s">
        <v>576</v>
      </c>
      <c r="G289" t="s">
        <v>79</v>
      </c>
      <c r="H289" s="65">
        <v>44756</v>
      </c>
      <c r="I289" s="72">
        <v>3925534</v>
      </c>
      <c r="J289" s="72"/>
      <c r="K289" s="71"/>
      <c r="L289" s="72"/>
      <c r="M289" s="71"/>
      <c r="N289" s="216"/>
      <c r="O289" s="71">
        <v>3917674</v>
      </c>
      <c r="P289" s="72">
        <v>3802917</v>
      </c>
    </row>
    <row r="290" spans="1:16">
      <c r="A290" s="295"/>
      <c r="B290" s="289"/>
      <c r="C290" s="296"/>
      <c r="D290" s="66" t="s">
        <v>473</v>
      </c>
      <c r="H290" s="65"/>
      <c r="K290" s="71"/>
      <c r="L290" s="72"/>
      <c r="M290" s="71"/>
      <c r="N290" s="216"/>
      <c r="O290" s="71"/>
      <c r="P290" s="74" t="s">
        <v>585</v>
      </c>
    </row>
    <row r="291" spans="1:16">
      <c r="A291" s="295"/>
      <c r="B291" s="293"/>
      <c r="C291" s="296"/>
      <c r="D291" s="66" t="s">
        <v>418</v>
      </c>
      <c r="H291" s="65">
        <v>44894</v>
      </c>
      <c r="K291" s="71"/>
      <c r="L291" s="72"/>
      <c r="M291" s="71"/>
      <c r="N291" s="216"/>
      <c r="O291" s="71"/>
      <c r="P291" s="74" t="s">
        <v>584</v>
      </c>
    </row>
    <row r="292" spans="1:16">
      <c r="A292" s="295" t="s">
        <v>118</v>
      </c>
      <c r="B292" s="292" t="s">
        <v>119</v>
      </c>
      <c r="C292" s="296" t="s">
        <v>120</v>
      </c>
      <c r="D292" s="66" t="s">
        <v>414</v>
      </c>
      <c r="G292" t="s">
        <v>429</v>
      </c>
      <c r="H292" s="65">
        <v>44561</v>
      </c>
      <c r="K292" s="71">
        <v>43.346668252252499</v>
      </c>
      <c r="L292" s="72">
        <v>36.8693615036822</v>
      </c>
      <c r="M292" s="71">
        <v>35.120067341795298</v>
      </c>
      <c r="N292" s="216">
        <v>31.432803553609599</v>
      </c>
      <c r="O292" s="71">
        <v>32.246843518396602</v>
      </c>
      <c r="P292" s="72"/>
    </row>
    <row r="293" spans="1:16">
      <c r="A293" s="295"/>
      <c r="B293" s="289"/>
      <c r="C293" s="296"/>
      <c r="D293" s="66" t="s">
        <v>417</v>
      </c>
      <c r="G293" t="s">
        <v>62</v>
      </c>
      <c r="H293" s="65">
        <v>44561</v>
      </c>
      <c r="K293" s="71">
        <v>102.3781215467</v>
      </c>
      <c r="L293" s="72">
        <v>95.363361617799995</v>
      </c>
      <c r="M293" s="71">
        <v>95.723638083700195</v>
      </c>
      <c r="N293" s="216">
        <v>97.768233357200003</v>
      </c>
      <c r="O293" s="71">
        <v>101.0949584695</v>
      </c>
      <c r="P293" s="72"/>
    </row>
    <row r="294" spans="1:16">
      <c r="A294" s="295"/>
      <c r="B294" s="293"/>
      <c r="C294" s="296"/>
      <c r="D294" s="66" t="s">
        <v>418</v>
      </c>
      <c r="H294" s="65"/>
      <c r="K294" s="71"/>
      <c r="L294" s="72"/>
      <c r="M294" s="71"/>
      <c r="N294" s="216"/>
      <c r="O294" s="71"/>
      <c r="P294" s="72"/>
    </row>
    <row r="295" spans="1:16">
      <c r="A295" s="295" t="s">
        <v>118</v>
      </c>
      <c r="B295" s="292" t="s">
        <v>119</v>
      </c>
      <c r="C295" s="296" t="s">
        <v>120</v>
      </c>
      <c r="D295" s="66" t="s">
        <v>411</v>
      </c>
      <c r="G295" t="s">
        <v>428</v>
      </c>
      <c r="H295" s="65">
        <v>44742</v>
      </c>
      <c r="K295" s="71"/>
      <c r="L295" s="72"/>
      <c r="M295" s="71"/>
      <c r="N295" s="216">
        <f>31796845</f>
        <v>31796845</v>
      </c>
      <c r="O295" s="71">
        <f>32957387</f>
        <v>32957387</v>
      </c>
      <c r="P295" s="72">
        <f>31660079</f>
        <v>31660079</v>
      </c>
    </row>
    <row r="296" spans="1:16">
      <c r="A296" s="295"/>
      <c r="B296" s="289"/>
      <c r="C296" s="296"/>
      <c r="D296" s="66" t="s">
        <v>494</v>
      </c>
      <c r="E296" t="s">
        <v>413</v>
      </c>
      <c r="G296" t="s">
        <v>428</v>
      </c>
      <c r="H296" s="65">
        <v>44742</v>
      </c>
      <c r="K296" s="71"/>
      <c r="L296" s="72"/>
      <c r="M296" s="71"/>
      <c r="N296" s="216">
        <f>40057400</f>
        <v>40057400</v>
      </c>
      <c r="O296" s="71">
        <f>37533527</f>
        <v>37533527</v>
      </c>
      <c r="P296" s="72">
        <f>40004035</f>
        <v>40004035</v>
      </c>
    </row>
    <row r="297" spans="1:16">
      <c r="A297" s="295"/>
      <c r="B297" s="289"/>
      <c r="C297" s="296"/>
      <c r="D297" s="66" t="s">
        <v>415</v>
      </c>
      <c r="F297" t="s">
        <v>594</v>
      </c>
      <c r="G297" t="s">
        <v>428</v>
      </c>
      <c r="H297" s="65">
        <v>44742</v>
      </c>
      <c r="K297" s="71"/>
      <c r="L297" s="72"/>
      <c r="M297" s="71"/>
      <c r="N297" s="216">
        <f>8260555</f>
        <v>8260555</v>
      </c>
      <c r="O297" s="71">
        <f>4576140</f>
        <v>4576140</v>
      </c>
      <c r="P297" s="72">
        <f>8343956</f>
        <v>8343956</v>
      </c>
    </row>
    <row r="298" spans="1:16">
      <c r="A298" s="295"/>
      <c r="B298" s="289"/>
      <c r="C298" s="296"/>
      <c r="D298" s="66" t="s">
        <v>417</v>
      </c>
      <c r="E298" t="s">
        <v>449</v>
      </c>
      <c r="F298" t="s">
        <v>576</v>
      </c>
      <c r="G298" t="s">
        <v>79</v>
      </c>
      <c r="H298" s="65">
        <v>44742</v>
      </c>
      <c r="K298" s="71"/>
      <c r="L298" s="72"/>
      <c r="M298" s="71"/>
      <c r="N298" s="216">
        <f>118078453</f>
        <v>118078453</v>
      </c>
      <c r="O298" s="71">
        <f>121219126</f>
        <v>121219126</v>
      </c>
      <c r="P298" s="72">
        <f>116829289</f>
        <v>116829289</v>
      </c>
    </row>
    <row r="299" spans="1:16">
      <c r="A299" s="295"/>
      <c r="B299" s="289"/>
      <c r="C299" s="296"/>
      <c r="D299" s="66" t="s">
        <v>449</v>
      </c>
      <c r="E299" t="s">
        <v>462</v>
      </c>
      <c r="F299" t="s">
        <v>576</v>
      </c>
      <c r="G299" t="s">
        <v>79</v>
      </c>
      <c r="H299" s="65">
        <v>44742</v>
      </c>
      <c r="K299" s="71"/>
      <c r="L299" s="72"/>
      <c r="M299" s="71"/>
      <c r="N299" s="216">
        <f>13659118</f>
        <v>13659118</v>
      </c>
      <c r="O299" s="71">
        <f>12203730</f>
        <v>12203730</v>
      </c>
      <c r="P299" s="72">
        <f>13430480</f>
        <v>13430480</v>
      </c>
    </row>
    <row r="300" spans="1:16">
      <c r="A300" s="295"/>
      <c r="B300" s="289"/>
      <c r="C300" s="296"/>
      <c r="D300" s="66" t="s">
        <v>449</v>
      </c>
      <c r="E300" t="s">
        <v>463</v>
      </c>
      <c r="F300" t="s">
        <v>576</v>
      </c>
      <c r="G300" t="s">
        <v>79</v>
      </c>
      <c r="H300" s="65">
        <v>44742</v>
      </c>
      <c r="K300" s="71"/>
      <c r="L300" s="72"/>
      <c r="M300" s="71"/>
      <c r="N300" s="216">
        <f>49357309</f>
        <v>49357309</v>
      </c>
      <c r="O300" s="71">
        <f>54109684</f>
        <v>54109684</v>
      </c>
      <c r="P300" s="72">
        <f>47290420</f>
        <v>47290420</v>
      </c>
    </row>
    <row r="301" spans="1:16">
      <c r="A301" s="295"/>
      <c r="B301" s="289"/>
      <c r="C301" s="296"/>
      <c r="D301" s="66" t="s">
        <v>449</v>
      </c>
      <c r="E301" t="s">
        <v>464</v>
      </c>
      <c r="F301" t="s">
        <v>576</v>
      </c>
      <c r="G301" t="s">
        <v>79</v>
      </c>
      <c r="H301" s="65">
        <v>44742</v>
      </c>
      <c r="K301" s="71"/>
      <c r="L301" s="72"/>
      <c r="M301" s="71"/>
      <c r="N301" s="216">
        <f>49316348</f>
        <v>49316348</v>
      </c>
      <c r="O301" s="71">
        <f>48573338</f>
        <v>48573338</v>
      </c>
      <c r="P301" s="72">
        <f>47997083</f>
        <v>47997083</v>
      </c>
    </row>
    <row r="302" spans="1:16">
      <c r="A302" s="295"/>
      <c r="B302" s="289"/>
      <c r="C302" s="296"/>
      <c r="D302" s="66" t="s">
        <v>449</v>
      </c>
      <c r="E302" t="s">
        <v>488</v>
      </c>
      <c r="F302" t="s">
        <v>576</v>
      </c>
      <c r="G302" t="s">
        <v>79</v>
      </c>
      <c r="H302" s="65">
        <v>44742</v>
      </c>
      <c r="K302" s="71"/>
      <c r="L302" s="72"/>
      <c r="M302" s="71"/>
      <c r="N302" s="216">
        <f>123323</f>
        <v>123323</v>
      </c>
      <c r="O302" s="71">
        <f>119354</f>
        <v>119354</v>
      </c>
      <c r="P302" s="72">
        <f>178976</f>
        <v>178976</v>
      </c>
    </row>
    <row r="303" spans="1:16">
      <c r="A303" s="295"/>
      <c r="B303" s="289"/>
      <c r="C303" s="296"/>
      <c r="D303" s="66" t="s">
        <v>449</v>
      </c>
      <c r="E303" t="s">
        <v>471</v>
      </c>
      <c r="F303" t="s">
        <v>576</v>
      </c>
      <c r="G303" t="s">
        <v>79</v>
      </c>
      <c r="H303" s="65">
        <v>44742</v>
      </c>
      <c r="K303" s="71"/>
      <c r="L303" s="72"/>
      <c r="M303" s="71"/>
      <c r="N303" s="216">
        <f>5622355</f>
        <v>5622355</v>
      </c>
      <c r="O303" s="71">
        <f>6213020</f>
        <v>6213020</v>
      </c>
      <c r="P303" s="72">
        <f>7932330</f>
        <v>7932330</v>
      </c>
    </row>
    <row r="304" spans="1:16">
      <c r="A304" s="295"/>
      <c r="B304" s="289"/>
      <c r="C304" s="296"/>
      <c r="D304" s="66" t="s">
        <v>449</v>
      </c>
      <c r="E304" t="s">
        <v>489</v>
      </c>
      <c r="F304" t="s">
        <v>576</v>
      </c>
      <c r="G304" t="s">
        <v>79</v>
      </c>
      <c r="H304" s="65">
        <v>44742</v>
      </c>
      <c r="K304" s="71"/>
      <c r="L304" s="72"/>
      <c r="M304" s="71"/>
      <c r="N304" s="216">
        <f>1007679</f>
        <v>1007679</v>
      </c>
      <c r="O304" s="71">
        <f>787986</f>
        <v>787986</v>
      </c>
      <c r="P304" s="72">
        <f>1054927</f>
        <v>1054927</v>
      </c>
    </row>
    <row r="305" spans="1:16">
      <c r="A305" s="295"/>
      <c r="B305" s="289"/>
      <c r="C305" s="296"/>
      <c r="D305" s="66" t="s">
        <v>449</v>
      </c>
      <c r="E305" t="s">
        <v>490</v>
      </c>
      <c r="F305" t="s">
        <v>576</v>
      </c>
      <c r="G305" t="s">
        <v>79</v>
      </c>
      <c r="H305" s="65">
        <v>44742</v>
      </c>
      <c r="K305" s="71"/>
      <c r="L305" s="72"/>
      <c r="M305" s="71"/>
      <c r="N305" s="216"/>
      <c r="O305" s="71"/>
      <c r="P305" s="71"/>
    </row>
    <row r="306" spans="1:16">
      <c r="A306" s="295"/>
      <c r="B306" s="289"/>
      <c r="C306" s="296"/>
      <c r="D306" s="66" t="s">
        <v>449</v>
      </c>
      <c r="E306" t="s">
        <v>466</v>
      </c>
      <c r="F306" t="s">
        <v>576</v>
      </c>
      <c r="G306" t="s">
        <v>79</v>
      </c>
      <c r="H306" s="65">
        <v>44742</v>
      </c>
      <c r="K306" s="71"/>
      <c r="L306" s="72"/>
      <c r="M306" s="71"/>
      <c r="N306" s="216">
        <f>978916</f>
        <v>978916</v>
      </c>
      <c r="O306" s="71">
        <f>1220060</f>
        <v>1220060</v>
      </c>
      <c r="P306" s="72">
        <f>944967</f>
        <v>944967</v>
      </c>
    </row>
    <row r="307" spans="1:16">
      <c r="A307" s="295"/>
      <c r="B307" s="289"/>
      <c r="C307" s="296"/>
      <c r="D307" s="66" t="s">
        <v>449</v>
      </c>
      <c r="E307" t="s">
        <v>468</v>
      </c>
      <c r="F307" t="s">
        <v>576</v>
      </c>
      <c r="G307" t="s">
        <v>79</v>
      </c>
      <c r="H307" s="65">
        <v>44742</v>
      </c>
      <c r="K307" s="71"/>
      <c r="L307" s="72"/>
      <c r="M307" s="71"/>
      <c r="N307" s="216">
        <f>3037885</f>
        <v>3037885</v>
      </c>
      <c r="O307" s="71">
        <f>3899725</f>
        <v>3899725</v>
      </c>
      <c r="P307" s="72">
        <f>5882665</f>
        <v>5882665</v>
      </c>
    </row>
    <row r="308" spans="1:16">
      <c r="A308" s="295"/>
      <c r="B308" s="289"/>
      <c r="C308" s="296"/>
      <c r="D308" s="66" t="s">
        <v>449</v>
      </c>
      <c r="E308" t="s">
        <v>469</v>
      </c>
      <c r="F308" t="s">
        <v>576</v>
      </c>
      <c r="G308" t="s">
        <v>79</v>
      </c>
      <c r="H308" s="65">
        <v>44742</v>
      </c>
      <c r="K308" s="71"/>
      <c r="L308" s="72"/>
      <c r="M308" s="71"/>
      <c r="N308" s="216">
        <v>597876</v>
      </c>
      <c r="O308" s="71">
        <v>305249</v>
      </c>
      <c r="P308" s="72">
        <v>49771</v>
      </c>
    </row>
    <row r="309" spans="1:16">
      <c r="A309" s="295"/>
      <c r="B309" s="289"/>
      <c r="C309" s="296"/>
      <c r="D309" s="66" t="s">
        <v>449</v>
      </c>
      <c r="E309" t="s">
        <v>470</v>
      </c>
      <c r="F309" t="s">
        <v>576</v>
      </c>
      <c r="G309" t="s">
        <v>79</v>
      </c>
      <c r="H309" s="65">
        <v>44742</v>
      </c>
      <c r="K309" s="71"/>
      <c r="L309" s="72"/>
      <c r="M309" s="71"/>
      <c r="N309" s="216"/>
      <c r="O309" s="71"/>
      <c r="P309" s="72"/>
    </row>
    <row r="310" spans="1:16">
      <c r="A310" s="295"/>
      <c r="B310" s="289"/>
      <c r="C310" s="296"/>
      <c r="D310" s="66" t="s">
        <v>417</v>
      </c>
      <c r="E310" t="s">
        <v>449</v>
      </c>
      <c r="F310" t="s">
        <v>576</v>
      </c>
      <c r="G310" t="s">
        <v>79</v>
      </c>
      <c r="H310" s="65">
        <v>44742</v>
      </c>
      <c r="K310" s="71"/>
      <c r="L310" s="72"/>
      <c r="M310" s="71"/>
      <c r="N310" s="216">
        <f>118059108</f>
        <v>118059108</v>
      </c>
      <c r="O310" s="71">
        <f>121219126</f>
        <v>121219126</v>
      </c>
      <c r="P310" s="72">
        <f>116829289</f>
        <v>116829289</v>
      </c>
    </row>
    <row r="311" spans="1:16">
      <c r="A311" s="295"/>
      <c r="B311" s="289"/>
      <c r="C311" s="296"/>
      <c r="D311" s="66" t="s">
        <v>417</v>
      </c>
      <c r="E311" t="s">
        <v>449</v>
      </c>
      <c r="F311" t="s">
        <v>594</v>
      </c>
      <c r="G311" t="s">
        <v>79</v>
      </c>
      <c r="H311" s="65">
        <v>44742</v>
      </c>
      <c r="K311" s="71"/>
      <c r="L311" s="72"/>
      <c r="M311" s="71"/>
      <c r="N311" s="216">
        <f>17312430</f>
        <v>17312430</v>
      </c>
      <c r="O311" s="71">
        <f>12001527</f>
        <v>12001527</v>
      </c>
      <c r="P311" s="72">
        <f>21074593</f>
        <v>21074593</v>
      </c>
    </row>
    <row r="312" spans="1:16">
      <c r="A312" s="295"/>
      <c r="B312" s="289"/>
      <c r="C312" s="296"/>
      <c r="D312" s="66" t="s">
        <v>417</v>
      </c>
      <c r="E312" t="s">
        <v>449</v>
      </c>
      <c r="F312" t="s">
        <v>595</v>
      </c>
      <c r="G312" t="s">
        <v>79</v>
      </c>
      <c r="H312" s="65">
        <v>44742</v>
      </c>
      <c r="K312" s="71"/>
      <c r="L312" s="72"/>
      <c r="M312" s="71"/>
      <c r="N312" s="216">
        <f>135371538</f>
        <v>135371538</v>
      </c>
      <c r="O312" s="71">
        <f>133220653</f>
        <v>133220653</v>
      </c>
      <c r="P312" s="72">
        <f>137903882</f>
        <v>137903882</v>
      </c>
    </row>
    <row r="313" spans="1:16">
      <c r="A313" s="295"/>
      <c r="B313" s="293"/>
      <c r="C313" s="296"/>
      <c r="D313" s="66" t="s">
        <v>418</v>
      </c>
      <c r="H313" s="65"/>
      <c r="K313" s="71"/>
      <c r="L313" s="72"/>
      <c r="M313" s="71"/>
      <c r="N313" s="216"/>
      <c r="O313" s="71"/>
      <c r="P313" s="72"/>
    </row>
    <row r="314" spans="1:16">
      <c r="A314" s="295" t="s">
        <v>115</v>
      </c>
      <c r="B314" s="292" t="s">
        <v>116</v>
      </c>
      <c r="C314" s="296" t="s">
        <v>117</v>
      </c>
      <c r="D314" s="66" t="s">
        <v>411</v>
      </c>
      <c r="E314" t="s">
        <v>539</v>
      </c>
      <c r="G314" t="s">
        <v>429</v>
      </c>
      <c r="H314" s="65">
        <v>44561</v>
      </c>
      <c r="K314" s="71">
        <v>26.800952219832499</v>
      </c>
      <c r="L314" s="72">
        <v>27.947696991438701</v>
      </c>
      <c r="M314" s="71">
        <v>29.956332607558998</v>
      </c>
      <c r="N314" s="216">
        <v>28.520222</v>
      </c>
      <c r="O314" s="71">
        <v>21.238468999999998</v>
      </c>
      <c r="P314" s="72"/>
    </row>
    <row r="315" spans="1:16">
      <c r="A315" s="295"/>
      <c r="B315" s="289"/>
      <c r="C315" s="296"/>
      <c r="D315" s="66" t="s">
        <v>412</v>
      </c>
      <c r="E315" t="s">
        <v>539</v>
      </c>
      <c r="G315" t="s">
        <v>429</v>
      </c>
      <c r="H315" s="65">
        <v>44561</v>
      </c>
      <c r="K315" s="71">
        <v>0</v>
      </c>
      <c r="L315" s="72">
        <v>0</v>
      </c>
      <c r="M315" s="71">
        <v>0</v>
      </c>
      <c r="N315" s="216">
        <v>3.4870640000000002</v>
      </c>
      <c r="O315" s="71">
        <v>8.0041449999999994</v>
      </c>
      <c r="P315" s="72"/>
    </row>
    <row r="316" spans="1:16">
      <c r="A316" s="295"/>
      <c r="B316" s="289"/>
      <c r="C316" s="296"/>
      <c r="D316" s="66" t="s">
        <v>414</v>
      </c>
      <c r="E316" t="s">
        <v>539</v>
      </c>
      <c r="G316" t="s">
        <v>429</v>
      </c>
      <c r="H316" s="65">
        <v>44561</v>
      </c>
      <c r="K316" s="71">
        <v>26.800952219832499</v>
      </c>
      <c r="L316" s="72">
        <v>27.947696991438701</v>
      </c>
      <c r="M316" s="71">
        <v>29.956332607558998</v>
      </c>
      <c r="N316" s="216">
        <v>32.007286000000001</v>
      </c>
      <c r="O316" s="71">
        <v>29.242614</v>
      </c>
      <c r="P316" s="72"/>
    </row>
    <row r="317" spans="1:16">
      <c r="A317" s="295"/>
      <c r="B317" s="289"/>
      <c r="C317" s="296"/>
      <c r="D317" s="66" t="s">
        <v>417</v>
      </c>
      <c r="E317" t="s">
        <v>539</v>
      </c>
      <c r="G317" t="s">
        <v>62</v>
      </c>
      <c r="H317" s="65">
        <v>44561</v>
      </c>
      <c r="K317" s="71">
        <v>38.338929711799999</v>
      </c>
      <c r="L317" s="72">
        <v>38.489939228899999</v>
      </c>
      <c r="M317" s="71">
        <v>39.794065703999998</v>
      </c>
      <c r="N317" s="216">
        <v>41.56</v>
      </c>
      <c r="O317" s="71">
        <v>32.669999999999987</v>
      </c>
      <c r="P317" s="72"/>
    </row>
    <row r="318" spans="1:16">
      <c r="A318" s="295"/>
      <c r="B318" s="293"/>
      <c r="C318" s="296"/>
      <c r="D318" s="66" t="s">
        <v>418</v>
      </c>
      <c r="H318" s="65"/>
      <c r="K318" s="71"/>
      <c r="L318" s="72"/>
      <c r="M318" s="71"/>
      <c r="N318" s="216"/>
      <c r="O318" s="71"/>
      <c r="P318" s="72"/>
    </row>
    <row r="319" spans="1:16">
      <c r="A319" s="295" t="s">
        <v>115</v>
      </c>
      <c r="B319" s="292" t="s">
        <v>116</v>
      </c>
      <c r="C319" s="296" t="s">
        <v>117</v>
      </c>
      <c r="D319" s="66" t="s">
        <v>575</v>
      </c>
      <c r="H319" s="65"/>
      <c r="I319" s="90">
        <v>2005</v>
      </c>
      <c r="K319" s="71"/>
      <c r="L319" s="72"/>
      <c r="M319" s="71"/>
      <c r="N319" s="216"/>
      <c r="O319" s="71"/>
      <c r="P319" s="72"/>
    </row>
    <row r="320" spans="1:16">
      <c r="A320" s="295"/>
      <c r="B320" s="289"/>
      <c r="C320" s="296"/>
      <c r="D320" s="66" t="s">
        <v>411</v>
      </c>
      <c r="E320" t="s">
        <v>539</v>
      </c>
      <c r="G320" t="s">
        <v>428</v>
      </c>
      <c r="H320" s="65">
        <v>44888</v>
      </c>
      <c r="I320" s="90">
        <v>38000000</v>
      </c>
      <c r="K320" s="71"/>
      <c r="L320" s="72"/>
      <c r="M320" s="71"/>
      <c r="N320" s="216"/>
      <c r="O320" s="71"/>
      <c r="P320" s="72">
        <v>26500000</v>
      </c>
    </row>
    <row r="321" spans="1:16">
      <c r="A321" s="295"/>
      <c r="B321" s="289"/>
      <c r="C321" s="296"/>
      <c r="D321" s="66" t="s">
        <v>412</v>
      </c>
      <c r="E321" t="s">
        <v>539</v>
      </c>
      <c r="G321" t="s">
        <v>428</v>
      </c>
      <c r="H321" s="65">
        <v>44888</v>
      </c>
      <c r="I321" s="90">
        <v>251000</v>
      </c>
      <c r="K321" s="71"/>
      <c r="L321" s="72"/>
      <c r="M321" s="71"/>
      <c r="N321" s="216"/>
      <c r="O321" s="71"/>
      <c r="P321" s="72">
        <v>188000</v>
      </c>
    </row>
    <row r="322" spans="1:16">
      <c r="A322" s="295"/>
      <c r="B322" s="289"/>
      <c r="C322" s="296"/>
      <c r="D322" s="66" t="s">
        <v>415</v>
      </c>
      <c r="E322" t="s">
        <v>539</v>
      </c>
      <c r="G322" t="s">
        <v>428</v>
      </c>
      <c r="H322" s="65">
        <v>44888</v>
      </c>
      <c r="I322" s="90">
        <v>3400000</v>
      </c>
      <c r="K322" s="71"/>
      <c r="L322" s="72"/>
      <c r="M322" s="71"/>
      <c r="N322" s="216"/>
      <c r="O322" s="71"/>
      <c r="P322" s="72">
        <v>2200000</v>
      </c>
    </row>
    <row r="323" spans="1:16">
      <c r="A323" s="295"/>
      <c r="B323" s="289"/>
      <c r="C323" s="296"/>
      <c r="D323" s="66" t="s">
        <v>411</v>
      </c>
      <c r="E323" t="s">
        <v>540</v>
      </c>
      <c r="G323" t="s">
        <v>428</v>
      </c>
      <c r="H323" s="65">
        <v>44888</v>
      </c>
      <c r="K323" s="71"/>
      <c r="L323" s="72"/>
      <c r="M323" s="71"/>
      <c r="N323" s="216"/>
      <c r="O323" s="71"/>
      <c r="P323" s="72">
        <v>770000</v>
      </c>
    </row>
    <row r="324" spans="1:16">
      <c r="A324" s="295"/>
      <c r="B324" s="289"/>
      <c r="C324" s="296"/>
      <c r="D324" s="66" t="s">
        <v>412</v>
      </c>
      <c r="E324" t="s">
        <v>540</v>
      </c>
      <c r="G324" t="s">
        <v>428</v>
      </c>
      <c r="H324" s="65">
        <v>44888</v>
      </c>
      <c r="K324" s="71"/>
      <c r="L324" s="72"/>
      <c r="M324" s="71"/>
      <c r="N324" s="216"/>
      <c r="O324" s="71"/>
      <c r="P324" s="72">
        <v>100000</v>
      </c>
    </row>
    <row r="325" spans="1:16">
      <c r="A325" s="295"/>
      <c r="B325" s="289"/>
      <c r="C325" s="296"/>
      <c r="D325" s="66" t="s">
        <v>415</v>
      </c>
      <c r="E325" t="s">
        <v>540</v>
      </c>
      <c r="G325" t="s">
        <v>428</v>
      </c>
      <c r="H325" s="65">
        <v>44888</v>
      </c>
      <c r="K325" s="71"/>
      <c r="L325" s="72"/>
      <c r="M325" s="71"/>
      <c r="N325" s="216"/>
      <c r="O325" s="71"/>
      <c r="P325" s="72">
        <v>12500000</v>
      </c>
    </row>
    <row r="326" spans="1:16">
      <c r="A326" s="295"/>
      <c r="B326" s="289"/>
      <c r="C326" s="296"/>
      <c r="D326" s="66" t="s">
        <v>411</v>
      </c>
      <c r="E326" t="s">
        <v>470</v>
      </c>
      <c r="G326" t="s">
        <v>428</v>
      </c>
      <c r="H326" s="65">
        <v>44888</v>
      </c>
      <c r="I326" s="90" t="s">
        <v>970</v>
      </c>
      <c r="K326" s="71"/>
      <c r="L326" s="72"/>
      <c r="M326" s="71"/>
      <c r="N326" s="216"/>
      <c r="O326" s="71"/>
      <c r="P326" s="72">
        <v>711000</v>
      </c>
    </row>
    <row r="327" spans="1:16">
      <c r="A327" s="295"/>
      <c r="B327" s="289"/>
      <c r="C327" s="296"/>
      <c r="D327" s="66" t="s">
        <v>449</v>
      </c>
      <c r="E327" t="s">
        <v>1075</v>
      </c>
      <c r="G327" t="s">
        <v>79</v>
      </c>
      <c r="H327" s="65">
        <v>44888</v>
      </c>
      <c r="I327" s="90">
        <v>41764875</v>
      </c>
      <c r="K327" s="71"/>
      <c r="L327" s="72"/>
      <c r="M327" s="71"/>
      <c r="N327" s="216"/>
      <c r="O327" s="71">
        <v>18355668</v>
      </c>
      <c r="P327" s="72">
        <v>24623785</v>
      </c>
    </row>
    <row r="328" spans="1:16">
      <c r="A328" s="295"/>
      <c r="B328" s="289"/>
      <c r="C328" s="296"/>
      <c r="D328" s="66" t="s">
        <v>449</v>
      </c>
      <c r="E328" t="s">
        <v>507</v>
      </c>
      <c r="G328" t="s">
        <v>79</v>
      </c>
      <c r="H328" s="65">
        <v>44888</v>
      </c>
      <c r="I328" s="90">
        <v>1033086</v>
      </c>
      <c r="K328" s="71"/>
      <c r="L328" s="72"/>
      <c r="M328" s="71"/>
      <c r="N328" s="216"/>
      <c r="O328" s="71">
        <v>3949860</v>
      </c>
      <c r="P328" s="72">
        <v>2604706</v>
      </c>
    </row>
    <row r="329" spans="1:16">
      <c r="A329" s="295"/>
      <c r="B329" s="289"/>
      <c r="C329" s="296"/>
      <c r="D329" s="66" t="s">
        <v>449</v>
      </c>
      <c r="E329" t="s">
        <v>508</v>
      </c>
      <c r="G329" t="s">
        <v>79</v>
      </c>
      <c r="H329" s="65">
        <v>44888</v>
      </c>
      <c r="I329" s="90">
        <v>8753555</v>
      </c>
      <c r="K329" s="71"/>
      <c r="L329" s="72"/>
      <c r="M329" s="71"/>
      <c r="N329" s="216"/>
      <c r="O329" s="71">
        <v>5941638</v>
      </c>
      <c r="P329" s="72">
        <v>9222235</v>
      </c>
    </row>
    <row r="330" spans="1:16">
      <c r="A330" s="295"/>
      <c r="B330" s="289"/>
      <c r="C330" s="296"/>
      <c r="D330" s="66" t="s">
        <v>449</v>
      </c>
      <c r="E330" t="s">
        <v>509</v>
      </c>
      <c r="G330" t="s">
        <v>79</v>
      </c>
      <c r="H330" s="65">
        <v>44888</v>
      </c>
      <c r="I330" s="90">
        <v>7800</v>
      </c>
      <c r="K330" s="71"/>
      <c r="L330" s="72"/>
      <c r="M330" s="71"/>
      <c r="N330" s="216"/>
      <c r="O330" s="71">
        <v>67895</v>
      </c>
      <c r="P330" s="72">
        <v>74697</v>
      </c>
    </row>
    <row r="331" spans="1:16">
      <c r="A331" s="295"/>
      <c r="B331" s="289"/>
      <c r="C331" s="296"/>
      <c r="D331" s="66" t="s">
        <v>449</v>
      </c>
      <c r="E331" t="s">
        <v>511</v>
      </c>
      <c r="G331" t="s">
        <v>79</v>
      </c>
      <c r="H331" s="65">
        <v>44888</v>
      </c>
      <c r="I331" s="90">
        <v>551685</v>
      </c>
      <c r="K331" s="71"/>
      <c r="L331" s="72"/>
      <c r="M331" s="71"/>
      <c r="N331" s="216"/>
      <c r="O331" s="71">
        <v>4303863</v>
      </c>
      <c r="P331" s="72">
        <v>3970789</v>
      </c>
    </row>
    <row r="332" spans="1:16">
      <c r="A332" s="295"/>
      <c r="B332" s="289"/>
      <c r="C332" s="296"/>
      <c r="D332" s="66" t="s">
        <v>449</v>
      </c>
      <c r="E332" t="s">
        <v>512</v>
      </c>
      <c r="G332" t="s">
        <v>79</v>
      </c>
      <c r="H332" s="65">
        <v>44888</v>
      </c>
      <c r="K332" s="71"/>
      <c r="L332" s="72"/>
      <c r="M332" s="71"/>
      <c r="N332" s="216"/>
      <c r="O332" s="71">
        <v>489747</v>
      </c>
      <c r="P332" s="72">
        <v>460728</v>
      </c>
    </row>
    <row r="333" spans="1:16">
      <c r="A333" s="295"/>
      <c r="B333" s="289"/>
      <c r="C333" s="296"/>
      <c r="D333" s="66" t="s">
        <v>449</v>
      </c>
      <c r="E333" t="s">
        <v>513</v>
      </c>
      <c r="G333" t="s">
        <v>79</v>
      </c>
      <c r="H333" s="65">
        <v>44888</v>
      </c>
      <c r="K333" s="71"/>
      <c r="L333" s="72"/>
      <c r="M333" s="71"/>
      <c r="N333" s="216"/>
      <c r="O333" s="71">
        <v>0</v>
      </c>
      <c r="P333" s="72"/>
    </row>
    <row r="334" spans="1:16">
      <c r="A334" s="295"/>
      <c r="B334" s="289"/>
      <c r="C334" s="296"/>
      <c r="D334" s="66" t="s">
        <v>449</v>
      </c>
      <c r="E334" t="s">
        <v>514</v>
      </c>
      <c r="G334" t="s">
        <v>79</v>
      </c>
      <c r="H334" s="65">
        <v>44888</v>
      </c>
      <c r="K334" s="71"/>
      <c r="L334" s="72"/>
      <c r="M334" s="71"/>
      <c r="N334" s="216"/>
      <c r="O334" s="71">
        <v>25046</v>
      </c>
      <c r="P334" s="72">
        <v>25087</v>
      </c>
    </row>
    <row r="335" spans="1:16">
      <c r="A335" s="295"/>
      <c r="B335" s="289"/>
      <c r="C335" s="296"/>
      <c r="D335" s="66" t="s">
        <v>449</v>
      </c>
      <c r="E335" t="s">
        <v>515</v>
      </c>
      <c r="G335" t="s">
        <v>79</v>
      </c>
      <c r="H335" s="65">
        <v>44888</v>
      </c>
      <c r="K335" s="71"/>
      <c r="L335" s="72"/>
      <c r="M335" s="71"/>
      <c r="N335" s="216"/>
      <c r="O335" s="71">
        <v>91046</v>
      </c>
      <c r="P335" s="72">
        <v>66016</v>
      </c>
    </row>
    <row r="336" spans="1:16">
      <c r="A336" s="295"/>
      <c r="B336" s="289"/>
      <c r="C336" s="296"/>
      <c r="D336" s="66" t="s">
        <v>449</v>
      </c>
      <c r="E336" t="s">
        <v>516</v>
      </c>
      <c r="G336" t="s">
        <v>79</v>
      </c>
      <c r="H336" s="65">
        <v>44888</v>
      </c>
      <c r="K336" s="71"/>
      <c r="L336" s="72"/>
      <c r="M336" s="71"/>
      <c r="N336" s="216"/>
      <c r="O336" s="71">
        <v>3698024</v>
      </c>
      <c r="P336" s="72">
        <v>3418958</v>
      </c>
    </row>
    <row r="337" spans="1:16">
      <c r="A337" s="295"/>
      <c r="B337" s="289"/>
      <c r="C337" s="296"/>
      <c r="D337" s="66" t="s">
        <v>417</v>
      </c>
      <c r="E337" t="s">
        <v>539</v>
      </c>
      <c r="G337" t="s">
        <v>79</v>
      </c>
      <c r="H337" s="65">
        <v>44888</v>
      </c>
      <c r="K337" s="71"/>
      <c r="L337" s="72"/>
      <c r="M337" s="71"/>
      <c r="N337" s="216"/>
      <c r="O337" s="71">
        <f>SUM(O327:O336)</f>
        <v>36922787</v>
      </c>
      <c r="P337" s="72">
        <f>SUM(P327:P336)</f>
        <v>44467001</v>
      </c>
    </row>
    <row r="338" spans="1:16">
      <c r="A338" s="295"/>
      <c r="B338" s="289"/>
      <c r="C338" s="296"/>
      <c r="D338" s="66" t="s">
        <v>417</v>
      </c>
      <c r="E338" t="s">
        <v>540</v>
      </c>
      <c r="G338" t="s">
        <v>1076</v>
      </c>
      <c r="H338" s="65">
        <v>44888</v>
      </c>
      <c r="I338" s="90" t="s">
        <v>970</v>
      </c>
      <c r="K338" s="71"/>
      <c r="L338" s="72"/>
      <c r="M338" s="71"/>
      <c r="N338" s="216"/>
      <c r="O338" s="71">
        <v>304338173</v>
      </c>
      <c r="P338" s="72">
        <v>288675</v>
      </c>
    </row>
    <row r="339" spans="1:16">
      <c r="A339" s="295"/>
      <c r="B339" s="289"/>
      <c r="C339" s="296"/>
      <c r="D339" s="66" t="s">
        <v>417</v>
      </c>
      <c r="E339" t="s">
        <v>540</v>
      </c>
      <c r="G339" t="s">
        <v>617</v>
      </c>
      <c r="H339" s="65">
        <v>44888</v>
      </c>
      <c r="K339" s="71"/>
      <c r="L339" s="72"/>
      <c r="M339" s="71"/>
      <c r="N339" s="216">
        <v>279687</v>
      </c>
      <c r="O339" s="71">
        <v>279687</v>
      </c>
      <c r="P339" s="72">
        <v>265292</v>
      </c>
    </row>
    <row r="340" spans="1:16">
      <c r="A340" s="295"/>
      <c r="B340" s="293"/>
      <c r="C340" s="296"/>
      <c r="D340" s="66" t="s">
        <v>418</v>
      </c>
      <c r="H340" s="65"/>
      <c r="K340" s="71"/>
      <c r="L340" s="72"/>
      <c r="M340" s="71"/>
      <c r="N340" s="216"/>
      <c r="O340" s="71"/>
      <c r="P340" s="74" t="s">
        <v>1074</v>
      </c>
    </row>
    <row r="341" spans="1:16">
      <c r="A341" s="295" t="s">
        <v>115</v>
      </c>
      <c r="B341" s="292" t="s">
        <v>116</v>
      </c>
      <c r="C341" s="296" t="s">
        <v>117</v>
      </c>
      <c r="D341" s="66" t="s">
        <v>575</v>
      </c>
      <c r="H341" s="65"/>
      <c r="I341" s="90">
        <v>2005</v>
      </c>
      <c r="K341" s="71"/>
      <c r="L341" s="72"/>
      <c r="M341" s="71"/>
      <c r="N341" s="216"/>
      <c r="O341" s="71"/>
      <c r="P341" s="72"/>
    </row>
    <row r="342" spans="1:16">
      <c r="A342" s="295"/>
      <c r="B342" s="289"/>
      <c r="C342" s="296"/>
      <c r="D342" s="66" t="s">
        <v>411</v>
      </c>
      <c r="G342" t="s">
        <v>429</v>
      </c>
      <c r="H342" s="65">
        <v>44888</v>
      </c>
      <c r="K342" s="71"/>
      <c r="L342" s="72"/>
      <c r="M342" s="71"/>
      <c r="N342" s="216"/>
      <c r="O342" s="71"/>
      <c r="P342" s="72"/>
    </row>
    <row r="343" spans="1:16">
      <c r="A343" s="295"/>
      <c r="B343" s="289"/>
      <c r="C343" s="296"/>
      <c r="D343" s="66" t="s">
        <v>412</v>
      </c>
      <c r="E343" t="s">
        <v>413</v>
      </c>
      <c r="G343" t="s">
        <v>429</v>
      </c>
      <c r="H343" s="65">
        <v>44888</v>
      </c>
      <c r="K343" s="71"/>
      <c r="L343" s="72"/>
      <c r="M343" s="71"/>
      <c r="N343" s="216"/>
      <c r="O343" s="71"/>
      <c r="P343" s="72"/>
    </row>
    <row r="344" spans="1:16">
      <c r="A344" s="295"/>
      <c r="B344" s="289"/>
      <c r="C344" s="296"/>
      <c r="D344" s="66" t="s">
        <v>414</v>
      </c>
      <c r="E344" t="s">
        <v>413</v>
      </c>
      <c r="G344" t="s">
        <v>429</v>
      </c>
      <c r="H344" s="65">
        <v>44888</v>
      </c>
      <c r="K344" s="71"/>
      <c r="L344" s="72"/>
      <c r="M344" s="71"/>
      <c r="N344" s="216"/>
      <c r="O344" s="71"/>
      <c r="P344" s="72"/>
    </row>
    <row r="345" spans="1:16">
      <c r="A345" s="295"/>
      <c r="B345" s="289"/>
      <c r="C345" s="296"/>
      <c r="D345" s="66" t="s">
        <v>415</v>
      </c>
      <c r="E345" t="s">
        <v>416</v>
      </c>
      <c r="G345" t="s">
        <v>429</v>
      </c>
      <c r="H345" s="65">
        <v>44888</v>
      </c>
      <c r="K345" s="71"/>
      <c r="L345" s="72"/>
      <c r="M345" s="71"/>
      <c r="N345" s="216"/>
      <c r="O345" s="71"/>
      <c r="P345" s="72"/>
    </row>
    <row r="346" spans="1:16">
      <c r="A346" s="295"/>
      <c r="B346" s="289"/>
      <c r="C346" s="296"/>
      <c r="D346" s="66" t="s">
        <v>417</v>
      </c>
      <c r="E346" t="s">
        <v>449</v>
      </c>
      <c r="F346" t="s">
        <v>576</v>
      </c>
      <c r="G346" t="s">
        <v>79</v>
      </c>
      <c r="H346" s="65">
        <v>44888</v>
      </c>
      <c r="I346" s="90">
        <f>SUM(I347:I350)+I351+SUM(I357)</f>
        <v>52111001</v>
      </c>
      <c r="K346" s="71"/>
      <c r="L346" s="72"/>
      <c r="M346" s="71"/>
      <c r="N346" s="216"/>
      <c r="O346" s="86">
        <f>SUM(O347:O350)+O351+SUM(O357)</f>
        <v>32618924</v>
      </c>
      <c r="P346" s="85">
        <f>SUM(P347:P350)+P351+SUM(P357)</f>
        <v>40496212</v>
      </c>
    </row>
    <row r="347" spans="1:16">
      <c r="A347" s="295"/>
      <c r="B347" s="289"/>
      <c r="C347" s="296"/>
      <c r="D347" s="66" t="s">
        <v>449</v>
      </c>
      <c r="E347" s="97" t="s">
        <v>506</v>
      </c>
      <c r="F347" t="s">
        <v>576</v>
      </c>
      <c r="G347" t="s">
        <v>79</v>
      </c>
      <c r="H347" s="65">
        <v>44888</v>
      </c>
      <c r="I347" s="90">
        <v>41764875</v>
      </c>
      <c r="K347" s="71"/>
      <c r="L347" s="72"/>
      <c r="M347" s="71"/>
      <c r="N347" s="216"/>
      <c r="O347" s="86">
        <v>18355668</v>
      </c>
      <c r="P347" s="85">
        <v>24623785</v>
      </c>
    </row>
    <row r="348" spans="1:16">
      <c r="A348" s="295"/>
      <c r="B348" s="289"/>
      <c r="C348" s="296"/>
      <c r="D348" s="66" t="s">
        <v>449</v>
      </c>
      <c r="E348" s="97" t="s">
        <v>507</v>
      </c>
      <c r="F348" t="s">
        <v>576</v>
      </c>
      <c r="G348" t="s">
        <v>79</v>
      </c>
      <c r="H348" s="65">
        <v>44888</v>
      </c>
      <c r="I348" s="90">
        <v>1033086</v>
      </c>
      <c r="K348" s="71"/>
      <c r="L348" s="72"/>
      <c r="M348" s="71"/>
      <c r="N348" s="216"/>
      <c r="O348" s="86">
        <v>3949860</v>
      </c>
      <c r="P348" s="85">
        <v>2604706</v>
      </c>
    </row>
    <row r="349" spans="1:16">
      <c r="A349" s="295"/>
      <c r="B349" s="289"/>
      <c r="C349" s="296"/>
      <c r="D349" s="66" t="s">
        <v>449</v>
      </c>
      <c r="E349" s="97" t="s">
        <v>508</v>
      </c>
      <c r="F349" t="s">
        <v>576</v>
      </c>
      <c r="G349" t="s">
        <v>79</v>
      </c>
      <c r="H349" s="65">
        <v>44888</v>
      </c>
      <c r="I349" s="90">
        <v>8753555</v>
      </c>
      <c r="K349" s="71"/>
      <c r="L349" s="72"/>
      <c r="M349" s="71"/>
      <c r="N349" s="216"/>
      <c r="O349" s="86">
        <v>5941638</v>
      </c>
      <c r="P349" s="85">
        <v>9222235</v>
      </c>
    </row>
    <row r="350" spans="1:16">
      <c r="A350" s="295"/>
      <c r="B350" s="289"/>
      <c r="C350" s="296"/>
      <c r="D350" s="66" t="s">
        <v>449</v>
      </c>
      <c r="E350" s="97" t="s">
        <v>509</v>
      </c>
      <c r="F350" t="s">
        <v>576</v>
      </c>
      <c r="G350" t="s">
        <v>79</v>
      </c>
      <c r="H350" s="65">
        <v>44888</v>
      </c>
      <c r="I350" s="90">
        <v>7800</v>
      </c>
      <c r="K350" s="71"/>
      <c r="L350" s="72"/>
      <c r="M350" s="71"/>
      <c r="N350" s="216"/>
      <c r="O350" s="86">
        <v>67895</v>
      </c>
      <c r="P350" s="85">
        <v>74697</v>
      </c>
    </row>
    <row r="351" spans="1:16">
      <c r="A351" s="295"/>
      <c r="B351" s="289"/>
      <c r="C351" s="296"/>
      <c r="D351" s="66" t="s">
        <v>449</v>
      </c>
      <c r="E351" s="97" t="s">
        <v>510</v>
      </c>
      <c r="F351" t="s">
        <v>576</v>
      </c>
      <c r="G351" t="s">
        <v>79</v>
      </c>
      <c r="H351" s="65">
        <v>44888</v>
      </c>
      <c r="I351" s="90">
        <v>551685</v>
      </c>
      <c r="K351" s="71"/>
      <c r="L351" s="72"/>
      <c r="M351" s="71"/>
      <c r="N351" s="216"/>
      <c r="O351" s="86">
        <f>SUM(O352:O356)</f>
        <v>4303863</v>
      </c>
      <c r="P351" s="72">
        <f>SUM(P352:P356)</f>
        <v>3970789</v>
      </c>
    </row>
    <row r="352" spans="1:16">
      <c r="A352" s="295"/>
      <c r="B352" s="289"/>
      <c r="C352" s="296"/>
      <c r="D352" s="66" t="s">
        <v>449</v>
      </c>
      <c r="E352" s="98" t="s">
        <v>511</v>
      </c>
      <c r="F352" t="s">
        <v>576</v>
      </c>
      <c r="G352" t="s">
        <v>79</v>
      </c>
      <c r="H352" s="65">
        <v>44888</v>
      </c>
      <c r="K352" s="71"/>
      <c r="L352" s="72"/>
      <c r="M352" s="71"/>
      <c r="N352" s="216"/>
      <c r="O352" s="86">
        <v>489747</v>
      </c>
      <c r="P352" s="85">
        <v>460728</v>
      </c>
    </row>
    <row r="353" spans="1:16">
      <c r="A353" s="295"/>
      <c r="B353" s="289"/>
      <c r="C353" s="296"/>
      <c r="D353" s="66" t="s">
        <v>449</v>
      </c>
      <c r="E353" s="98" t="s">
        <v>512</v>
      </c>
      <c r="F353" t="s">
        <v>576</v>
      </c>
      <c r="G353" t="s">
        <v>79</v>
      </c>
      <c r="H353" s="65">
        <v>44888</v>
      </c>
      <c r="K353" s="71"/>
      <c r="L353" s="72"/>
      <c r="M353" s="71"/>
      <c r="N353" s="216"/>
      <c r="O353" s="71">
        <v>0</v>
      </c>
      <c r="P353" s="72" t="s">
        <v>586</v>
      </c>
    </row>
    <row r="354" spans="1:16">
      <c r="A354" s="295"/>
      <c r="B354" s="289"/>
      <c r="C354" s="296"/>
      <c r="D354" s="66" t="s">
        <v>449</v>
      </c>
      <c r="E354" s="98" t="s">
        <v>513</v>
      </c>
      <c r="F354" t="s">
        <v>576</v>
      </c>
      <c r="G354" t="s">
        <v>79</v>
      </c>
      <c r="H354" s="65">
        <v>44888</v>
      </c>
      <c r="K354" s="71"/>
      <c r="L354" s="72"/>
      <c r="M354" s="71"/>
      <c r="N354" s="216"/>
      <c r="O354" s="86">
        <v>25046</v>
      </c>
      <c r="P354" s="85">
        <v>25087</v>
      </c>
    </row>
    <row r="355" spans="1:16">
      <c r="A355" s="295"/>
      <c r="B355" s="289"/>
      <c r="C355" s="296"/>
      <c r="D355" s="66" t="s">
        <v>449</v>
      </c>
      <c r="E355" s="98" t="s">
        <v>514</v>
      </c>
      <c r="F355" t="s">
        <v>576</v>
      </c>
      <c r="G355" t="s">
        <v>79</v>
      </c>
      <c r="H355" s="65">
        <v>44888</v>
      </c>
      <c r="K355" s="71"/>
      <c r="L355" s="72"/>
      <c r="M355" s="71"/>
      <c r="N355" s="216"/>
      <c r="O355" s="86">
        <v>91046</v>
      </c>
      <c r="P355" s="85">
        <v>66016</v>
      </c>
    </row>
    <row r="356" spans="1:16">
      <c r="A356" s="295"/>
      <c r="B356" s="289"/>
      <c r="C356" s="296"/>
      <c r="D356" s="66" t="s">
        <v>449</v>
      </c>
      <c r="E356" s="98" t="s">
        <v>515</v>
      </c>
      <c r="F356" t="s">
        <v>576</v>
      </c>
      <c r="G356" t="s">
        <v>79</v>
      </c>
      <c r="H356" s="65">
        <v>44888</v>
      </c>
      <c r="K356" s="71"/>
      <c r="L356" s="72"/>
      <c r="M356" s="71"/>
      <c r="N356" s="216"/>
      <c r="O356" s="86">
        <v>3698024</v>
      </c>
      <c r="P356" s="85">
        <v>3418958</v>
      </c>
    </row>
    <row r="357" spans="1:16">
      <c r="A357" s="295"/>
      <c r="B357" s="289"/>
      <c r="C357" s="296"/>
      <c r="D357" s="66" t="s">
        <v>449</v>
      </c>
      <c r="E357" s="97" t="s">
        <v>516</v>
      </c>
      <c r="F357" t="s">
        <v>576</v>
      </c>
      <c r="G357" t="s">
        <v>79</v>
      </c>
      <c r="H357" s="65">
        <v>44888</v>
      </c>
      <c r="K357" s="71"/>
      <c r="L357" s="72"/>
      <c r="M357" s="71"/>
      <c r="N357" s="216"/>
      <c r="O357" s="71">
        <v>0</v>
      </c>
      <c r="P357" s="72" t="s">
        <v>586</v>
      </c>
    </row>
    <row r="358" spans="1:16">
      <c r="A358" s="295"/>
      <c r="B358" s="289"/>
      <c r="C358" s="296"/>
      <c r="D358" s="66" t="s">
        <v>473</v>
      </c>
      <c r="H358" s="65">
        <v>44888</v>
      </c>
      <c r="K358" s="71"/>
      <c r="L358" s="72"/>
      <c r="M358" s="71"/>
      <c r="N358" s="216"/>
      <c r="O358" s="71"/>
      <c r="P358" s="74" t="s">
        <v>591</v>
      </c>
    </row>
    <row r="359" spans="1:16">
      <c r="A359" s="295"/>
      <c r="B359" s="293"/>
      <c r="C359" s="296"/>
      <c r="D359" s="66" t="s">
        <v>418</v>
      </c>
      <c r="H359" s="65">
        <v>44888</v>
      </c>
      <c r="K359" s="71"/>
      <c r="L359" s="72"/>
      <c r="M359" s="71"/>
      <c r="N359" s="216"/>
      <c r="O359" s="71"/>
      <c r="P359" s="74" t="s">
        <v>590</v>
      </c>
    </row>
    <row r="360" spans="1:16">
      <c r="A360" s="295" t="s">
        <v>121</v>
      </c>
      <c r="B360" s="292" t="s">
        <v>122</v>
      </c>
      <c r="C360" s="296" t="s">
        <v>123</v>
      </c>
      <c r="D360" s="66" t="s">
        <v>411</v>
      </c>
      <c r="G360" t="s">
        <v>429</v>
      </c>
      <c r="H360" s="65">
        <v>44561</v>
      </c>
      <c r="K360" s="71"/>
      <c r="L360" s="72"/>
      <c r="M360" s="71"/>
      <c r="N360" s="216">
        <v>83.573620116699004</v>
      </c>
      <c r="O360" s="71">
        <v>74.771237187252794</v>
      </c>
      <c r="P360" s="72"/>
    </row>
    <row r="361" spans="1:16">
      <c r="A361" s="295"/>
      <c r="B361" s="289"/>
      <c r="C361" s="296"/>
      <c r="D361" s="66" t="s">
        <v>412</v>
      </c>
      <c r="E361" t="s">
        <v>413</v>
      </c>
      <c r="G361" t="s">
        <v>429</v>
      </c>
      <c r="H361" s="65">
        <v>44561</v>
      </c>
      <c r="K361" s="71"/>
      <c r="L361" s="72"/>
      <c r="M361" s="71"/>
      <c r="N361" s="216">
        <v>0</v>
      </c>
      <c r="O361" s="71">
        <v>0</v>
      </c>
      <c r="P361" s="72"/>
    </row>
    <row r="362" spans="1:16">
      <c r="A362" s="295"/>
      <c r="B362" s="289"/>
      <c r="C362" s="296"/>
      <c r="D362" s="66" t="s">
        <v>414</v>
      </c>
      <c r="E362" t="s">
        <v>413</v>
      </c>
      <c r="G362" t="s">
        <v>429</v>
      </c>
      <c r="H362" s="65">
        <v>44561</v>
      </c>
      <c r="K362" s="71"/>
      <c r="L362" s="72"/>
      <c r="M362" s="71"/>
      <c r="N362" s="216">
        <v>83.573620116699004</v>
      </c>
      <c r="O362" s="71">
        <v>74.771237187252794</v>
      </c>
      <c r="P362" s="72"/>
    </row>
    <row r="363" spans="1:16">
      <c r="A363" s="295"/>
      <c r="B363" s="289"/>
      <c r="C363" s="296"/>
      <c r="D363" s="66" t="s">
        <v>417</v>
      </c>
      <c r="G363" t="s">
        <v>62</v>
      </c>
      <c r="H363" s="65">
        <v>44561</v>
      </c>
      <c r="K363" s="71"/>
      <c r="L363" s="72"/>
      <c r="M363" s="71"/>
      <c r="N363" s="216">
        <v>206.167169888941</v>
      </c>
      <c r="O363" s="71">
        <v>199.53951726531801</v>
      </c>
      <c r="P363" s="72"/>
    </row>
    <row r="364" spans="1:16">
      <c r="A364" s="295"/>
      <c r="B364" s="293"/>
      <c r="C364" s="296"/>
      <c r="D364" s="66" t="s">
        <v>418</v>
      </c>
      <c r="H364" s="65"/>
      <c r="K364" s="71"/>
      <c r="L364" s="72"/>
      <c r="M364" s="71"/>
      <c r="N364" s="216"/>
      <c r="O364" s="71"/>
      <c r="P364" s="72"/>
    </row>
    <row r="365" spans="1:16">
      <c r="A365" s="295" t="s">
        <v>121</v>
      </c>
      <c r="B365" s="292" t="s">
        <v>122</v>
      </c>
      <c r="C365" s="296" t="s">
        <v>123</v>
      </c>
      <c r="D365" s="66" t="s">
        <v>575</v>
      </c>
      <c r="H365" s="65">
        <v>44838</v>
      </c>
      <c r="I365" s="90">
        <v>2005</v>
      </c>
      <c r="K365" s="71"/>
      <c r="L365" s="72"/>
      <c r="M365" s="71"/>
      <c r="N365" s="216"/>
      <c r="O365" s="71"/>
      <c r="P365" s="72"/>
    </row>
    <row r="366" spans="1:16">
      <c r="A366" s="295"/>
      <c r="B366" s="289"/>
      <c r="C366" s="296"/>
      <c r="D366" s="66" t="s">
        <v>411</v>
      </c>
      <c r="E366" t="s">
        <v>449</v>
      </c>
      <c r="G366" t="s">
        <v>427</v>
      </c>
      <c r="H366" s="65">
        <v>44838</v>
      </c>
      <c r="I366" s="90">
        <v>139000</v>
      </c>
      <c r="K366" s="71"/>
      <c r="L366" s="72"/>
      <c r="M366" s="71"/>
      <c r="N366" s="216">
        <v>84000</v>
      </c>
      <c r="O366" s="71">
        <v>74000</v>
      </c>
      <c r="P366" s="72">
        <v>77406</v>
      </c>
    </row>
    <row r="367" spans="1:16">
      <c r="A367" s="295"/>
      <c r="B367" s="289"/>
      <c r="C367" s="296"/>
      <c r="D367" s="66" t="s">
        <v>411</v>
      </c>
      <c r="E367" t="s">
        <v>493</v>
      </c>
      <c r="G367" t="s">
        <v>427</v>
      </c>
      <c r="H367" s="65">
        <v>44838</v>
      </c>
      <c r="K367" s="71"/>
      <c r="L367" s="72"/>
      <c r="M367" s="71">
        <v>160</v>
      </c>
      <c r="N367" s="216">
        <v>308</v>
      </c>
      <c r="O367" s="71">
        <v>327</v>
      </c>
      <c r="P367" s="72">
        <v>322</v>
      </c>
    </row>
    <row r="368" spans="1:16">
      <c r="A368" s="295"/>
      <c r="B368" s="289"/>
      <c r="C368" s="296"/>
      <c r="D368" s="66" t="s">
        <v>411</v>
      </c>
      <c r="E368" t="s">
        <v>453</v>
      </c>
      <c r="G368" t="s">
        <v>427</v>
      </c>
      <c r="H368" s="65">
        <v>44838</v>
      </c>
      <c r="K368" s="71"/>
      <c r="L368" s="72"/>
      <c r="M368" s="71">
        <v>305</v>
      </c>
      <c r="N368" s="216">
        <v>477</v>
      </c>
      <c r="O368" s="71">
        <v>384</v>
      </c>
      <c r="P368" s="72">
        <v>363</v>
      </c>
    </row>
    <row r="369" spans="1:16">
      <c r="A369" s="295"/>
      <c r="B369" s="289"/>
      <c r="C369" s="296"/>
      <c r="D369" s="66" t="s">
        <v>411</v>
      </c>
      <c r="E369" t="s">
        <v>621</v>
      </c>
      <c r="G369" t="s">
        <v>427</v>
      </c>
      <c r="H369" s="65">
        <v>44838</v>
      </c>
      <c r="K369" s="71"/>
      <c r="L369" s="72"/>
      <c r="M369" s="71"/>
      <c r="N369" s="216"/>
      <c r="O369" s="71"/>
      <c r="P369" s="72">
        <v>110</v>
      </c>
    </row>
    <row r="370" spans="1:16">
      <c r="A370" s="295"/>
      <c r="B370" s="289"/>
      <c r="C370" s="296"/>
      <c r="D370" s="66" t="s">
        <v>411</v>
      </c>
      <c r="E370" t="s">
        <v>622</v>
      </c>
      <c r="G370" t="s">
        <v>427</v>
      </c>
      <c r="H370" s="65">
        <v>44838</v>
      </c>
      <c r="K370" s="71"/>
      <c r="L370" s="72"/>
      <c r="M370" s="71"/>
      <c r="N370" s="216"/>
      <c r="O370" s="71"/>
      <c r="P370" s="72">
        <v>844</v>
      </c>
    </row>
    <row r="371" spans="1:16">
      <c r="A371" s="295"/>
      <c r="B371" s="289"/>
      <c r="C371" s="296"/>
      <c r="D371" s="66" t="s">
        <v>411</v>
      </c>
      <c r="E371" t="s">
        <v>623</v>
      </c>
      <c r="G371" t="s">
        <v>427</v>
      </c>
      <c r="H371" s="65">
        <v>44838</v>
      </c>
      <c r="K371" s="71"/>
      <c r="L371" s="72"/>
      <c r="M371" s="71"/>
      <c r="N371" s="216"/>
      <c r="O371" s="71"/>
      <c r="P371" s="72">
        <v>80</v>
      </c>
    </row>
    <row r="372" spans="1:16">
      <c r="A372" s="295"/>
      <c r="B372" s="289"/>
      <c r="C372" s="296"/>
      <c r="D372" s="66" t="s">
        <v>411</v>
      </c>
      <c r="E372" t="s">
        <v>624</v>
      </c>
      <c r="G372" t="s">
        <v>427</v>
      </c>
      <c r="H372" s="65">
        <v>44838</v>
      </c>
      <c r="K372" s="71"/>
      <c r="L372" s="72"/>
      <c r="M372" s="71"/>
      <c r="N372" s="216"/>
      <c r="O372" s="71"/>
      <c r="P372" s="72">
        <v>4</v>
      </c>
    </row>
    <row r="373" spans="1:16">
      <c r="A373" s="295"/>
      <c r="B373" s="289"/>
      <c r="C373" s="296"/>
      <c r="D373" s="66" t="s">
        <v>412</v>
      </c>
      <c r="E373" t="s">
        <v>517</v>
      </c>
      <c r="G373" t="s">
        <v>427</v>
      </c>
      <c r="H373" s="65">
        <v>44838</v>
      </c>
      <c r="K373" s="71"/>
      <c r="L373" s="72"/>
      <c r="M373" s="71"/>
      <c r="N373" s="216"/>
      <c r="O373" s="71"/>
      <c r="P373" s="72">
        <v>3</v>
      </c>
    </row>
    <row r="374" spans="1:16">
      <c r="A374" s="295"/>
      <c r="B374" s="289"/>
      <c r="C374" s="296"/>
      <c r="D374" s="66" t="s">
        <v>412</v>
      </c>
      <c r="E374" t="s">
        <v>625</v>
      </c>
      <c r="G374" t="s">
        <v>427</v>
      </c>
      <c r="H374" s="65">
        <v>44838</v>
      </c>
      <c r="K374" s="71"/>
      <c r="L374" s="72"/>
      <c r="M374" s="71"/>
      <c r="N374" s="216"/>
      <c r="O374" s="71"/>
      <c r="P374" s="72">
        <v>425</v>
      </c>
    </row>
    <row r="375" spans="1:16">
      <c r="A375" s="295"/>
      <c r="B375" s="289"/>
      <c r="C375" s="296"/>
      <c r="D375" s="66" t="s">
        <v>415</v>
      </c>
      <c r="E375">
        <v>1</v>
      </c>
      <c r="G375" t="s">
        <v>427</v>
      </c>
      <c r="H375" s="65">
        <v>44838</v>
      </c>
      <c r="K375" s="71"/>
      <c r="L375" s="72"/>
      <c r="M375" s="71"/>
      <c r="N375" s="216"/>
      <c r="O375" s="71"/>
      <c r="P375" s="72">
        <v>2800</v>
      </c>
    </row>
    <row r="376" spans="1:16">
      <c r="A376" s="295"/>
      <c r="B376" s="289"/>
      <c r="C376" s="296"/>
      <c r="D376" s="66" t="s">
        <v>415</v>
      </c>
      <c r="E376" t="s">
        <v>540</v>
      </c>
      <c r="F376" t="s">
        <v>626</v>
      </c>
      <c r="G376" t="s">
        <v>427</v>
      </c>
      <c r="H376" s="65">
        <v>44838</v>
      </c>
      <c r="K376" s="71"/>
      <c r="L376" s="72"/>
      <c r="M376" s="71"/>
      <c r="N376" s="216"/>
      <c r="O376" s="71"/>
      <c r="P376" s="72">
        <v>1020</v>
      </c>
    </row>
    <row r="377" spans="1:16">
      <c r="A377" s="295"/>
      <c r="B377" s="289"/>
      <c r="C377" s="296"/>
      <c r="D377" s="66" t="s">
        <v>415</v>
      </c>
      <c r="E377" t="s">
        <v>539</v>
      </c>
      <c r="F377" t="s">
        <v>627</v>
      </c>
      <c r="G377" t="s">
        <v>427</v>
      </c>
      <c r="H377" s="65">
        <v>44838</v>
      </c>
      <c r="K377" s="71"/>
      <c r="L377" s="72"/>
      <c r="M377" s="71"/>
      <c r="N377" s="216"/>
      <c r="O377" s="71"/>
      <c r="P377" s="72">
        <v>5500</v>
      </c>
    </row>
    <row r="378" spans="1:16">
      <c r="A378" s="295"/>
      <c r="B378" s="289"/>
      <c r="C378" s="296"/>
      <c r="D378" s="66" t="s">
        <v>415</v>
      </c>
      <c r="E378" t="s">
        <v>539</v>
      </c>
      <c r="F378" t="s">
        <v>628</v>
      </c>
      <c r="G378" t="s">
        <v>427</v>
      </c>
      <c r="H378" s="65">
        <v>44838</v>
      </c>
      <c r="K378" s="71"/>
      <c r="L378" s="72"/>
      <c r="M378" s="71"/>
      <c r="N378" s="216"/>
      <c r="O378" s="71"/>
      <c r="P378" s="72">
        <v>13300</v>
      </c>
    </row>
    <row r="379" spans="1:16">
      <c r="A379" s="295"/>
      <c r="B379" s="289"/>
      <c r="C379" s="296"/>
      <c r="D379" s="66" t="s">
        <v>415</v>
      </c>
      <c r="E379" t="s">
        <v>539</v>
      </c>
      <c r="F379" t="s">
        <v>629</v>
      </c>
      <c r="G379" t="s">
        <v>427</v>
      </c>
      <c r="H379" s="65">
        <v>44838</v>
      </c>
      <c r="K379" s="71"/>
      <c r="L379" s="72"/>
      <c r="M379" s="71"/>
      <c r="N379" s="216"/>
      <c r="O379" s="71"/>
      <c r="P379" s="72">
        <v>280</v>
      </c>
    </row>
    <row r="380" spans="1:16">
      <c r="A380" s="295"/>
      <c r="B380" s="289"/>
      <c r="C380" s="296"/>
      <c r="D380" s="66" t="s">
        <v>415</v>
      </c>
      <c r="E380">
        <v>5</v>
      </c>
      <c r="G380" t="s">
        <v>427</v>
      </c>
      <c r="H380" s="65">
        <v>44838</v>
      </c>
      <c r="K380" s="71"/>
      <c r="L380" s="72"/>
      <c r="M380" s="71"/>
      <c r="N380" s="216"/>
      <c r="O380" s="71"/>
      <c r="P380" s="72">
        <v>51</v>
      </c>
    </row>
    <row r="381" spans="1:16">
      <c r="A381" s="295"/>
      <c r="B381" s="289"/>
      <c r="C381" s="296"/>
      <c r="D381" s="66" t="s">
        <v>415</v>
      </c>
      <c r="E381">
        <v>6</v>
      </c>
      <c r="G381" t="s">
        <v>427</v>
      </c>
      <c r="H381" s="65">
        <v>44838</v>
      </c>
      <c r="K381" s="71"/>
      <c r="L381" s="72"/>
      <c r="M381" s="71"/>
      <c r="N381" s="216"/>
      <c r="O381" s="71"/>
      <c r="P381" s="72">
        <v>4</v>
      </c>
    </row>
    <row r="382" spans="1:16">
      <c r="A382" s="295"/>
      <c r="B382" s="289"/>
      <c r="C382" s="296"/>
      <c r="D382" s="66" t="s">
        <v>415</v>
      </c>
      <c r="E382">
        <v>7</v>
      </c>
      <c r="G382" t="s">
        <v>427</v>
      </c>
      <c r="H382" s="65">
        <v>44838</v>
      </c>
      <c r="K382" s="71"/>
      <c r="L382" s="72"/>
      <c r="M382" s="71"/>
      <c r="N382" s="216"/>
      <c r="O382" s="71"/>
      <c r="P382" s="72">
        <v>84</v>
      </c>
    </row>
    <row r="383" spans="1:16">
      <c r="A383" s="295"/>
      <c r="B383" s="289"/>
      <c r="C383" s="296"/>
      <c r="D383" s="66" t="s">
        <v>415</v>
      </c>
      <c r="E383">
        <v>10</v>
      </c>
      <c r="G383" t="s">
        <v>427</v>
      </c>
      <c r="H383" s="65">
        <v>44838</v>
      </c>
      <c r="K383" s="71"/>
      <c r="L383" s="72"/>
      <c r="M383" s="71"/>
      <c r="N383" s="216"/>
      <c r="O383" s="71"/>
      <c r="P383" s="72">
        <v>346</v>
      </c>
    </row>
    <row r="384" spans="1:16">
      <c r="A384" s="295"/>
      <c r="B384" s="289"/>
      <c r="C384" s="296"/>
      <c r="D384" s="66" t="s">
        <v>415</v>
      </c>
      <c r="E384" t="s">
        <v>540</v>
      </c>
      <c r="G384" t="s">
        <v>427</v>
      </c>
      <c r="H384" s="65">
        <v>44838</v>
      </c>
      <c r="K384" s="71"/>
      <c r="L384" s="72"/>
      <c r="M384" s="71"/>
      <c r="N384" s="216"/>
      <c r="O384" s="71"/>
      <c r="P384" s="72">
        <v>6608</v>
      </c>
    </row>
    <row r="385" spans="1:16">
      <c r="A385" s="295"/>
      <c r="B385" s="289"/>
      <c r="C385" s="296"/>
      <c r="D385" s="66" t="s">
        <v>415</v>
      </c>
      <c r="E385" t="s">
        <v>416</v>
      </c>
      <c r="G385" t="s">
        <v>427</v>
      </c>
      <c r="H385" s="65">
        <v>44838</v>
      </c>
      <c r="I385" s="90" t="s">
        <v>970</v>
      </c>
      <c r="K385" s="71"/>
      <c r="L385" s="72"/>
      <c r="M385" s="71"/>
      <c r="N385" s="216"/>
      <c r="O385" s="71"/>
      <c r="P385" s="72">
        <f>SUM(P375:P384)</f>
        <v>29993</v>
      </c>
    </row>
    <row r="386" spans="1:16">
      <c r="A386" s="295"/>
      <c r="B386" s="289"/>
      <c r="C386" s="296"/>
      <c r="D386" s="66" t="s">
        <v>417</v>
      </c>
      <c r="E386" t="s">
        <v>540</v>
      </c>
      <c r="G386" t="s">
        <v>639</v>
      </c>
      <c r="H386" s="65">
        <v>44838</v>
      </c>
      <c r="K386" s="71"/>
      <c r="L386" s="72"/>
      <c r="M386" s="71"/>
      <c r="N386" s="216"/>
      <c r="O386" s="71"/>
      <c r="P386" s="72">
        <v>615</v>
      </c>
    </row>
    <row r="387" spans="1:16">
      <c r="A387" s="295"/>
      <c r="B387" s="289"/>
      <c r="C387" s="296"/>
      <c r="D387" s="66" t="s">
        <v>417</v>
      </c>
      <c r="E387" t="s">
        <v>539</v>
      </c>
      <c r="G387" t="s">
        <v>62</v>
      </c>
      <c r="H387" s="65">
        <v>44838</v>
      </c>
      <c r="K387" s="71"/>
      <c r="L387" s="72"/>
      <c r="M387" s="71"/>
      <c r="N387" s="216"/>
      <c r="O387" s="71"/>
      <c r="P387" s="72">
        <v>216</v>
      </c>
    </row>
    <row r="388" spans="1:16">
      <c r="A388" s="295"/>
      <c r="B388" s="289"/>
      <c r="C388" s="296"/>
      <c r="D388" s="66" t="s">
        <v>418</v>
      </c>
      <c r="H388" s="65">
        <v>44838</v>
      </c>
      <c r="K388" s="71"/>
      <c r="L388" s="72"/>
      <c r="M388" s="71"/>
      <c r="N388" s="216"/>
      <c r="O388" s="71"/>
      <c r="P388" s="74" t="s">
        <v>630</v>
      </c>
    </row>
    <row r="389" spans="1:16">
      <c r="A389" s="295"/>
      <c r="B389" s="293"/>
      <c r="C389" s="296"/>
      <c r="D389" s="66" t="s">
        <v>418</v>
      </c>
      <c r="H389" s="65"/>
      <c r="K389" s="71"/>
      <c r="L389" s="72"/>
      <c r="M389" s="71"/>
      <c r="N389" s="216"/>
      <c r="O389" s="71"/>
      <c r="P389" s="74" t="s">
        <v>620</v>
      </c>
    </row>
    <row r="390" spans="1:16">
      <c r="A390" s="295" t="s">
        <v>124</v>
      </c>
      <c r="B390" s="292" t="s">
        <v>125</v>
      </c>
      <c r="C390" s="296" t="s">
        <v>126</v>
      </c>
      <c r="D390" s="66" t="s">
        <v>411</v>
      </c>
      <c r="G390" t="s">
        <v>429</v>
      </c>
      <c r="H390" s="65">
        <v>44561</v>
      </c>
      <c r="K390" s="71"/>
      <c r="L390" s="72"/>
      <c r="M390" s="71">
        <v>35.700000000000003</v>
      </c>
      <c r="N390" s="216">
        <v>33</v>
      </c>
      <c r="O390" s="71">
        <v>28</v>
      </c>
      <c r="P390" s="72">
        <v>27</v>
      </c>
    </row>
    <row r="391" spans="1:16">
      <c r="A391" s="295"/>
      <c r="B391" s="289"/>
      <c r="C391" s="296"/>
      <c r="D391" s="66" t="s">
        <v>412</v>
      </c>
      <c r="E391" t="s">
        <v>413</v>
      </c>
      <c r="G391" t="s">
        <v>429</v>
      </c>
      <c r="H391" s="65">
        <v>44561</v>
      </c>
      <c r="K391" s="71"/>
      <c r="L391" s="72"/>
      <c r="M391" s="71">
        <v>0.47</v>
      </c>
      <c r="N391" s="216">
        <v>0.3</v>
      </c>
      <c r="O391" s="71">
        <v>0.3</v>
      </c>
      <c r="P391" s="72">
        <v>0.3</v>
      </c>
    </row>
    <row r="392" spans="1:16">
      <c r="A392" s="295"/>
      <c r="B392" s="289"/>
      <c r="C392" s="296"/>
      <c r="D392" s="66" t="s">
        <v>414</v>
      </c>
      <c r="E392" t="s">
        <v>413</v>
      </c>
      <c r="G392" t="s">
        <v>429</v>
      </c>
      <c r="H392" s="65">
        <v>44561</v>
      </c>
      <c r="K392" s="71"/>
      <c r="L392" s="72"/>
      <c r="M392" s="71">
        <v>36.17</v>
      </c>
      <c r="N392" s="216">
        <v>33.299999999999997</v>
      </c>
      <c r="O392" s="71">
        <v>28.3</v>
      </c>
      <c r="P392" s="72">
        <v>27.3</v>
      </c>
    </row>
    <row r="393" spans="1:16">
      <c r="A393" s="295"/>
      <c r="B393" s="289"/>
      <c r="C393" s="296"/>
      <c r="D393" s="66" t="s">
        <v>415</v>
      </c>
      <c r="E393" t="s">
        <v>416</v>
      </c>
      <c r="G393" t="s">
        <v>429</v>
      </c>
      <c r="H393" s="65">
        <v>44561</v>
      </c>
      <c r="K393" s="71"/>
      <c r="L393" s="72"/>
      <c r="M393" s="71">
        <v>110.8</v>
      </c>
      <c r="N393" s="216">
        <v>119</v>
      </c>
      <c r="O393" s="71">
        <v>107</v>
      </c>
      <c r="P393" s="72">
        <v>102</v>
      </c>
    </row>
    <row r="394" spans="1:16">
      <c r="A394" s="295"/>
      <c r="B394" s="289"/>
      <c r="C394" s="296"/>
      <c r="D394" s="66" t="s">
        <v>417</v>
      </c>
      <c r="G394" t="s">
        <v>62</v>
      </c>
      <c r="H394" s="65">
        <v>44561</v>
      </c>
      <c r="K394" s="71"/>
      <c r="L394" s="72"/>
      <c r="M394" s="71">
        <v>584</v>
      </c>
      <c r="N394" s="216">
        <v>557.6</v>
      </c>
      <c r="O394" s="71">
        <v>501.9</v>
      </c>
      <c r="P394" s="72">
        <v>523.70000000000005</v>
      </c>
    </row>
    <row r="395" spans="1:16">
      <c r="A395" s="295"/>
      <c r="B395" s="293"/>
      <c r="C395" s="296"/>
      <c r="D395" s="66" t="s">
        <v>418</v>
      </c>
      <c r="H395" s="65"/>
      <c r="K395" s="71"/>
      <c r="L395" s="72"/>
      <c r="M395" s="73" t="s">
        <v>1043</v>
      </c>
      <c r="N395" s="216" t="s">
        <v>1041</v>
      </c>
      <c r="O395" s="73" t="s">
        <v>1042</v>
      </c>
      <c r="P395" s="74" t="s">
        <v>1044</v>
      </c>
    </row>
    <row r="396" spans="1:16">
      <c r="A396" s="295" t="s">
        <v>128</v>
      </c>
      <c r="B396" s="292" t="s">
        <v>129</v>
      </c>
      <c r="C396" s="296" t="s">
        <v>130</v>
      </c>
      <c r="D396" s="66" t="s">
        <v>411</v>
      </c>
      <c r="G396" t="s">
        <v>429</v>
      </c>
      <c r="H396" s="65">
        <v>44561</v>
      </c>
      <c r="K396" s="71">
        <v>2.4</v>
      </c>
      <c r="L396" s="72">
        <v>1.9</v>
      </c>
      <c r="M396" s="71">
        <v>1.1000000000000001</v>
      </c>
      <c r="N396" s="216">
        <v>1.4</v>
      </c>
      <c r="O396" s="71">
        <v>1.4</v>
      </c>
      <c r="P396" s="72">
        <v>1</v>
      </c>
    </row>
    <row r="397" spans="1:16">
      <c r="A397" s="295"/>
      <c r="B397" s="289"/>
      <c r="C397" s="296"/>
      <c r="D397" s="66" t="s">
        <v>412</v>
      </c>
      <c r="E397" t="s">
        <v>413</v>
      </c>
      <c r="G397" t="s">
        <v>429</v>
      </c>
      <c r="H397" s="65">
        <v>44561</v>
      </c>
      <c r="K397" s="71">
        <v>1.6</v>
      </c>
      <c r="L397" s="72">
        <v>1.3</v>
      </c>
      <c r="M397" s="71">
        <v>1.2</v>
      </c>
      <c r="N397" s="216">
        <v>0.6</v>
      </c>
      <c r="O397" s="71">
        <v>0.8</v>
      </c>
      <c r="P397" s="72">
        <v>0.8</v>
      </c>
    </row>
    <row r="398" spans="1:16">
      <c r="A398" s="295"/>
      <c r="B398" s="289"/>
      <c r="C398" s="296"/>
      <c r="D398" s="66" t="s">
        <v>414</v>
      </c>
      <c r="E398" t="s">
        <v>413</v>
      </c>
      <c r="G398" t="s">
        <v>429</v>
      </c>
      <c r="H398" s="65">
        <v>44561</v>
      </c>
      <c r="K398" s="71">
        <v>4</v>
      </c>
      <c r="L398" s="72">
        <v>3.2</v>
      </c>
      <c r="M398" s="71">
        <v>2.2999999999999998</v>
      </c>
      <c r="N398" s="216">
        <v>2</v>
      </c>
      <c r="O398" s="71">
        <v>2.2000000000000002</v>
      </c>
      <c r="P398" s="72">
        <v>1.8</v>
      </c>
    </row>
    <row r="399" spans="1:16">
      <c r="A399" s="295"/>
      <c r="B399" s="289"/>
      <c r="C399" s="296"/>
      <c r="D399" s="66" t="s">
        <v>415</v>
      </c>
      <c r="E399" t="s">
        <v>416</v>
      </c>
      <c r="G399" t="s">
        <v>429</v>
      </c>
      <c r="H399" s="65">
        <v>44561</v>
      </c>
      <c r="K399" s="71">
        <v>20.6</v>
      </c>
      <c r="L399" s="72">
        <v>16.600000000000001</v>
      </c>
      <c r="M399" s="71">
        <v>15.8</v>
      </c>
      <c r="N399" s="216">
        <v>9.8000000000000007</v>
      </c>
      <c r="O399" s="71">
        <v>11.9</v>
      </c>
      <c r="P399" s="72">
        <v>11.6</v>
      </c>
    </row>
    <row r="400" spans="1:16">
      <c r="A400" s="295"/>
      <c r="B400" s="289"/>
      <c r="C400" s="296"/>
      <c r="D400" s="66" t="s">
        <v>417</v>
      </c>
      <c r="G400" t="s">
        <v>62</v>
      </c>
      <c r="H400" s="65">
        <v>44561</v>
      </c>
      <c r="K400" s="71">
        <v>94.615384615384613</v>
      </c>
      <c r="L400" s="72">
        <v>86.086956521739125</v>
      </c>
      <c r="M400" s="71">
        <v>78.695652173913047</v>
      </c>
      <c r="N400" s="216">
        <v>65.555555555555557</v>
      </c>
      <c r="O400" s="71">
        <v>67.142857142857153</v>
      </c>
      <c r="P400" s="72">
        <v>67</v>
      </c>
    </row>
    <row r="401" spans="1:16">
      <c r="A401" s="295"/>
      <c r="B401" s="293"/>
      <c r="C401" s="296"/>
      <c r="D401" s="66" t="s">
        <v>418</v>
      </c>
      <c r="H401" s="65"/>
      <c r="K401" s="71"/>
      <c r="L401" s="72"/>
      <c r="M401" s="71"/>
      <c r="N401" s="216"/>
      <c r="O401" s="71"/>
      <c r="P401" s="72"/>
    </row>
    <row r="402" spans="1:16">
      <c r="A402" s="291" t="s">
        <v>1231</v>
      </c>
      <c r="B402" s="292" t="s">
        <v>1232</v>
      </c>
      <c r="C402" s="292" t="s">
        <v>1233</v>
      </c>
      <c r="D402" s="66" t="s">
        <v>411</v>
      </c>
      <c r="E402" t="s">
        <v>539</v>
      </c>
      <c r="G402" t="s">
        <v>429</v>
      </c>
      <c r="H402" s="65">
        <v>44228</v>
      </c>
      <c r="K402" s="71"/>
      <c r="L402" s="72">
        <v>16.73</v>
      </c>
      <c r="M402" s="71">
        <v>16.62</v>
      </c>
      <c r="N402" s="216">
        <v>10.79</v>
      </c>
      <c r="O402" s="71">
        <v>9.56</v>
      </c>
      <c r="P402" s="72">
        <v>16.309999999999999</v>
      </c>
    </row>
    <row r="403" spans="1:16">
      <c r="A403" s="286"/>
      <c r="B403" s="289"/>
      <c r="C403" s="289"/>
      <c r="D403" s="66" t="s">
        <v>412</v>
      </c>
      <c r="E403" t="s">
        <v>413</v>
      </c>
      <c r="G403" t="s">
        <v>429</v>
      </c>
      <c r="H403" s="65">
        <v>44228</v>
      </c>
      <c r="K403" s="71"/>
      <c r="L403" s="72">
        <v>1.1399999999999999</v>
      </c>
      <c r="M403" s="71">
        <v>0.96</v>
      </c>
      <c r="N403" s="216">
        <v>0.91</v>
      </c>
      <c r="O403" s="71">
        <v>0.76</v>
      </c>
      <c r="P403" s="72">
        <v>0.43868138715796068</v>
      </c>
    </row>
    <row r="404" spans="1:16">
      <c r="A404" s="286"/>
      <c r="B404" s="289"/>
      <c r="C404" s="289"/>
      <c r="D404" s="66" t="s">
        <v>414</v>
      </c>
      <c r="G404" t="s">
        <v>429</v>
      </c>
      <c r="H404" s="65">
        <v>44228</v>
      </c>
      <c r="K404" s="71"/>
      <c r="L404" s="72">
        <f>SUM(L402:L403)</f>
        <v>17.87</v>
      </c>
      <c r="M404" s="71">
        <f>SUM(M402:M403)</f>
        <v>17.580000000000002</v>
      </c>
      <c r="N404" s="216">
        <f>SUM(N402:N403)</f>
        <v>11.7</v>
      </c>
      <c r="O404" s="71">
        <f>SUM(O402:O403)</f>
        <v>10.32</v>
      </c>
      <c r="P404" s="72">
        <f>SUM(P402:P403)</f>
        <v>16.748681387157959</v>
      </c>
    </row>
    <row r="405" spans="1:16">
      <c r="A405" s="286"/>
      <c r="B405" s="289"/>
      <c r="C405" s="289"/>
      <c r="D405" s="75" t="s">
        <v>415</v>
      </c>
      <c r="E405" s="45" t="s">
        <v>416</v>
      </c>
      <c r="G405" t="s">
        <v>429</v>
      </c>
      <c r="H405" s="65">
        <v>44228</v>
      </c>
      <c r="I405" s="90" t="s">
        <v>970</v>
      </c>
      <c r="K405" s="71"/>
      <c r="L405" s="72">
        <v>23.74</v>
      </c>
      <c r="M405" s="71">
        <v>16.84</v>
      </c>
      <c r="N405" s="216">
        <v>42.04</v>
      </c>
      <c r="O405" s="71">
        <v>49.77</v>
      </c>
      <c r="P405" s="72">
        <v>60.9</v>
      </c>
    </row>
    <row r="406" spans="1:16">
      <c r="A406" s="286"/>
      <c r="B406" s="289"/>
      <c r="C406" s="289"/>
      <c r="D406" s="66" t="s">
        <v>415</v>
      </c>
      <c r="E406">
        <v>4</v>
      </c>
      <c r="G406" t="s">
        <v>429</v>
      </c>
      <c r="H406" s="65">
        <v>44228</v>
      </c>
      <c r="K406" s="71"/>
      <c r="L406" s="72"/>
      <c r="M406" s="71"/>
      <c r="N406" s="216">
        <v>5.32</v>
      </c>
      <c r="O406" s="71">
        <v>6.29</v>
      </c>
      <c r="P406" s="72">
        <v>7.6686466168730005</v>
      </c>
    </row>
    <row r="407" spans="1:16">
      <c r="A407" s="286"/>
      <c r="B407" s="289"/>
      <c r="C407" s="289"/>
      <c r="D407" s="66" t="s">
        <v>415</v>
      </c>
      <c r="E407" t="s">
        <v>540</v>
      </c>
      <c r="G407" t="s">
        <v>429</v>
      </c>
      <c r="H407" s="65">
        <v>44228</v>
      </c>
      <c r="K407" s="71"/>
      <c r="L407" s="72">
        <v>21.6</v>
      </c>
      <c r="M407" s="71">
        <v>13.58</v>
      </c>
      <c r="N407" s="216">
        <v>36</v>
      </c>
      <c r="O407" s="71">
        <v>42.6</v>
      </c>
      <c r="P407" s="72">
        <v>52</v>
      </c>
    </row>
    <row r="408" spans="1:16">
      <c r="A408" s="286"/>
      <c r="B408" s="289"/>
      <c r="C408" s="289"/>
      <c r="D408" s="66" t="s">
        <v>417</v>
      </c>
      <c r="E408" t="s">
        <v>539</v>
      </c>
      <c r="G408" t="s">
        <v>57</v>
      </c>
      <c r="H408" s="65">
        <v>44228</v>
      </c>
      <c r="K408" s="71"/>
      <c r="L408" s="72">
        <v>50194</v>
      </c>
      <c r="M408" s="71">
        <v>53492</v>
      </c>
      <c r="N408" s="216">
        <v>47807</v>
      </c>
      <c r="O408" s="71">
        <v>35149</v>
      </c>
      <c r="P408" s="72">
        <v>42399</v>
      </c>
    </row>
    <row r="409" spans="1:16">
      <c r="A409" s="286"/>
      <c r="B409" s="289"/>
      <c r="C409" s="289"/>
      <c r="D409" s="66" t="s">
        <v>417</v>
      </c>
      <c r="E409" t="s">
        <v>540</v>
      </c>
      <c r="G409" t="s">
        <v>617</v>
      </c>
      <c r="H409" s="65">
        <v>44228</v>
      </c>
      <c r="K409" s="71"/>
      <c r="L409" s="84">
        <f>L407*1000000/54.87</f>
        <v>393657.73646801536</v>
      </c>
      <c r="M409" s="84">
        <f t="shared" ref="M409:P409" si="13">M407*1000000/54.87</f>
        <v>247494.0769090578</v>
      </c>
      <c r="N409" s="84">
        <f t="shared" si="13"/>
        <v>656096.22744669218</v>
      </c>
      <c r="O409" s="84">
        <f t="shared" si="13"/>
        <v>776380.53581191914</v>
      </c>
      <c r="P409" s="84">
        <f t="shared" si="13"/>
        <v>947694.55075633316</v>
      </c>
    </row>
    <row r="410" spans="1:16">
      <c r="A410" s="294"/>
      <c r="B410" s="293"/>
      <c r="C410" s="293"/>
      <c r="D410" s="66" t="s">
        <v>473</v>
      </c>
      <c r="H410" s="65">
        <v>44228</v>
      </c>
      <c r="K410" s="71"/>
      <c r="L410" s="72"/>
      <c r="M410" s="71"/>
      <c r="N410" s="216"/>
      <c r="O410" s="71"/>
      <c r="P410" s="74" t="s">
        <v>1238</v>
      </c>
    </row>
    <row r="411" spans="1:16">
      <c r="A411" s="295" t="s">
        <v>131</v>
      </c>
      <c r="B411" s="292" t="s">
        <v>132</v>
      </c>
      <c r="C411" s="296" t="s">
        <v>133</v>
      </c>
      <c r="D411" s="66" t="s">
        <v>411</v>
      </c>
      <c r="G411" t="s">
        <v>427</v>
      </c>
      <c r="H411" s="65">
        <v>44635</v>
      </c>
      <c r="K411" s="71"/>
      <c r="L411" s="72"/>
      <c r="M411" s="71"/>
      <c r="N411" s="216">
        <v>70.44</v>
      </c>
      <c r="O411" s="71">
        <v>45.73</v>
      </c>
      <c r="P411" s="72">
        <v>51.57</v>
      </c>
    </row>
    <row r="412" spans="1:16">
      <c r="A412" s="295"/>
      <c r="B412" s="289"/>
      <c r="C412" s="296"/>
      <c r="D412" s="66" t="s">
        <v>577</v>
      </c>
      <c r="G412" t="s">
        <v>434</v>
      </c>
      <c r="H412" s="65">
        <v>44635</v>
      </c>
      <c r="K412" s="71"/>
      <c r="L412" s="72"/>
      <c r="M412" s="71"/>
      <c r="N412" s="216">
        <v>300</v>
      </c>
      <c r="O412" s="71">
        <v>216</v>
      </c>
      <c r="P412" s="72">
        <v>227</v>
      </c>
    </row>
    <row r="413" spans="1:16">
      <c r="A413" s="295"/>
      <c r="B413" s="289"/>
      <c r="C413" s="296"/>
      <c r="D413" s="66" t="s">
        <v>412</v>
      </c>
      <c r="E413" t="s">
        <v>413</v>
      </c>
      <c r="G413" t="s">
        <v>427</v>
      </c>
      <c r="H413" s="65">
        <v>44635</v>
      </c>
      <c r="K413" s="71"/>
      <c r="L413" s="72"/>
      <c r="M413" s="71"/>
      <c r="N413" s="216">
        <v>4.57</v>
      </c>
      <c r="O413" s="71">
        <v>4.0599999999999996</v>
      </c>
      <c r="P413" s="72">
        <v>4.3099999999999996</v>
      </c>
    </row>
    <row r="414" spans="1:16">
      <c r="A414" s="295"/>
      <c r="B414" s="289"/>
      <c r="C414" s="296"/>
      <c r="D414" s="66" t="s">
        <v>412</v>
      </c>
      <c r="E414" t="s">
        <v>420</v>
      </c>
      <c r="G414" t="s">
        <v>427</v>
      </c>
      <c r="H414" s="65">
        <v>44635</v>
      </c>
      <c r="K414" s="71"/>
      <c r="L414" s="72"/>
      <c r="M414" s="71"/>
      <c r="N414" s="216">
        <v>6.96</v>
      </c>
      <c r="O414" s="71">
        <v>6.9</v>
      </c>
      <c r="P414" s="72">
        <v>7.11</v>
      </c>
    </row>
    <row r="415" spans="1:16">
      <c r="A415" s="295"/>
      <c r="B415" s="289"/>
      <c r="C415" s="296"/>
      <c r="D415" s="66" t="s">
        <v>415</v>
      </c>
      <c r="E415" t="s">
        <v>539</v>
      </c>
      <c r="F415" t="s">
        <v>631</v>
      </c>
      <c r="G415" t="s">
        <v>427</v>
      </c>
      <c r="H415" s="65">
        <v>44635</v>
      </c>
      <c r="K415" s="71"/>
      <c r="L415" s="72"/>
      <c r="M415" s="71"/>
      <c r="N415" s="216">
        <v>4</v>
      </c>
      <c r="O415" s="71">
        <v>1.1100000000000001</v>
      </c>
      <c r="P415" s="72">
        <v>1.24</v>
      </c>
    </row>
    <row r="416" spans="1:16">
      <c r="A416" s="295"/>
      <c r="B416" s="289"/>
      <c r="C416" s="296"/>
      <c r="D416" s="66" t="s">
        <v>415</v>
      </c>
      <c r="E416" t="s">
        <v>539</v>
      </c>
      <c r="F416" t="s">
        <v>626</v>
      </c>
      <c r="G416" t="s">
        <v>427</v>
      </c>
      <c r="H416" s="65">
        <v>44635</v>
      </c>
      <c r="K416" s="71"/>
      <c r="L416" s="72"/>
      <c r="M416" s="71"/>
      <c r="N416" s="216">
        <v>9.34</v>
      </c>
      <c r="O416" s="71">
        <v>9.1300000000000008</v>
      </c>
      <c r="P416" s="72">
        <v>10</v>
      </c>
    </row>
    <row r="417" spans="1:16">
      <c r="A417" s="295"/>
      <c r="B417" s="289"/>
      <c r="C417" s="296"/>
      <c r="D417" s="66" t="s">
        <v>415</v>
      </c>
      <c r="E417">
        <v>1</v>
      </c>
      <c r="G417" t="s">
        <v>427</v>
      </c>
      <c r="H417" s="65">
        <v>44635</v>
      </c>
      <c r="K417" s="71"/>
      <c r="L417" s="72"/>
      <c r="M417" s="71"/>
      <c r="N417" s="216">
        <v>9.3000000000000007</v>
      </c>
      <c r="O417" s="71">
        <v>9.5299999999999994</v>
      </c>
      <c r="P417" s="72">
        <v>11.69</v>
      </c>
    </row>
    <row r="418" spans="1:16">
      <c r="A418" s="295"/>
      <c r="B418" s="289"/>
      <c r="C418" s="296"/>
      <c r="D418" s="66" t="s">
        <v>415</v>
      </c>
      <c r="E418" t="s">
        <v>539</v>
      </c>
      <c r="F418" t="s">
        <v>449</v>
      </c>
      <c r="G418" t="s">
        <v>427</v>
      </c>
      <c r="H418" s="65">
        <v>44635</v>
      </c>
      <c r="K418" s="71"/>
      <c r="L418" s="72"/>
      <c r="M418" s="71"/>
      <c r="N418" s="216">
        <v>23.93</v>
      </c>
      <c r="O418" s="71">
        <v>23.19</v>
      </c>
      <c r="P418" s="72">
        <v>23.96</v>
      </c>
    </row>
    <row r="419" spans="1:16">
      <c r="A419" s="295"/>
      <c r="B419" s="289"/>
      <c r="C419" s="296"/>
      <c r="D419" s="66" t="s">
        <v>415</v>
      </c>
      <c r="E419" t="s">
        <v>540</v>
      </c>
      <c r="F419" t="s">
        <v>540</v>
      </c>
      <c r="G419" t="s">
        <v>427</v>
      </c>
      <c r="H419" s="65">
        <v>44635</v>
      </c>
      <c r="K419" s="71"/>
      <c r="L419" s="72"/>
      <c r="M419" s="71"/>
      <c r="N419" s="216">
        <v>23.93</v>
      </c>
      <c r="O419" s="71">
        <v>21.95</v>
      </c>
      <c r="P419" s="72">
        <v>22.25</v>
      </c>
    </row>
    <row r="420" spans="1:16">
      <c r="A420" s="295"/>
      <c r="B420" s="289"/>
      <c r="C420" s="296"/>
      <c r="D420" s="66" t="s">
        <v>415</v>
      </c>
      <c r="E420" t="s">
        <v>416</v>
      </c>
      <c r="G420" t="s">
        <v>427</v>
      </c>
      <c r="H420" s="65">
        <v>44635</v>
      </c>
      <c r="I420" s="90" t="s">
        <v>970</v>
      </c>
      <c r="K420" s="71"/>
      <c r="L420" s="72"/>
      <c r="M420" s="71"/>
      <c r="N420" s="216">
        <v>74.099999999999994</v>
      </c>
      <c r="O420" s="71">
        <v>64.900000000000006</v>
      </c>
      <c r="P420" s="72">
        <v>69.150000000000006</v>
      </c>
    </row>
    <row r="421" spans="1:16">
      <c r="A421" s="295"/>
      <c r="B421" s="289"/>
      <c r="C421" s="296"/>
      <c r="D421" s="66" t="s">
        <v>417</v>
      </c>
      <c r="E421" t="s">
        <v>539</v>
      </c>
      <c r="F421" t="s">
        <v>424</v>
      </c>
      <c r="G421" t="s">
        <v>57</v>
      </c>
      <c r="H421" s="65">
        <v>44635</v>
      </c>
      <c r="K421" s="71"/>
      <c r="L421" s="72"/>
      <c r="M421" s="71"/>
      <c r="N421" s="216">
        <v>229129</v>
      </c>
      <c r="O421" s="71">
        <v>207108</v>
      </c>
      <c r="P421" s="72">
        <v>222605</v>
      </c>
    </row>
    <row r="422" spans="1:16">
      <c r="A422" s="295"/>
      <c r="B422" s="289"/>
      <c r="C422" s="296"/>
      <c r="D422" s="66" t="s">
        <v>417</v>
      </c>
      <c r="E422" t="s">
        <v>540</v>
      </c>
      <c r="G422" t="s">
        <v>1049</v>
      </c>
      <c r="H422" s="65">
        <v>44635</v>
      </c>
      <c r="K422" s="71"/>
      <c r="L422" s="72"/>
      <c r="M422" s="71"/>
      <c r="N422" s="216">
        <v>10.7</v>
      </c>
      <c r="O422" s="71">
        <v>9.6999999999999993</v>
      </c>
      <c r="P422" s="72">
        <v>9.9</v>
      </c>
    </row>
    <row r="423" spans="1:16">
      <c r="A423" s="295"/>
      <c r="B423" s="293"/>
      <c r="C423" s="296"/>
      <c r="D423" s="66" t="s">
        <v>418</v>
      </c>
      <c r="H423" s="65">
        <v>44635</v>
      </c>
      <c r="K423" s="71"/>
      <c r="L423" s="72"/>
      <c r="M423" s="71"/>
      <c r="N423" s="216"/>
      <c r="O423" s="71"/>
      <c r="P423" s="74" t="s">
        <v>537</v>
      </c>
    </row>
    <row r="424" spans="1:16">
      <c r="A424" s="295" t="s">
        <v>131</v>
      </c>
      <c r="B424" s="292" t="s">
        <v>132</v>
      </c>
      <c r="C424" s="296" t="s">
        <v>133</v>
      </c>
      <c r="D424" s="66" t="s">
        <v>411</v>
      </c>
      <c r="G424" t="s">
        <v>427</v>
      </c>
      <c r="H424" s="65">
        <v>43861</v>
      </c>
      <c r="K424" s="71"/>
      <c r="L424" s="72">
        <v>105.95</v>
      </c>
      <c r="M424" s="71">
        <v>95.23</v>
      </c>
      <c r="N424" s="216">
        <v>69.98</v>
      </c>
      <c r="O424" s="71"/>
      <c r="P424" s="72"/>
    </row>
    <row r="425" spans="1:16">
      <c r="A425" s="295"/>
      <c r="B425" s="289"/>
      <c r="C425" s="296"/>
      <c r="D425" s="66" t="s">
        <v>577</v>
      </c>
      <c r="G425" t="s">
        <v>434</v>
      </c>
      <c r="H425" s="65">
        <v>43861</v>
      </c>
      <c r="K425" s="71"/>
      <c r="L425" s="72">
        <v>411</v>
      </c>
      <c r="M425" s="71">
        <v>369</v>
      </c>
      <c r="N425" s="216">
        <v>296</v>
      </c>
      <c r="O425" s="71"/>
      <c r="P425" s="72"/>
    </row>
    <row r="426" spans="1:16">
      <c r="A426" s="295"/>
      <c r="B426" s="289"/>
      <c r="C426" s="296"/>
      <c r="D426" s="66" t="s">
        <v>412</v>
      </c>
      <c r="E426" t="s">
        <v>413</v>
      </c>
      <c r="G426" t="s">
        <v>427</v>
      </c>
      <c r="H426" s="65">
        <v>43861</v>
      </c>
      <c r="K426" s="71"/>
      <c r="L426" s="72">
        <f>1.498+3.505</f>
        <v>5.0030000000000001</v>
      </c>
      <c r="M426" s="71">
        <f>1.399+3.684</f>
        <v>5.0830000000000002</v>
      </c>
      <c r="N426" s="216">
        <f>1.547+3.818</f>
        <v>5.3650000000000002</v>
      </c>
      <c r="O426" s="71"/>
      <c r="P426" s="72"/>
    </row>
    <row r="427" spans="1:16">
      <c r="A427" s="295"/>
      <c r="B427" s="289"/>
      <c r="C427" s="296"/>
      <c r="D427" s="66" t="s">
        <v>412</v>
      </c>
      <c r="E427" t="s">
        <v>420</v>
      </c>
      <c r="G427" t="s">
        <v>427</v>
      </c>
      <c r="H427" s="65">
        <v>43861</v>
      </c>
      <c r="K427" s="71"/>
      <c r="L427" s="72">
        <v>2.194</v>
      </c>
      <c r="M427" s="71">
        <v>2.1070000000000002</v>
      </c>
      <c r="N427" s="216">
        <v>2.3010000000000002</v>
      </c>
      <c r="O427" s="71"/>
      <c r="P427" s="72"/>
    </row>
    <row r="428" spans="1:16">
      <c r="A428" s="295"/>
      <c r="B428" s="289"/>
      <c r="C428" s="296"/>
      <c r="D428" s="66" t="s">
        <v>415</v>
      </c>
      <c r="E428" t="s">
        <v>539</v>
      </c>
      <c r="F428" t="s">
        <v>631</v>
      </c>
      <c r="G428" t="s">
        <v>427</v>
      </c>
      <c r="H428" s="65">
        <v>43861</v>
      </c>
      <c r="K428" s="71"/>
      <c r="L428" s="72">
        <f>5.903+0.805+0.381</f>
        <v>7.0889999999999995</v>
      </c>
      <c r="M428" s="71">
        <f>5.602+0.797+0.33</f>
        <v>6.7290000000000001</v>
      </c>
      <c r="N428" s="216">
        <f>3.329+0.454+0.215</f>
        <v>3.9980000000000002</v>
      </c>
      <c r="O428" s="71"/>
      <c r="P428" s="72"/>
    </row>
    <row r="429" spans="1:16">
      <c r="A429" s="295"/>
      <c r="B429" s="289"/>
      <c r="C429" s="296"/>
      <c r="D429" s="66" t="s">
        <v>415</v>
      </c>
      <c r="E429" t="s">
        <v>539</v>
      </c>
      <c r="F429" t="s">
        <v>626</v>
      </c>
      <c r="G429" t="s">
        <v>427</v>
      </c>
      <c r="H429" s="65">
        <v>43861</v>
      </c>
      <c r="I429" s="90" t="s">
        <v>970</v>
      </c>
      <c r="K429" s="71"/>
      <c r="L429" s="72"/>
      <c r="M429" s="71"/>
      <c r="N429" s="216"/>
      <c r="O429" s="71"/>
      <c r="P429" s="72"/>
    </row>
    <row r="430" spans="1:16">
      <c r="A430" s="295"/>
      <c r="B430" s="289"/>
      <c r="C430" s="296"/>
      <c r="D430" s="66" t="s">
        <v>415</v>
      </c>
      <c r="E430">
        <v>1</v>
      </c>
      <c r="G430" t="s">
        <v>427</v>
      </c>
      <c r="H430" s="65">
        <v>43861</v>
      </c>
      <c r="K430" s="71"/>
      <c r="L430" s="72"/>
      <c r="M430" s="71"/>
      <c r="N430" s="216"/>
      <c r="O430" s="71"/>
      <c r="P430" s="72"/>
    </row>
    <row r="431" spans="1:16">
      <c r="A431" s="295"/>
      <c r="B431" s="289"/>
      <c r="C431" s="296"/>
      <c r="D431" s="66" t="s">
        <v>415</v>
      </c>
      <c r="E431" t="s">
        <v>539</v>
      </c>
      <c r="F431" t="s">
        <v>449</v>
      </c>
      <c r="G431" t="s">
        <v>427</v>
      </c>
      <c r="H431" s="65">
        <v>43861</v>
      </c>
      <c r="K431" s="71"/>
      <c r="L431" s="72">
        <v>25.46</v>
      </c>
      <c r="M431" s="71">
        <v>27.387</v>
      </c>
      <c r="N431" s="216">
        <v>28.975000000000001</v>
      </c>
      <c r="O431" s="71"/>
      <c r="P431" s="72"/>
    </row>
    <row r="432" spans="1:16">
      <c r="A432" s="295"/>
      <c r="B432" s="289"/>
      <c r="C432" s="296"/>
      <c r="D432" s="66" t="s">
        <v>415</v>
      </c>
      <c r="E432" t="s">
        <v>540</v>
      </c>
      <c r="F432" t="s">
        <v>540</v>
      </c>
      <c r="G432" t="s">
        <v>427</v>
      </c>
      <c r="H432" s="65">
        <v>43861</v>
      </c>
      <c r="K432" s="71"/>
      <c r="L432" s="72">
        <v>25.29</v>
      </c>
      <c r="M432" s="71">
        <v>25.41</v>
      </c>
      <c r="N432" s="216">
        <v>23.922999999999998</v>
      </c>
      <c r="O432" s="71"/>
      <c r="P432" s="72"/>
    </row>
    <row r="433" spans="1:17">
      <c r="A433" s="295"/>
      <c r="B433" s="289"/>
      <c r="C433" s="296"/>
      <c r="D433" s="66" t="s">
        <v>415</v>
      </c>
      <c r="E433" t="s">
        <v>416</v>
      </c>
      <c r="G433" t="s">
        <v>427</v>
      </c>
      <c r="H433" s="65">
        <v>43861</v>
      </c>
      <c r="I433" s="90" t="s">
        <v>970</v>
      </c>
      <c r="K433" s="71"/>
      <c r="L433" s="72">
        <v>58.877000000000002</v>
      </c>
      <c r="M433" s="71">
        <v>59.563000000000002</v>
      </c>
      <c r="N433" s="216">
        <v>56.917999999999999</v>
      </c>
      <c r="O433" s="71"/>
      <c r="P433" s="72"/>
    </row>
    <row r="434" spans="1:17">
      <c r="A434" s="295"/>
      <c r="B434" s="289"/>
      <c r="C434" s="296"/>
      <c r="D434" s="66" t="s">
        <v>417</v>
      </c>
      <c r="E434" t="s">
        <v>539</v>
      </c>
      <c r="F434" t="s">
        <v>424</v>
      </c>
      <c r="G434" t="s">
        <v>57</v>
      </c>
      <c r="H434" s="65">
        <v>43861</v>
      </c>
      <c r="K434" s="71"/>
      <c r="L434" s="72">
        <v>249876</v>
      </c>
      <c r="M434" s="71">
        <v>250339</v>
      </c>
      <c r="N434" s="216">
        <v>229129</v>
      </c>
      <c r="O434" s="71"/>
      <c r="P434" s="72"/>
    </row>
    <row r="435" spans="1:17">
      <c r="A435" s="295"/>
      <c r="B435" s="289"/>
      <c r="C435" s="296"/>
      <c r="D435" s="66" t="s">
        <v>417</v>
      </c>
      <c r="E435" t="s">
        <v>540</v>
      </c>
      <c r="G435" t="s">
        <v>1049</v>
      </c>
      <c r="H435" s="65">
        <v>43861</v>
      </c>
      <c r="K435" s="71"/>
      <c r="L435" s="72">
        <v>11.76</v>
      </c>
      <c r="M435" s="71">
        <v>11.18</v>
      </c>
      <c r="N435" s="216">
        <v>10.5</v>
      </c>
      <c r="O435" s="71"/>
      <c r="P435" s="72"/>
    </row>
    <row r="436" spans="1:17">
      <c r="A436" s="295"/>
      <c r="B436" s="293"/>
      <c r="C436" s="296"/>
      <c r="D436" s="66" t="s">
        <v>418</v>
      </c>
      <c r="H436" s="65">
        <v>43861</v>
      </c>
      <c r="K436" s="71"/>
      <c r="L436" s="72"/>
      <c r="M436" s="71"/>
      <c r="N436" s="217" t="s">
        <v>1270</v>
      </c>
      <c r="O436" s="73"/>
      <c r="P436" s="74"/>
    </row>
    <row r="437" spans="1:17">
      <c r="A437" s="291" t="s">
        <v>1223</v>
      </c>
      <c r="B437" s="292" t="s">
        <v>1224</v>
      </c>
      <c r="C437" s="292" t="s">
        <v>1225</v>
      </c>
      <c r="D437" s="66" t="s">
        <v>411</v>
      </c>
      <c r="E437" t="s">
        <v>539</v>
      </c>
      <c r="G437" t="s">
        <v>429</v>
      </c>
      <c r="H437" s="65">
        <v>44958</v>
      </c>
      <c r="K437" s="71"/>
      <c r="L437" s="72"/>
      <c r="M437" s="71"/>
      <c r="N437" s="216"/>
      <c r="O437" s="71">
        <v>38.6</v>
      </c>
      <c r="P437" s="72">
        <v>35.799999999999997</v>
      </c>
      <c r="Q437" s="71">
        <v>29.8</v>
      </c>
    </row>
    <row r="438" spans="1:17">
      <c r="A438" s="286"/>
      <c r="B438" s="289"/>
      <c r="C438" s="289"/>
      <c r="D438" s="66" t="s">
        <v>412</v>
      </c>
      <c r="E438" t="s">
        <v>413</v>
      </c>
      <c r="G438" t="s">
        <v>429</v>
      </c>
      <c r="H438" s="65">
        <v>44958</v>
      </c>
      <c r="K438" s="71"/>
      <c r="L438" s="72"/>
      <c r="M438" s="71"/>
      <c r="N438" s="216"/>
      <c r="O438" s="71">
        <v>0.6</v>
      </c>
      <c r="P438" s="72">
        <v>0.5</v>
      </c>
      <c r="Q438" s="71">
        <v>0.7</v>
      </c>
    </row>
    <row r="439" spans="1:17">
      <c r="A439" s="286"/>
      <c r="B439" s="289"/>
      <c r="C439" s="289"/>
      <c r="D439" s="75" t="s">
        <v>415</v>
      </c>
      <c r="E439" s="45"/>
      <c r="G439" t="s">
        <v>429</v>
      </c>
      <c r="H439" s="65">
        <v>44958</v>
      </c>
      <c r="I439" s="90" t="s">
        <v>970</v>
      </c>
      <c r="K439" s="71"/>
      <c r="L439" s="72"/>
      <c r="M439" s="71"/>
      <c r="N439" s="216"/>
      <c r="O439" s="71">
        <v>124.2</v>
      </c>
      <c r="P439" s="72">
        <v>122.4</v>
      </c>
      <c r="Q439" s="71">
        <v>143.69999999999999</v>
      </c>
    </row>
    <row r="440" spans="1:17">
      <c r="A440" s="286"/>
      <c r="B440" s="289"/>
      <c r="C440" s="289"/>
      <c r="D440" s="66" t="s">
        <v>415</v>
      </c>
      <c r="E440" t="s">
        <v>539</v>
      </c>
      <c r="G440" t="s">
        <v>429</v>
      </c>
      <c r="H440" s="65">
        <v>44958</v>
      </c>
      <c r="K440" s="71"/>
      <c r="L440" s="72"/>
      <c r="M440" s="71"/>
      <c r="N440" s="216"/>
      <c r="O440" s="71">
        <v>31.1</v>
      </c>
      <c r="P440" s="72">
        <v>31.4</v>
      </c>
      <c r="Q440" s="71">
        <v>31.6</v>
      </c>
    </row>
    <row r="441" spans="1:17">
      <c r="A441" s="286"/>
      <c r="B441" s="289"/>
      <c r="C441" s="289"/>
      <c r="D441" s="66" t="s">
        <v>415</v>
      </c>
      <c r="E441" t="s">
        <v>540</v>
      </c>
      <c r="G441" t="s">
        <v>429</v>
      </c>
      <c r="H441" s="65">
        <v>44958</v>
      </c>
      <c r="K441" s="71"/>
      <c r="L441" s="72"/>
      <c r="M441" s="71"/>
      <c r="N441" s="216"/>
      <c r="O441" s="71">
        <v>61.4</v>
      </c>
      <c r="P441" s="72">
        <v>65.599999999999994</v>
      </c>
      <c r="Q441" s="71">
        <v>61.3</v>
      </c>
    </row>
    <row r="442" spans="1:17">
      <c r="A442" s="286"/>
      <c r="B442" s="289"/>
      <c r="C442" s="289"/>
      <c r="D442" s="66" t="s">
        <v>417</v>
      </c>
      <c r="E442" t="s">
        <v>539</v>
      </c>
      <c r="G442" t="s">
        <v>62</v>
      </c>
      <c r="H442" s="65">
        <v>44958</v>
      </c>
      <c r="K442" s="71"/>
      <c r="L442" s="72"/>
      <c r="M442" s="71"/>
      <c r="N442" s="216"/>
      <c r="O442" s="71">
        <v>322</v>
      </c>
      <c r="P442" s="72">
        <v>213</v>
      </c>
      <c r="Q442" s="71">
        <v>234</v>
      </c>
    </row>
    <row r="443" spans="1:17">
      <c r="A443" s="286"/>
      <c r="B443" s="289"/>
      <c r="C443" s="289"/>
      <c r="D443" s="66" t="s">
        <v>417</v>
      </c>
      <c r="E443" t="s">
        <v>540</v>
      </c>
      <c r="G443" t="s">
        <v>62</v>
      </c>
      <c r="H443" s="65">
        <v>44958</v>
      </c>
      <c r="K443" s="71"/>
      <c r="L443" s="72"/>
      <c r="M443" s="71"/>
      <c r="N443" s="216"/>
      <c r="O443" s="71">
        <v>338</v>
      </c>
      <c r="P443" s="72">
        <v>362</v>
      </c>
      <c r="Q443" s="71">
        <v>338</v>
      </c>
    </row>
    <row r="444" spans="1:17">
      <c r="A444" s="294"/>
      <c r="B444" s="293"/>
      <c r="C444" s="293"/>
      <c r="D444" s="66" t="s">
        <v>418</v>
      </c>
      <c r="H444" s="65">
        <v>44958</v>
      </c>
      <c r="K444" s="71"/>
      <c r="L444" s="72"/>
      <c r="M444" s="71"/>
      <c r="N444" s="216"/>
      <c r="O444" s="71"/>
      <c r="P444" s="72"/>
      <c r="Q444" s="71" t="s">
        <v>1239</v>
      </c>
    </row>
    <row r="445" spans="1:17">
      <c r="A445" s="291" t="s">
        <v>1223</v>
      </c>
      <c r="B445" s="292" t="s">
        <v>1224</v>
      </c>
      <c r="C445" s="292" t="s">
        <v>1225</v>
      </c>
      <c r="D445" s="66" t="s">
        <v>411</v>
      </c>
      <c r="E445" t="s">
        <v>539</v>
      </c>
      <c r="G445" t="s">
        <v>429</v>
      </c>
      <c r="H445" s="65">
        <v>44958</v>
      </c>
      <c r="K445" s="71"/>
      <c r="L445" s="72"/>
      <c r="M445" s="71"/>
      <c r="N445" s="216">
        <v>46.2</v>
      </c>
      <c r="O445" s="71">
        <v>38.6</v>
      </c>
      <c r="P445" s="72">
        <v>35.799999999999997</v>
      </c>
    </row>
    <row r="446" spans="1:17">
      <c r="A446" s="286"/>
      <c r="B446" s="289"/>
      <c r="C446" s="289"/>
      <c r="D446" s="66" t="s">
        <v>412</v>
      </c>
      <c r="E446" t="s">
        <v>413</v>
      </c>
      <c r="G446" t="s">
        <v>429</v>
      </c>
      <c r="H446" s="65">
        <v>44958</v>
      </c>
      <c r="K446" s="71"/>
      <c r="L446" s="72"/>
      <c r="M446" s="71"/>
      <c r="N446" s="216">
        <v>2.5</v>
      </c>
      <c r="O446" s="71">
        <v>2.2999999999999998</v>
      </c>
      <c r="P446" s="72">
        <v>1.9</v>
      </c>
    </row>
    <row r="447" spans="1:17">
      <c r="A447" s="286"/>
      <c r="B447" s="289"/>
      <c r="C447" s="289"/>
      <c r="D447" s="75" t="s">
        <v>415</v>
      </c>
      <c r="E447" s="45"/>
      <c r="G447" t="s">
        <v>429</v>
      </c>
      <c r="H447" s="65">
        <v>44958</v>
      </c>
      <c r="I447" s="90" t="s">
        <v>970</v>
      </c>
      <c r="K447" s="71"/>
      <c r="L447" s="72"/>
      <c r="M447" s="71"/>
      <c r="N447" s="216">
        <v>124.3</v>
      </c>
      <c r="O447" s="71">
        <v>124.7</v>
      </c>
      <c r="P447" s="72">
        <v>126.9</v>
      </c>
    </row>
    <row r="448" spans="1:17">
      <c r="A448" s="286"/>
      <c r="B448" s="289"/>
      <c r="C448" s="289"/>
      <c r="D448" s="66" t="s">
        <v>415</v>
      </c>
      <c r="E448" t="s">
        <v>539</v>
      </c>
      <c r="G448" t="s">
        <v>429</v>
      </c>
      <c r="H448" s="65">
        <v>44958</v>
      </c>
      <c r="K448" s="71"/>
      <c r="L448" s="72"/>
      <c r="M448" s="71"/>
      <c r="N448" s="216">
        <v>31.1</v>
      </c>
      <c r="O448" s="71">
        <v>31.2</v>
      </c>
      <c r="P448" s="72">
        <v>31.5</v>
      </c>
    </row>
    <row r="449" spans="1:16">
      <c r="A449" s="286"/>
      <c r="B449" s="289"/>
      <c r="C449" s="289"/>
      <c r="D449" s="66" t="s">
        <v>415</v>
      </c>
      <c r="E449" t="s">
        <v>540</v>
      </c>
      <c r="G449" t="s">
        <v>429</v>
      </c>
      <c r="H449" s="65">
        <v>44958</v>
      </c>
      <c r="K449" s="71"/>
      <c r="L449" s="72"/>
      <c r="M449" s="71"/>
      <c r="N449" s="216">
        <v>60.9</v>
      </c>
      <c r="O449" s="71">
        <v>61.5</v>
      </c>
      <c r="P449" s="72">
        <v>65.5</v>
      </c>
    </row>
    <row r="450" spans="1:16">
      <c r="A450" s="286"/>
      <c r="B450" s="289"/>
      <c r="C450" s="289"/>
      <c r="D450" s="66" t="s">
        <v>417</v>
      </c>
      <c r="E450" t="s">
        <v>539</v>
      </c>
      <c r="G450" t="s">
        <v>62</v>
      </c>
      <c r="H450" s="65">
        <v>44958</v>
      </c>
      <c r="K450" s="71"/>
      <c r="L450" s="72"/>
      <c r="M450" s="71"/>
      <c r="N450" s="216">
        <v>193</v>
      </c>
      <c r="O450" s="71">
        <v>195</v>
      </c>
      <c r="P450" s="72">
        <v>215</v>
      </c>
    </row>
    <row r="451" spans="1:16">
      <c r="A451" s="286"/>
      <c r="B451" s="289"/>
      <c r="C451" s="289"/>
      <c r="D451" s="66" t="s">
        <v>417</v>
      </c>
      <c r="E451" t="s">
        <v>540</v>
      </c>
      <c r="G451" t="s">
        <v>62</v>
      </c>
      <c r="H451" s="65">
        <v>44958</v>
      </c>
      <c r="K451" s="71"/>
      <c r="L451" s="72"/>
      <c r="M451" s="71"/>
      <c r="N451" s="216">
        <v>323</v>
      </c>
      <c r="O451" s="71">
        <v>330</v>
      </c>
      <c r="P451" s="72">
        <v>371</v>
      </c>
    </row>
    <row r="452" spans="1:16">
      <c r="A452" s="294"/>
      <c r="B452" s="293"/>
      <c r="C452" s="293"/>
      <c r="D452" s="66" t="s">
        <v>418</v>
      </c>
      <c r="H452" s="65">
        <v>44958</v>
      </c>
      <c r="K452" s="71"/>
      <c r="L452" s="72"/>
      <c r="M452" s="71"/>
      <c r="N452" s="216"/>
      <c r="O452" s="71"/>
      <c r="P452" s="74" t="s">
        <v>1240</v>
      </c>
    </row>
    <row r="453" spans="1:16">
      <c r="A453" s="291" t="s">
        <v>1223</v>
      </c>
      <c r="B453" s="292" t="s">
        <v>1224</v>
      </c>
      <c r="C453" s="292" t="s">
        <v>1225</v>
      </c>
      <c r="D453" s="66" t="s">
        <v>411</v>
      </c>
      <c r="E453" t="s">
        <v>539</v>
      </c>
      <c r="G453" t="s">
        <v>429</v>
      </c>
      <c r="H453" s="65">
        <v>44958</v>
      </c>
      <c r="K453" s="71"/>
      <c r="L453" s="72"/>
      <c r="M453" s="71">
        <v>57.2</v>
      </c>
      <c r="N453" s="216">
        <v>46.2</v>
      </c>
      <c r="O453" s="71">
        <v>38.6</v>
      </c>
      <c r="P453" s="72"/>
    </row>
    <row r="454" spans="1:16">
      <c r="A454" s="286"/>
      <c r="B454" s="289"/>
      <c r="C454" s="289"/>
      <c r="D454" s="66" t="s">
        <v>412</v>
      </c>
      <c r="E454" t="s">
        <v>413</v>
      </c>
      <c r="G454" t="s">
        <v>429</v>
      </c>
      <c r="H454" s="65">
        <v>44958</v>
      </c>
      <c r="K454" s="71"/>
      <c r="L454" s="72"/>
      <c r="M454" s="71">
        <v>2.9</v>
      </c>
      <c r="N454" s="216">
        <v>2.5</v>
      </c>
      <c r="O454" s="71">
        <v>2.2999999999999998</v>
      </c>
      <c r="P454" s="72"/>
    </row>
    <row r="455" spans="1:16">
      <c r="A455" s="286"/>
      <c r="B455" s="289"/>
      <c r="C455" s="289"/>
      <c r="D455" s="75" t="s">
        <v>415</v>
      </c>
      <c r="E455" s="45"/>
      <c r="G455" t="s">
        <v>429</v>
      </c>
      <c r="H455" s="65">
        <v>44958</v>
      </c>
      <c r="I455" s="90" t="s">
        <v>970</v>
      </c>
      <c r="K455" s="71"/>
      <c r="L455" s="72"/>
      <c r="M455" s="71">
        <v>139.19999999999999</v>
      </c>
      <c r="N455" s="216">
        <v>133.6</v>
      </c>
      <c r="O455" s="71">
        <v>134</v>
      </c>
      <c r="P455" s="72"/>
    </row>
    <row r="456" spans="1:16">
      <c r="A456" s="286"/>
      <c r="B456" s="289"/>
      <c r="C456" s="289"/>
      <c r="D456" s="66" t="s">
        <v>415</v>
      </c>
      <c r="E456" t="s">
        <v>539</v>
      </c>
      <c r="G456" t="s">
        <v>429</v>
      </c>
      <c r="H456" s="65">
        <v>44958</v>
      </c>
      <c r="K456" s="71"/>
      <c r="L456" s="72"/>
      <c r="M456" s="84">
        <v>32</v>
      </c>
      <c r="N456" s="216">
        <v>31.1</v>
      </c>
      <c r="O456" s="71">
        <v>31.2</v>
      </c>
      <c r="P456" s="72"/>
    </row>
    <row r="457" spans="1:16">
      <c r="A457" s="286"/>
      <c r="B457" s="289"/>
      <c r="C457" s="289"/>
      <c r="D457" s="66" t="s">
        <v>415</v>
      </c>
      <c r="E457" t="s">
        <v>540</v>
      </c>
      <c r="G457" t="s">
        <v>429</v>
      </c>
      <c r="H457" s="65">
        <v>44958</v>
      </c>
      <c r="K457" s="71"/>
      <c r="L457" s="72"/>
      <c r="M457" s="71">
        <v>317</v>
      </c>
      <c r="N457" s="216">
        <v>344</v>
      </c>
      <c r="O457" s="71">
        <v>322</v>
      </c>
      <c r="P457" s="72"/>
    </row>
    <row r="458" spans="1:16">
      <c r="A458" s="286"/>
      <c r="B458" s="289"/>
      <c r="C458" s="289"/>
      <c r="D458" s="66" t="s">
        <v>417</v>
      </c>
      <c r="E458" t="s">
        <v>539</v>
      </c>
      <c r="G458" t="s">
        <v>62</v>
      </c>
      <c r="H458" s="65">
        <v>44958</v>
      </c>
      <c r="K458" s="71"/>
      <c r="L458" s="72"/>
      <c r="M458" s="71">
        <v>496</v>
      </c>
      <c r="N458" s="216">
        <v>550</v>
      </c>
      <c r="O458" s="71">
        <v>556</v>
      </c>
      <c r="P458" s="72"/>
    </row>
    <row r="459" spans="1:16">
      <c r="A459" s="286"/>
      <c r="B459" s="289"/>
      <c r="C459" s="289"/>
      <c r="D459" s="66" t="s">
        <v>417</v>
      </c>
      <c r="E459" t="s">
        <v>540</v>
      </c>
      <c r="G459" t="s">
        <v>62</v>
      </c>
      <c r="H459" s="65">
        <v>44958</v>
      </c>
      <c r="K459" s="71"/>
      <c r="L459" s="72"/>
      <c r="M459" s="71"/>
      <c r="N459" s="216">
        <v>323</v>
      </c>
      <c r="O459" s="71">
        <v>330</v>
      </c>
      <c r="P459" s="72"/>
    </row>
    <row r="460" spans="1:16">
      <c r="A460" s="294"/>
      <c r="B460" s="293"/>
      <c r="C460" s="293"/>
      <c r="D460" s="66" t="s">
        <v>418</v>
      </c>
      <c r="H460" s="65">
        <v>44958</v>
      </c>
      <c r="K460" s="71"/>
      <c r="L460" s="72"/>
      <c r="M460" s="71"/>
      <c r="N460" s="216"/>
      <c r="O460" s="73" t="s">
        <v>1241</v>
      </c>
      <c r="P460" s="74"/>
    </row>
    <row r="461" spans="1:16">
      <c r="A461" s="291" t="s">
        <v>551</v>
      </c>
      <c r="B461" s="292" t="s">
        <v>526</v>
      </c>
      <c r="C461" s="292" t="s">
        <v>527</v>
      </c>
      <c r="D461" s="66" t="s">
        <v>534</v>
      </c>
      <c r="H461" s="65">
        <v>44651</v>
      </c>
      <c r="I461" s="90">
        <v>2014</v>
      </c>
      <c r="K461" s="71"/>
      <c r="L461" s="72"/>
      <c r="M461" s="71"/>
      <c r="N461" s="216"/>
      <c r="O461" s="71"/>
      <c r="P461" s="72"/>
    </row>
    <row r="462" spans="1:16">
      <c r="A462" s="286"/>
      <c r="B462" s="289"/>
      <c r="C462" s="289"/>
      <c r="D462" s="66" t="s">
        <v>411</v>
      </c>
      <c r="G462" t="s">
        <v>429</v>
      </c>
      <c r="H462" s="65">
        <v>44561</v>
      </c>
      <c r="K462" s="71"/>
      <c r="L462" s="72"/>
      <c r="M462" s="71">
        <v>43.4</v>
      </c>
      <c r="N462" s="216">
        <v>41.2</v>
      </c>
      <c r="O462" s="71">
        <v>37.799999999999997</v>
      </c>
      <c r="P462" s="72">
        <v>40.1</v>
      </c>
    </row>
    <row r="463" spans="1:16">
      <c r="A463" s="286"/>
      <c r="B463" s="289"/>
      <c r="C463" s="289"/>
      <c r="D463" s="66" t="s">
        <v>412</v>
      </c>
      <c r="E463" t="s">
        <v>413</v>
      </c>
      <c r="G463" t="s">
        <v>429</v>
      </c>
      <c r="H463" s="65">
        <v>44561</v>
      </c>
      <c r="K463" s="71"/>
      <c r="L463" s="72"/>
      <c r="M463" s="71">
        <v>0.67</v>
      </c>
      <c r="N463" s="216">
        <v>0.69</v>
      </c>
      <c r="O463" s="71">
        <v>0.73</v>
      </c>
      <c r="P463" s="72">
        <v>0.81</v>
      </c>
    </row>
    <row r="464" spans="1:16">
      <c r="A464" s="286"/>
      <c r="B464" s="289"/>
      <c r="C464" s="289"/>
      <c r="D464" s="66" t="s">
        <v>415</v>
      </c>
      <c r="E464">
        <v>1</v>
      </c>
      <c r="G464" t="s">
        <v>428</v>
      </c>
      <c r="H464" s="65">
        <v>44561</v>
      </c>
      <c r="K464" s="71"/>
      <c r="L464" s="72"/>
      <c r="M464" s="71"/>
      <c r="N464" s="216"/>
      <c r="O464" s="71"/>
      <c r="P464" s="72">
        <v>912688</v>
      </c>
    </row>
    <row r="465" spans="1:16">
      <c r="A465" s="286"/>
      <c r="B465" s="289"/>
      <c r="C465" s="289"/>
      <c r="D465" s="66" t="s">
        <v>415</v>
      </c>
      <c r="E465">
        <v>2</v>
      </c>
      <c r="G465" t="s">
        <v>428</v>
      </c>
      <c r="H465" s="65">
        <v>44561</v>
      </c>
      <c r="K465" s="71"/>
      <c r="L465" s="72"/>
      <c r="M465" s="71"/>
      <c r="N465" s="216"/>
      <c r="O465" s="71"/>
      <c r="P465" s="72">
        <v>507243</v>
      </c>
    </row>
    <row r="466" spans="1:16">
      <c r="A466" s="286"/>
      <c r="B466" s="289"/>
      <c r="C466" s="289"/>
      <c r="D466" s="66" t="s">
        <v>415</v>
      </c>
      <c r="E466">
        <v>3</v>
      </c>
      <c r="G466" t="s">
        <v>428</v>
      </c>
      <c r="H466" s="65">
        <v>44561</v>
      </c>
      <c r="K466" s="71"/>
      <c r="L466" s="72"/>
      <c r="M466" s="71"/>
      <c r="N466" s="216"/>
      <c r="O466" s="71"/>
      <c r="P466" s="72">
        <v>6078093</v>
      </c>
    </row>
    <row r="467" spans="1:16">
      <c r="A467" s="286"/>
      <c r="B467" s="289"/>
      <c r="C467" s="289"/>
      <c r="D467" s="66" t="s">
        <v>415</v>
      </c>
      <c r="E467">
        <v>4</v>
      </c>
      <c r="G467" t="s">
        <v>428</v>
      </c>
      <c r="H467" s="65">
        <v>44561</v>
      </c>
      <c r="K467" s="71"/>
      <c r="L467" s="72"/>
      <c r="M467" s="71"/>
      <c r="N467" s="216"/>
      <c r="O467" s="71"/>
      <c r="P467" s="72">
        <v>1413793</v>
      </c>
    </row>
    <row r="468" spans="1:16">
      <c r="A468" s="286"/>
      <c r="B468" s="289"/>
      <c r="C468" s="289"/>
      <c r="D468" s="66" t="s">
        <v>415</v>
      </c>
      <c r="E468">
        <v>5</v>
      </c>
      <c r="G468" t="s">
        <v>428</v>
      </c>
      <c r="H468" s="65">
        <v>44561</v>
      </c>
      <c r="K468" s="71"/>
      <c r="L468" s="72"/>
      <c r="M468" s="71"/>
      <c r="N468" s="216"/>
      <c r="O468" s="71"/>
      <c r="P468" s="72">
        <v>131252</v>
      </c>
    </row>
    <row r="469" spans="1:16">
      <c r="A469" s="286"/>
      <c r="B469" s="289"/>
      <c r="C469" s="289"/>
      <c r="D469" s="66" t="s">
        <v>415</v>
      </c>
      <c r="E469">
        <v>6</v>
      </c>
      <c r="G469" t="s">
        <v>428</v>
      </c>
      <c r="H469" s="65">
        <v>44561</v>
      </c>
      <c r="K469" s="71"/>
      <c r="L469" s="72"/>
      <c r="M469" s="71"/>
      <c r="N469" s="216"/>
      <c r="O469" s="71"/>
      <c r="P469" s="72">
        <v>16169</v>
      </c>
    </row>
    <row r="470" spans="1:16">
      <c r="A470" s="286"/>
      <c r="B470" s="289"/>
      <c r="C470" s="289"/>
      <c r="D470" s="66" t="s">
        <v>415</v>
      </c>
      <c r="E470">
        <v>7</v>
      </c>
      <c r="G470" t="s">
        <v>428</v>
      </c>
      <c r="H470" s="65">
        <v>44561</v>
      </c>
      <c r="K470" s="71"/>
      <c r="L470" s="72"/>
      <c r="M470" s="71"/>
      <c r="N470" s="216"/>
      <c r="O470" s="71"/>
      <c r="P470" s="72">
        <v>101089</v>
      </c>
    </row>
    <row r="471" spans="1:16">
      <c r="A471" s="286"/>
      <c r="B471" s="289"/>
      <c r="C471" s="289"/>
      <c r="D471" s="66" t="s">
        <v>415</v>
      </c>
      <c r="E471">
        <v>10</v>
      </c>
      <c r="G471" t="s">
        <v>428</v>
      </c>
      <c r="H471" s="65">
        <v>44561</v>
      </c>
      <c r="K471" s="71"/>
      <c r="L471" s="72"/>
      <c r="M471" s="71"/>
      <c r="N471" s="216"/>
      <c r="O471" s="71"/>
      <c r="P471" s="72">
        <v>11078438</v>
      </c>
    </row>
    <row r="472" spans="1:16">
      <c r="A472" s="286"/>
      <c r="B472" s="289"/>
      <c r="C472" s="289"/>
      <c r="D472" s="66" t="s">
        <v>415</v>
      </c>
      <c r="E472">
        <v>11</v>
      </c>
      <c r="G472" t="s">
        <v>428</v>
      </c>
      <c r="H472" s="65">
        <v>44561</v>
      </c>
      <c r="K472" s="71"/>
      <c r="L472" s="72"/>
      <c r="M472" s="71"/>
      <c r="N472" s="216"/>
      <c r="O472" s="71"/>
      <c r="P472" s="72">
        <v>175890257</v>
      </c>
    </row>
    <row r="473" spans="1:16">
      <c r="A473" s="286"/>
      <c r="B473" s="289"/>
      <c r="C473" s="289"/>
      <c r="D473" s="66" t="s">
        <v>415</v>
      </c>
      <c r="E473">
        <v>12</v>
      </c>
      <c r="G473" t="s">
        <v>428</v>
      </c>
      <c r="H473" s="65">
        <v>44561</v>
      </c>
      <c r="K473" s="71"/>
      <c r="L473" s="72"/>
      <c r="M473" s="71"/>
      <c r="N473" s="216"/>
      <c r="O473" s="71"/>
      <c r="P473" s="72">
        <v>98954</v>
      </c>
    </row>
    <row r="474" spans="1:16">
      <c r="A474" s="286"/>
      <c r="B474" s="289"/>
      <c r="C474" s="289"/>
      <c r="D474" s="66" t="s">
        <v>415</v>
      </c>
      <c r="E474">
        <v>14</v>
      </c>
      <c r="G474" t="s">
        <v>428</v>
      </c>
      <c r="H474" s="65">
        <v>44561</v>
      </c>
      <c r="K474" s="71"/>
      <c r="L474" s="72"/>
      <c r="M474" s="71"/>
      <c r="N474" s="216"/>
      <c r="O474" s="71"/>
      <c r="P474" s="72">
        <v>157343</v>
      </c>
    </row>
    <row r="475" spans="1:16">
      <c r="A475" s="286"/>
      <c r="B475" s="289"/>
      <c r="C475" s="289"/>
      <c r="D475" s="66" t="s">
        <v>415</v>
      </c>
      <c r="E475" t="s">
        <v>416</v>
      </c>
      <c r="G475" t="s">
        <v>429</v>
      </c>
      <c r="H475" s="65">
        <v>44561</v>
      </c>
      <c r="K475" s="71"/>
      <c r="L475" s="72"/>
      <c r="M475" s="71">
        <v>203</v>
      </c>
      <c r="N475" s="216">
        <v>204</v>
      </c>
      <c r="O475" s="71">
        <v>185</v>
      </c>
      <c r="P475" s="72">
        <f>(912688+507243+6078093+1413793+131252+16169+101089+11078438+175890257+98954+157343)/1000000</f>
        <v>196.38531900000001</v>
      </c>
    </row>
    <row r="476" spans="1:16">
      <c r="A476" s="286"/>
      <c r="B476" s="289"/>
      <c r="C476" s="289"/>
      <c r="D476" s="66" t="s">
        <v>487</v>
      </c>
      <c r="G476" t="s">
        <v>429</v>
      </c>
      <c r="H476" s="65">
        <v>44561</v>
      </c>
      <c r="K476" s="71"/>
      <c r="L476" s="72"/>
      <c r="M476" s="71">
        <v>505</v>
      </c>
      <c r="N476" s="216">
        <v>501</v>
      </c>
      <c r="O476" s="71">
        <v>439</v>
      </c>
      <c r="P476" s="72">
        <v>456</v>
      </c>
    </row>
    <row r="477" spans="1:16">
      <c r="A477" s="286"/>
      <c r="B477" s="289"/>
      <c r="C477" s="289"/>
      <c r="D477" s="66" t="s">
        <v>601</v>
      </c>
      <c r="G477" t="s">
        <v>611</v>
      </c>
      <c r="H477" s="65">
        <v>44561</v>
      </c>
      <c r="K477" s="71"/>
      <c r="L477" s="72"/>
      <c r="M477" s="71">
        <v>68</v>
      </c>
      <c r="N477" s="216">
        <v>68</v>
      </c>
      <c r="O477" s="71">
        <v>68</v>
      </c>
      <c r="P477" s="72">
        <v>67</v>
      </c>
    </row>
    <row r="478" spans="1:16">
      <c r="A478" s="294"/>
      <c r="B478" s="293"/>
      <c r="C478" s="293"/>
      <c r="D478" s="66" t="s">
        <v>418</v>
      </c>
      <c r="H478" s="65"/>
      <c r="K478" s="71"/>
      <c r="L478" s="72"/>
      <c r="M478" s="71"/>
      <c r="N478" s="216"/>
      <c r="O478" s="71"/>
      <c r="P478" s="74" t="s">
        <v>571</v>
      </c>
    </row>
    <row r="479" spans="1:16">
      <c r="A479" s="291" t="s">
        <v>548</v>
      </c>
      <c r="B479" s="292" t="s">
        <v>526</v>
      </c>
      <c r="C479" s="292" t="s">
        <v>546</v>
      </c>
      <c r="D479" s="66" t="s">
        <v>534</v>
      </c>
      <c r="H479" s="65">
        <v>44651</v>
      </c>
      <c r="I479" s="90" t="s">
        <v>616</v>
      </c>
      <c r="K479" s="71"/>
      <c r="L479" s="72"/>
      <c r="M479" s="71"/>
      <c r="N479" s="216"/>
      <c r="O479" s="71"/>
      <c r="P479" s="72"/>
    </row>
    <row r="480" spans="1:16">
      <c r="A480" s="286"/>
      <c r="B480" s="289"/>
      <c r="C480" s="289"/>
      <c r="D480" s="66" t="s">
        <v>411</v>
      </c>
      <c r="G480" t="s">
        <v>429</v>
      </c>
      <c r="H480" s="65">
        <v>44561</v>
      </c>
      <c r="I480" s="90" t="s">
        <v>616</v>
      </c>
      <c r="K480" s="71"/>
      <c r="L480" s="72"/>
      <c r="M480" s="71">
        <v>24.1</v>
      </c>
      <c r="N480" s="216">
        <v>22.8</v>
      </c>
      <c r="O480" s="71">
        <v>21.1</v>
      </c>
      <c r="P480" s="72">
        <v>22.3</v>
      </c>
    </row>
    <row r="481" spans="1:16">
      <c r="A481" s="286"/>
      <c r="B481" s="289"/>
      <c r="C481" s="289"/>
      <c r="D481" s="66" t="s">
        <v>414</v>
      </c>
      <c r="F481" t="s">
        <v>552</v>
      </c>
      <c r="G481" t="s">
        <v>429</v>
      </c>
      <c r="H481" s="65">
        <v>44561</v>
      </c>
      <c r="I481" s="90" t="s">
        <v>616</v>
      </c>
      <c r="K481" s="71"/>
      <c r="L481" s="72"/>
      <c r="M481" s="71">
        <v>14.8</v>
      </c>
      <c r="N481" s="216">
        <v>14.8</v>
      </c>
      <c r="O481" s="71">
        <v>11.4</v>
      </c>
      <c r="P481" s="72">
        <v>11</v>
      </c>
    </row>
    <row r="482" spans="1:16">
      <c r="A482" s="286"/>
      <c r="B482" s="289"/>
      <c r="C482" s="289"/>
      <c r="D482" s="66" t="s">
        <v>600</v>
      </c>
      <c r="F482" t="s">
        <v>552</v>
      </c>
      <c r="G482" t="s">
        <v>553</v>
      </c>
      <c r="H482" s="65">
        <v>44561</v>
      </c>
      <c r="I482" s="90" t="s">
        <v>616</v>
      </c>
      <c r="K482" s="71"/>
      <c r="L482" s="72"/>
      <c r="M482" s="71">
        <v>21.4</v>
      </c>
      <c r="N482" s="216">
        <v>19.600000000000001</v>
      </c>
      <c r="O482" s="71">
        <v>20</v>
      </c>
      <c r="P482" s="72">
        <v>20.2</v>
      </c>
    </row>
    <row r="483" spans="1:16">
      <c r="A483" s="286"/>
      <c r="B483" s="289"/>
      <c r="C483" s="289"/>
      <c r="D483" s="66" t="s">
        <v>417</v>
      </c>
      <c r="G483" t="s">
        <v>554</v>
      </c>
      <c r="H483" s="65">
        <v>44561</v>
      </c>
      <c r="I483" s="90" t="s">
        <v>616</v>
      </c>
      <c r="K483" s="71"/>
      <c r="L483" s="72"/>
      <c r="M483" s="71">
        <v>1851</v>
      </c>
      <c r="N483" s="216">
        <v>1871</v>
      </c>
      <c r="O483" s="71">
        <v>1733</v>
      </c>
      <c r="P483" s="72">
        <v>1682</v>
      </c>
    </row>
    <row r="484" spans="1:16">
      <c r="A484" s="294"/>
      <c r="B484" s="293"/>
      <c r="C484" s="293"/>
      <c r="D484" s="66" t="s">
        <v>418</v>
      </c>
      <c r="H484" s="65"/>
      <c r="I484" s="90" t="s">
        <v>616</v>
      </c>
      <c r="K484" s="71"/>
      <c r="L484" s="72"/>
      <c r="M484" s="71"/>
      <c r="N484" s="216"/>
      <c r="O484" s="71"/>
      <c r="P484" s="74" t="s">
        <v>538</v>
      </c>
    </row>
    <row r="485" spans="1:16">
      <c r="A485" s="295" t="s">
        <v>541</v>
      </c>
      <c r="B485" s="292" t="s">
        <v>526</v>
      </c>
      <c r="C485" s="296" t="s">
        <v>545</v>
      </c>
      <c r="D485" s="66" t="s">
        <v>534</v>
      </c>
      <c r="H485" s="65">
        <v>44651</v>
      </c>
      <c r="I485" s="90" t="s">
        <v>616</v>
      </c>
      <c r="K485" s="71"/>
      <c r="L485" s="72"/>
      <c r="M485" s="71"/>
      <c r="N485" s="216"/>
      <c r="O485" s="71"/>
      <c r="P485" s="72"/>
    </row>
    <row r="486" spans="1:16">
      <c r="A486" s="295"/>
      <c r="B486" s="289"/>
      <c r="C486" s="296"/>
      <c r="D486" s="66" t="s">
        <v>487</v>
      </c>
      <c r="G486" t="s">
        <v>429</v>
      </c>
      <c r="H486" s="65">
        <v>44561</v>
      </c>
      <c r="I486" s="90" t="s">
        <v>616</v>
      </c>
      <c r="K486" s="71"/>
      <c r="L486" s="72"/>
      <c r="M486" s="71">
        <v>505</v>
      </c>
      <c r="N486" s="216">
        <v>501</v>
      </c>
      <c r="O486" s="71">
        <v>439</v>
      </c>
      <c r="P486" s="72">
        <v>456</v>
      </c>
    </row>
    <row r="487" spans="1:16">
      <c r="A487" s="295"/>
      <c r="B487" s="289"/>
      <c r="C487" s="296"/>
      <c r="D487" s="66" t="s">
        <v>601</v>
      </c>
      <c r="G487" t="s">
        <v>433</v>
      </c>
      <c r="H487" s="65">
        <v>44561</v>
      </c>
      <c r="I487" s="90" t="s">
        <v>616</v>
      </c>
      <c r="K487" s="71"/>
      <c r="L487" s="72"/>
      <c r="M487" s="71">
        <v>68</v>
      </c>
      <c r="N487" s="216">
        <v>68</v>
      </c>
      <c r="O487" s="71">
        <v>68</v>
      </c>
      <c r="P487" s="72">
        <v>67</v>
      </c>
    </row>
    <row r="488" spans="1:16">
      <c r="A488" s="295"/>
      <c r="B488" s="289"/>
      <c r="C488" s="296"/>
      <c r="D488" s="66" t="s">
        <v>417</v>
      </c>
      <c r="E488" t="s">
        <v>540</v>
      </c>
      <c r="G488" t="s">
        <v>1049</v>
      </c>
      <c r="H488" s="65">
        <v>44561</v>
      </c>
      <c r="I488" s="90" t="s">
        <v>616</v>
      </c>
      <c r="K488" s="71"/>
      <c r="L488" s="72"/>
      <c r="M488" s="71">
        <v>76.599999999999994</v>
      </c>
      <c r="N488" s="216">
        <v>72.849999999999994</v>
      </c>
      <c r="O488" s="71">
        <v>64.989999999999995</v>
      </c>
      <c r="P488" s="72">
        <v>70.45</v>
      </c>
    </row>
    <row r="489" spans="1:16">
      <c r="A489" s="295"/>
      <c r="B489" s="289"/>
      <c r="C489" s="296"/>
      <c r="D489" s="66" t="s">
        <v>417</v>
      </c>
      <c r="E489" t="s">
        <v>555</v>
      </c>
      <c r="G489" t="s">
        <v>1049</v>
      </c>
      <c r="H489" s="65">
        <v>44561</v>
      </c>
      <c r="I489" s="90" t="s">
        <v>616</v>
      </c>
      <c r="K489" s="71"/>
      <c r="L489" s="72"/>
      <c r="M489" s="71">
        <v>10.3</v>
      </c>
      <c r="N489" s="216">
        <v>10.1</v>
      </c>
      <c r="O489" s="71">
        <v>9.5</v>
      </c>
      <c r="P489" s="72">
        <v>10.9</v>
      </c>
    </row>
    <row r="490" spans="1:16">
      <c r="A490" s="295"/>
      <c r="B490" s="289"/>
      <c r="C490" s="296"/>
      <c r="D490" s="66" t="s">
        <v>593</v>
      </c>
      <c r="E490" t="s">
        <v>424</v>
      </c>
      <c r="G490" t="s">
        <v>181</v>
      </c>
      <c r="H490" s="65">
        <v>44561</v>
      </c>
      <c r="I490" s="90" t="s">
        <v>616</v>
      </c>
      <c r="K490" s="71"/>
      <c r="L490" s="72"/>
      <c r="M490" s="71">
        <v>43.5</v>
      </c>
      <c r="N490" s="216">
        <v>45.4</v>
      </c>
      <c r="O490" s="71">
        <v>45.4</v>
      </c>
      <c r="P490" s="72">
        <v>42.4</v>
      </c>
    </row>
    <row r="491" spans="1:16">
      <c r="A491" s="295"/>
      <c r="B491" s="293"/>
      <c r="C491" s="296"/>
      <c r="D491" s="66" t="s">
        <v>418</v>
      </c>
      <c r="H491" s="65"/>
      <c r="I491" s="90" t="s">
        <v>616</v>
      </c>
      <c r="K491" s="71"/>
      <c r="L491" s="72"/>
      <c r="M491" s="71"/>
      <c r="N491" s="216"/>
      <c r="O491" s="71"/>
      <c r="P491" s="74" t="s">
        <v>538</v>
      </c>
    </row>
    <row r="492" spans="1:16">
      <c r="A492" s="295" t="s">
        <v>542</v>
      </c>
      <c r="B492" s="292" t="s">
        <v>526</v>
      </c>
      <c r="C492" s="296" t="s">
        <v>549</v>
      </c>
      <c r="D492" s="66" t="s">
        <v>534</v>
      </c>
      <c r="H492" s="65">
        <v>44651</v>
      </c>
      <c r="I492" s="90" t="s">
        <v>616</v>
      </c>
      <c r="K492" s="71"/>
      <c r="L492" s="72"/>
      <c r="M492" s="71"/>
      <c r="N492" s="216"/>
      <c r="O492" s="71"/>
      <c r="P492" s="72"/>
    </row>
    <row r="493" spans="1:16">
      <c r="A493" s="295"/>
      <c r="B493" s="289"/>
      <c r="C493" s="296"/>
      <c r="D493" s="66" t="s">
        <v>411</v>
      </c>
      <c r="E493" t="s">
        <v>540</v>
      </c>
      <c r="G493" t="s">
        <v>429</v>
      </c>
      <c r="H493" s="65">
        <v>44561</v>
      </c>
      <c r="I493" s="90" t="s">
        <v>616</v>
      </c>
      <c r="K493" s="71"/>
      <c r="L493" s="72"/>
      <c r="M493" s="71">
        <v>8.19</v>
      </c>
      <c r="N493" s="216">
        <v>7.97</v>
      </c>
      <c r="O493" s="71">
        <v>6.65</v>
      </c>
      <c r="P493" s="72">
        <v>6.72</v>
      </c>
    </row>
    <row r="494" spans="1:16">
      <c r="A494" s="295"/>
      <c r="B494" s="289"/>
      <c r="C494" s="296"/>
      <c r="D494" s="66" t="s">
        <v>412</v>
      </c>
      <c r="E494" t="s">
        <v>413</v>
      </c>
      <c r="G494" t="s">
        <v>429</v>
      </c>
      <c r="H494" s="65">
        <v>44561</v>
      </c>
      <c r="I494" s="90" t="s">
        <v>616</v>
      </c>
      <c r="K494" s="71"/>
      <c r="L494" s="72"/>
      <c r="M494" s="71">
        <v>0.67</v>
      </c>
      <c r="N494" s="216">
        <v>0.69</v>
      </c>
      <c r="O494" s="71">
        <v>0.73</v>
      </c>
      <c r="P494" s="72">
        <v>0.81</v>
      </c>
    </row>
    <row r="495" spans="1:16">
      <c r="A495" s="295"/>
      <c r="B495" s="289"/>
      <c r="C495" s="296"/>
      <c r="D495" s="66" t="s">
        <v>415</v>
      </c>
      <c r="E495">
        <v>11</v>
      </c>
      <c r="G495" t="s">
        <v>429</v>
      </c>
      <c r="H495" s="65">
        <v>44561</v>
      </c>
      <c r="I495" s="90" t="s">
        <v>616</v>
      </c>
      <c r="K495" s="71"/>
      <c r="L495" s="72"/>
      <c r="M495" s="71">
        <v>203</v>
      </c>
      <c r="N495" s="216">
        <v>204</v>
      </c>
      <c r="O495" s="71">
        <v>185</v>
      </c>
      <c r="P495" s="72">
        <v>176</v>
      </c>
    </row>
    <row r="496" spans="1:16">
      <c r="A496" s="295"/>
      <c r="B496" s="289"/>
      <c r="C496" s="296"/>
      <c r="D496" s="66" t="s">
        <v>487</v>
      </c>
      <c r="G496" t="s">
        <v>429</v>
      </c>
      <c r="H496" s="65">
        <v>44561</v>
      </c>
      <c r="I496" s="90" t="s">
        <v>616</v>
      </c>
      <c r="K496" s="71"/>
      <c r="L496" s="72"/>
      <c r="M496" s="71">
        <v>505</v>
      </c>
      <c r="N496" s="216">
        <v>501</v>
      </c>
      <c r="O496" s="71">
        <v>439</v>
      </c>
      <c r="P496" s="72">
        <v>456</v>
      </c>
    </row>
    <row r="497" spans="1:16">
      <c r="A497" s="295"/>
      <c r="B497" s="289"/>
      <c r="C497" s="296"/>
      <c r="D497" s="66" t="s">
        <v>601</v>
      </c>
      <c r="G497" t="s">
        <v>561</v>
      </c>
      <c r="H497" s="65">
        <v>44561</v>
      </c>
      <c r="I497" s="90" t="s">
        <v>616</v>
      </c>
      <c r="K497" s="71"/>
      <c r="L497" s="72"/>
      <c r="M497" s="71">
        <v>253</v>
      </c>
      <c r="N497" s="216">
        <v>248</v>
      </c>
      <c r="O497" s="71">
        <v>248</v>
      </c>
      <c r="P497" s="72">
        <v>228</v>
      </c>
    </row>
    <row r="498" spans="1:16">
      <c r="A498" s="295"/>
      <c r="B498" s="289"/>
      <c r="C498" s="296"/>
      <c r="D498" s="66" t="s">
        <v>417</v>
      </c>
      <c r="G498" t="s">
        <v>562</v>
      </c>
      <c r="H498" s="65">
        <v>44561</v>
      </c>
      <c r="I498" s="90" t="s">
        <v>616</v>
      </c>
      <c r="K498" s="71"/>
      <c r="L498" s="72"/>
      <c r="M498" s="71">
        <v>548</v>
      </c>
      <c r="N498" s="216">
        <v>548</v>
      </c>
      <c r="O498" s="71">
        <v>548</v>
      </c>
      <c r="P498" s="72">
        <v>548</v>
      </c>
    </row>
    <row r="499" spans="1:16">
      <c r="A499" s="295"/>
      <c r="B499" s="289"/>
      <c r="C499" s="296"/>
      <c r="D499" s="66" t="s">
        <v>599</v>
      </c>
      <c r="E499" s="45" t="s">
        <v>556</v>
      </c>
      <c r="G499" s="45" t="s">
        <v>558</v>
      </c>
      <c r="H499" s="65">
        <v>44561</v>
      </c>
      <c r="I499" s="90" t="s">
        <v>616</v>
      </c>
      <c r="K499" s="71"/>
      <c r="L499" s="72"/>
      <c r="M499" s="71">
        <v>76.599999999999994</v>
      </c>
      <c r="N499" s="216">
        <v>72.849999999999994</v>
      </c>
      <c r="O499" s="71">
        <v>64.989999999999995</v>
      </c>
      <c r="P499" s="72">
        <v>70.45</v>
      </c>
    </row>
    <row r="500" spans="1:16">
      <c r="A500" s="295"/>
      <c r="B500" s="289"/>
      <c r="C500" s="296"/>
      <c r="D500" s="66" t="s">
        <v>599</v>
      </c>
      <c r="E500" s="45" t="s">
        <v>488</v>
      </c>
      <c r="G500" s="45" t="s">
        <v>557</v>
      </c>
      <c r="H500" s="65">
        <v>44561</v>
      </c>
      <c r="I500" s="90" t="s">
        <v>616</v>
      </c>
      <c r="K500" s="71"/>
      <c r="L500" s="72"/>
      <c r="M500" s="71">
        <v>28.54</v>
      </c>
      <c r="N500" s="216">
        <v>28.28</v>
      </c>
      <c r="O500" s="71">
        <v>25.33</v>
      </c>
      <c r="P500" s="72">
        <v>28.54</v>
      </c>
    </row>
    <row r="501" spans="1:16">
      <c r="A501" s="295"/>
      <c r="B501" s="289"/>
      <c r="C501" s="296"/>
      <c r="D501" s="66" t="s">
        <v>599</v>
      </c>
      <c r="E501" s="45" t="s">
        <v>559</v>
      </c>
      <c r="G501" s="45" t="s">
        <v>560</v>
      </c>
      <c r="H501" s="65">
        <v>44561</v>
      </c>
      <c r="I501" s="90" t="s">
        <v>616</v>
      </c>
      <c r="K501" s="71"/>
      <c r="L501" s="72"/>
      <c r="M501" s="71">
        <v>9483</v>
      </c>
      <c r="N501" s="216">
        <v>8068</v>
      </c>
      <c r="O501" s="71">
        <v>8073</v>
      </c>
      <c r="P501" s="72">
        <v>8476</v>
      </c>
    </row>
    <row r="502" spans="1:16">
      <c r="A502" s="295"/>
      <c r="B502" s="293"/>
      <c r="C502" s="296"/>
      <c r="D502" s="66" t="s">
        <v>418</v>
      </c>
      <c r="H502" s="65"/>
      <c r="I502" s="90" t="s">
        <v>616</v>
      </c>
      <c r="K502" s="71"/>
      <c r="L502" s="72"/>
      <c r="M502" s="71"/>
      <c r="N502" s="216"/>
      <c r="O502" s="71"/>
      <c r="P502" s="74" t="s">
        <v>538</v>
      </c>
    </row>
    <row r="503" spans="1:16">
      <c r="A503" s="295" t="s">
        <v>543</v>
      </c>
      <c r="B503" s="292" t="s">
        <v>544</v>
      </c>
      <c r="C503" s="296" t="s">
        <v>547</v>
      </c>
      <c r="D503" s="66" t="s">
        <v>534</v>
      </c>
      <c r="H503" s="65">
        <v>44651</v>
      </c>
      <c r="I503" s="90" t="s">
        <v>616</v>
      </c>
      <c r="K503" s="71"/>
      <c r="L503" s="72"/>
      <c r="M503" s="71"/>
      <c r="N503" s="216"/>
      <c r="O503" s="71"/>
      <c r="P503" s="72"/>
    </row>
    <row r="504" spans="1:16">
      <c r="A504" s="295"/>
      <c r="B504" s="289"/>
      <c r="C504" s="296"/>
      <c r="D504" s="66" t="s">
        <v>411</v>
      </c>
      <c r="E504" t="s">
        <v>539</v>
      </c>
      <c r="G504" t="s">
        <v>429</v>
      </c>
      <c r="H504" s="65">
        <v>44561</v>
      </c>
      <c r="I504" s="90" t="s">
        <v>616</v>
      </c>
      <c r="K504" s="71"/>
      <c r="L504" s="72"/>
      <c r="M504" s="71">
        <v>43.4</v>
      </c>
      <c r="N504" s="216">
        <v>41.2</v>
      </c>
      <c r="O504" s="71">
        <v>37.799999999999997</v>
      </c>
      <c r="P504" s="72">
        <v>40.1</v>
      </c>
    </row>
    <row r="505" spans="1:16">
      <c r="A505" s="295"/>
      <c r="B505" s="289"/>
      <c r="C505" s="296"/>
      <c r="D505" s="66" t="s">
        <v>411</v>
      </c>
      <c r="E505" t="s">
        <v>540</v>
      </c>
      <c r="G505" t="s">
        <v>429</v>
      </c>
      <c r="H505" s="65">
        <v>44561</v>
      </c>
      <c r="I505" s="90" t="s">
        <v>616</v>
      </c>
      <c r="K505" s="71"/>
      <c r="L505" s="72"/>
      <c r="M505" s="71">
        <v>0.62</v>
      </c>
      <c r="N505" s="216">
        <v>0.25</v>
      </c>
      <c r="O505" s="71">
        <v>0.36</v>
      </c>
      <c r="P505" s="72">
        <v>1.01</v>
      </c>
    </row>
    <row r="506" spans="1:16">
      <c r="A506" s="295"/>
      <c r="B506" s="289"/>
      <c r="C506" s="296"/>
      <c r="D506" s="66" t="s">
        <v>412</v>
      </c>
      <c r="E506" t="s">
        <v>413</v>
      </c>
      <c r="G506" t="s">
        <v>429</v>
      </c>
      <c r="H506" s="65">
        <v>44561</v>
      </c>
      <c r="I506" s="90" t="s">
        <v>616</v>
      </c>
      <c r="K506" s="71"/>
      <c r="L506" s="72"/>
      <c r="M506" s="71">
        <v>0.67</v>
      </c>
      <c r="N506" s="216">
        <v>0.69</v>
      </c>
      <c r="O506" s="71">
        <v>0.73</v>
      </c>
      <c r="P506" s="72">
        <v>0.81</v>
      </c>
    </row>
    <row r="507" spans="1:16">
      <c r="A507" s="295"/>
      <c r="B507" s="289"/>
      <c r="C507" s="296"/>
      <c r="D507" s="66" t="s">
        <v>415</v>
      </c>
      <c r="E507">
        <v>11</v>
      </c>
      <c r="G507" t="s">
        <v>429</v>
      </c>
      <c r="H507" s="65">
        <v>44561</v>
      </c>
      <c r="I507" s="90" t="s">
        <v>616</v>
      </c>
      <c r="K507" s="71"/>
      <c r="L507" s="72"/>
      <c r="M507" s="71">
        <v>203</v>
      </c>
      <c r="N507" s="216">
        <v>204</v>
      </c>
      <c r="O507" s="71">
        <v>185</v>
      </c>
      <c r="P507" s="72">
        <v>176</v>
      </c>
    </row>
    <row r="508" spans="1:16">
      <c r="A508" s="295"/>
      <c r="B508" s="289"/>
      <c r="C508" s="296"/>
      <c r="D508" s="66" t="s">
        <v>487</v>
      </c>
      <c r="G508" t="s">
        <v>429</v>
      </c>
      <c r="H508" s="65">
        <v>44561</v>
      </c>
      <c r="I508" s="90" t="s">
        <v>616</v>
      </c>
      <c r="K508" s="71"/>
      <c r="L508" s="72"/>
      <c r="M508" s="71">
        <v>505</v>
      </c>
      <c r="N508" s="216">
        <v>501</v>
      </c>
      <c r="O508" s="71">
        <v>439</v>
      </c>
      <c r="P508" s="72">
        <v>456</v>
      </c>
    </row>
    <row r="509" spans="1:16">
      <c r="A509" s="295"/>
      <c r="B509" s="289"/>
      <c r="C509" s="296"/>
      <c r="D509" s="66" t="s">
        <v>601</v>
      </c>
      <c r="G509" t="s">
        <v>611</v>
      </c>
      <c r="H509" s="65">
        <v>44561</v>
      </c>
      <c r="I509" s="90" t="s">
        <v>616</v>
      </c>
      <c r="K509" s="71"/>
      <c r="L509" s="72"/>
      <c r="M509" s="71">
        <v>68</v>
      </c>
      <c r="N509" s="216">
        <v>68</v>
      </c>
      <c r="O509" s="71">
        <v>68</v>
      </c>
      <c r="P509" s="72">
        <v>67</v>
      </c>
    </row>
    <row r="510" spans="1:16">
      <c r="A510" s="295"/>
      <c r="B510" s="289"/>
      <c r="C510" s="296"/>
      <c r="D510" s="66" t="s">
        <v>417</v>
      </c>
      <c r="E510" t="s">
        <v>540</v>
      </c>
      <c r="G510" t="s">
        <v>1049</v>
      </c>
      <c r="H510" s="65">
        <v>44561</v>
      </c>
      <c r="I510" s="90" t="s">
        <v>616</v>
      </c>
      <c r="K510" s="71"/>
      <c r="L510" s="72"/>
      <c r="M510" s="71">
        <v>76.599999999999994</v>
      </c>
      <c r="N510" s="216">
        <v>72.849999999999994</v>
      </c>
      <c r="O510" s="71">
        <v>64.989999999999995</v>
      </c>
      <c r="P510" s="72">
        <v>70.45</v>
      </c>
    </row>
    <row r="511" spans="1:16">
      <c r="A511" s="295"/>
      <c r="B511" s="289"/>
      <c r="C511" s="296"/>
      <c r="D511" s="66" t="s">
        <v>417</v>
      </c>
      <c r="E511" t="s">
        <v>539</v>
      </c>
      <c r="G511" t="s">
        <v>62</v>
      </c>
      <c r="H511" s="65">
        <v>44561</v>
      </c>
      <c r="I511" s="90" t="s">
        <v>616</v>
      </c>
      <c r="K511" s="71"/>
      <c r="L511" s="72"/>
      <c r="M511" s="71">
        <v>28.54</v>
      </c>
      <c r="N511" s="216">
        <v>28.28</v>
      </c>
      <c r="O511" s="71">
        <v>25.33</v>
      </c>
      <c r="P511" s="72">
        <v>28.54</v>
      </c>
    </row>
    <row r="512" spans="1:16">
      <c r="A512" s="295"/>
      <c r="B512" s="289"/>
      <c r="C512" s="296"/>
      <c r="D512" s="66" t="s">
        <v>593</v>
      </c>
      <c r="E512" t="s">
        <v>424</v>
      </c>
      <c r="G512" t="s">
        <v>181</v>
      </c>
      <c r="H512" s="65">
        <v>44561</v>
      </c>
      <c r="I512" s="90" t="s">
        <v>616</v>
      </c>
      <c r="K512" s="71"/>
      <c r="L512" s="72"/>
      <c r="M512" s="71">
        <v>43.5</v>
      </c>
      <c r="N512" s="216">
        <v>45.4</v>
      </c>
      <c r="O512" s="71">
        <v>45.4</v>
      </c>
      <c r="P512" s="72">
        <v>42.4</v>
      </c>
    </row>
    <row r="513" spans="1:16">
      <c r="A513" s="295"/>
      <c r="B513" s="293"/>
      <c r="C513" s="296"/>
      <c r="D513" s="66" t="s">
        <v>418</v>
      </c>
      <c r="H513" s="65"/>
      <c r="I513" s="90" t="s">
        <v>616</v>
      </c>
      <c r="K513" s="71"/>
      <c r="L513" s="72"/>
      <c r="M513" s="71"/>
      <c r="N513" s="216"/>
      <c r="O513" s="71"/>
      <c r="P513" s="74" t="s">
        <v>538</v>
      </c>
    </row>
    <row r="514" spans="1:16">
      <c r="A514" s="295" t="s">
        <v>136</v>
      </c>
      <c r="B514" s="292" t="s">
        <v>137</v>
      </c>
      <c r="C514" s="296" t="s">
        <v>138</v>
      </c>
      <c r="D514" s="66" t="s">
        <v>414</v>
      </c>
      <c r="G514" t="s">
        <v>429</v>
      </c>
      <c r="H514" s="65">
        <v>44561</v>
      </c>
      <c r="K514" s="71">
        <v>32.534277276775498</v>
      </c>
      <c r="L514" s="72">
        <v>31.452615946488201</v>
      </c>
      <c r="M514" s="71">
        <v>34.632403953117503</v>
      </c>
      <c r="N514" s="216">
        <v>33.246229122713601</v>
      </c>
      <c r="O514" s="71">
        <v>30.543162251514801</v>
      </c>
      <c r="P514" s="72"/>
    </row>
    <row r="515" spans="1:16">
      <c r="A515" s="295"/>
      <c r="B515" s="289"/>
      <c r="C515" s="296"/>
      <c r="D515" s="66" t="s">
        <v>417</v>
      </c>
      <c r="G515" t="s">
        <v>62</v>
      </c>
      <c r="H515" s="65">
        <v>44561</v>
      </c>
      <c r="K515" s="71">
        <v>95.811363396945296</v>
      </c>
      <c r="L515" s="72">
        <v>90.773791353405699</v>
      </c>
      <c r="M515" s="71">
        <v>97.9689857895942</v>
      </c>
      <c r="N515" s="216">
        <v>102.30344268821401</v>
      </c>
      <c r="O515" s="71">
        <v>102.664904189743</v>
      </c>
      <c r="P515" s="72"/>
    </row>
    <row r="516" spans="1:16">
      <c r="A516" s="295"/>
      <c r="B516" s="293"/>
      <c r="C516" s="296"/>
      <c r="D516" s="66" t="s">
        <v>418</v>
      </c>
      <c r="H516" s="65"/>
      <c r="K516" s="71"/>
      <c r="L516" s="72"/>
      <c r="M516" s="71"/>
      <c r="N516" s="216"/>
      <c r="O516" s="71"/>
      <c r="P516" s="72"/>
    </row>
    <row r="517" spans="1:16">
      <c r="A517" s="295" t="s">
        <v>136</v>
      </c>
      <c r="B517" s="292" t="s">
        <v>137</v>
      </c>
      <c r="C517" s="296" t="s">
        <v>138</v>
      </c>
      <c r="D517" s="66" t="s">
        <v>411</v>
      </c>
      <c r="G517" t="s">
        <v>429</v>
      </c>
      <c r="H517" s="65">
        <v>44561</v>
      </c>
      <c r="K517" s="71"/>
      <c r="L517" s="72"/>
      <c r="M517" s="71"/>
      <c r="N517" s="216"/>
      <c r="O517" s="71"/>
      <c r="P517" s="72"/>
    </row>
    <row r="518" spans="1:16">
      <c r="A518" s="295"/>
      <c r="B518" s="289"/>
      <c r="C518" s="296"/>
      <c r="D518" s="66" t="s">
        <v>412</v>
      </c>
      <c r="E518" t="s">
        <v>413</v>
      </c>
      <c r="G518" t="s">
        <v>429</v>
      </c>
      <c r="H518" s="65">
        <v>44561</v>
      </c>
      <c r="K518" s="71"/>
      <c r="L518" s="72"/>
      <c r="M518" s="71"/>
      <c r="N518" s="216"/>
      <c r="O518" s="71"/>
      <c r="P518" s="72"/>
    </row>
    <row r="519" spans="1:16">
      <c r="A519" s="295"/>
      <c r="B519" s="289"/>
      <c r="C519" s="296"/>
      <c r="D519" s="66" t="s">
        <v>414</v>
      </c>
      <c r="E519" t="s">
        <v>413</v>
      </c>
      <c r="G519" t="s">
        <v>429</v>
      </c>
      <c r="H519" s="65">
        <v>44561</v>
      </c>
      <c r="K519" s="71"/>
      <c r="L519" s="72"/>
      <c r="M519" s="71"/>
      <c r="N519" s="216"/>
      <c r="O519" s="71"/>
      <c r="P519" s="72"/>
    </row>
    <row r="520" spans="1:16">
      <c r="A520" s="295"/>
      <c r="B520" s="289"/>
      <c r="C520" s="296"/>
      <c r="D520" s="66" t="s">
        <v>415</v>
      </c>
      <c r="E520" t="s">
        <v>416</v>
      </c>
      <c r="G520" t="s">
        <v>429</v>
      </c>
      <c r="H520" s="65">
        <v>44561</v>
      </c>
      <c r="K520" s="71"/>
      <c r="L520" s="72"/>
      <c r="M520" s="71"/>
      <c r="N520" s="216"/>
      <c r="O520" s="71"/>
      <c r="P520" s="72"/>
    </row>
    <row r="521" spans="1:16">
      <c r="A521" s="295"/>
      <c r="B521" s="289"/>
      <c r="C521" s="296"/>
      <c r="D521" s="66" t="s">
        <v>417</v>
      </c>
      <c r="G521" t="s">
        <v>62</v>
      </c>
      <c r="H521" s="65">
        <v>44561</v>
      </c>
      <c r="K521" s="71"/>
      <c r="L521" s="72"/>
      <c r="M521" s="71"/>
      <c r="N521" s="216"/>
      <c r="O521" s="71"/>
      <c r="P521" s="72"/>
    </row>
    <row r="522" spans="1:16">
      <c r="A522" s="295"/>
      <c r="B522" s="293"/>
      <c r="C522" s="296"/>
      <c r="D522" s="66" t="s">
        <v>418</v>
      </c>
      <c r="H522" s="65"/>
      <c r="K522" s="71"/>
      <c r="L522" s="72"/>
      <c r="M522" s="71"/>
      <c r="N522" s="216"/>
      <c r="O522" s="71"/>
      <c r="P522" s="100" t="s">
        <v>504</v>
      </c>
    </row>
    <row r="523" spans="1:16">
      <c r="A523" s="295" t="s">
        <v>139</v>
      </c>
      <c r="B523" s="292" t="s">
        <v>140</v>
      </c>
      <c r="C523" s="296" t="s">
        <v>141</v>
      </c>
      <c r="D523" s="66" t="s">
        <v>414</v>
      </c>
      <c r="G523" t="s">
        <v>429</v>
      </c>
      <c r="H523" s="65">
        <v>44561</v>
      </c>
      <c r="K523" s="71">
        <v>35.143399275736499</v>
      </c>
      <c r="L523" s="72">
        <v>32.270603331565901</v>
      </c>
      <c r="M523" s="71">
        <v>30.548667622949999</v>
      </c>
      <c r="N523" s="216">
        <v>26.749411150191399</v>
      </c>
      <c r="O523" s="71">
        <v>24.402943213709602</v>
      </c>
      <c r="P523" s="72"/>
    </row>
    <row r="524" spans="1:16">
      <c r="A524" s="295"/>
      <c r="B524" s="289"/>
      <c r="C524" s="296"/>
      <c r="D524" s="66" t="s">
        <v>417</v>
      </c>
      <c r="G524" t="s">
        <v>62</v>
      </c>
      <c r="H524" s="65">
        <v>44561</v>
      </c>
      <c r="K524" s="71">
        <v>44.026084980599997</v>
      </c>
      <c r="L524" s="72">
        <v>43.611918605100001</v>
      </c>
      <c r="M524" s="71">
        <v>40.625634925699998</v>
      </c>
      <c r="N524" s="216">
        <v>37.623516467499996</v>
      </c>
      <c r="O524" s="71">
        <v>35.892610833500001</v>
      </c>
      <c r="P524" s="72"/>
    </row>
    <row r="525" spans="1:16">
      <c r="A525" s="295"/>
      <c r="B525" s="293"/>
      <c r="C525" s="296"/>
      <c r="D525" s="66" t="s">
        <v>418</v>
      </c>
      <c r="H525" s="65"/>
      <c r="K525" s="71"/>
      <c r="L525" s="72"/>
      <c r="M525" s="71"/>
      <c r="N525" s="216"/>
      <c r="O525" s="71"/>
      <c r="P525" s="72" t="s">
        <v>634</v>
      </c>
    </row>
    <row r="526" spans="1:16">
      <c r="A526" s="295" t="s">
        <v>142</v>
      </c>
      <c r="B526" s="292" t="s">
        <v>143</v>
      </c>
      <c r="C526" s="296" t="s">
        <v>144</v>
      </c>
      <c r="D526" s="66" t="s">
        <v>414</v>
      </c>
      <c r="G526" t="s">
        <v>429</v>
      </c>
      <c r="H526" s="65">
        <v>44561</v>
      </c>
      <c r="K526" s="71">
        <v>0.54127068994473704</v>
      </c>
      <c r="L526" s="72">
        <v>0.38852905220415002</v>
      </c>
      <c r="M526" s="71">
        <v>3.4941452190248999E-3</v>
      </c>
      <c r="N526" s="216">
        <v>2.212864871423E-4</v>
      </c>
      <c r="O526" s="71">
        <v>3.6851314504339998E-4</v>
      </c>
      <c r="P526" s="72"/>
    </row>
    <row r="527" spans="1:16">
      <c r="A527" s="295"/>
      <c r="B527" s="289"/>
      <c r="C527" s="296"/>
      <c r="D527" s="66" t="s">
        <v>417</v>
      </c>
      <c r="G527" t="s">
        <v>62</v>
      </c>
      <c r="H527" s="65">
        <v>44561</v>
      </c>
      <c r="K527" s="71">
        <v>1.0800586419061999</v>
      </c>
      <c r="L527" s="72">
        <v>0.99355118802682396</v>
      </c>
      <c r="M527" s="71">
        <v>1.74436112E-2</v>
      </c>
      <c r="N527" s="216">
        <v>6.0743841799999997E-2</v>
      </c>
      <c r="O527" s="71">
        <v>8.1134556999999996E-2</v>
      </c>
      <c r="P527" s="72"/>
    </row>
    <row r="528" spans="1:16">
      <c r="A528" s="295"/>
      <c r="B528" s="293"/>
      <c r="C528" s="296"/>
      <c r="D528" s="66" t="s">
        <v>418</v>
      </c>
      <c r="H528" s="65"/>
      <c r="K528" s="71"/>
      <c r="L528" s="72"/>
      <c r="M528" s="71"/>
      <c r="N528" s="216"/>
      <c r="O528" s="71"/>
      <c r="P528" s="72"/>
    </row>
    <row r="529" spans="1:16">
      <c r="A529" s="295" t="s">
        <v>145</v>
      </c>
      <c r="B529" s="292" t="s">
        <v>146</v>
      </c>
      <c r="C529" s="296" t="s">
        <v>147</v>
      </c>
      <c r="D529" s="66" t="s">
        <v>411</v>
      </c>
      <c r="F529" t="s">
        <v>1062</v>
      </c>
      <c r="G529" t="s">
        <v>427</v>
      </c>
      <c r="H529" s="65">
        <v>44593</v>
      </c>
      <c r="I529" s="90" t="s">
        <v>970</v>
      </c>
      <c r="K529" s="71"/>
      <c r="L529" s="72"/>
      <c r="M529" s="71"/>
      <c r="N529" s="216">
        <v>0</v>
      </c>
      <c r="O529" s="71">
        <v>0</v>
      </c>
      <c r="P529" s="72">
        <v>0</v>
      </c>
    </row>
    <row r="530" spans="1:16">
      <c r="A530" s="295"/>
      <c r="B530" s="289"/>
      <c r="C530" s="296"/>
      <c r="D530" s="66" t="s">
        <v>412</v>
      </c>
      <c r="E530" t="s">
        <v>413</v>
      </c>
      <c r="F530" t="s">
        <v>1062</v>
      </c>
      <c r="G530" t="s">
        <v>427</v>
      </c>
      <c r="H530" s="65">
        <v>44593</v>
      </c>
      <c r="I530" s="90" t="s">
        <v>970</v>
      </c>
      <c r="K530" s="71"/>
      <c r="L530" s="72"/>
      <c r="M530" s="71"/>
      <c r="N530" s="216">
        <v>5521</v>
      </c>
      <c r="O530" s="71">
        <v>4890</v>
      </c>
      <c r="P530" s="72">
        <v>5211</v>
      </c>
    </row>
    <row r="531" spans="1:16">
      <c r="A531" s="295"/>
      <c r="B531" s="289"/>
      <c r="C531" s="296"/>
      <c r="D531" s="66" t="s">
        <v>411</v>
      </c>
      <c r="F531" t="s">
        <v>1063</v>
      </c>
      <c r="G531" t="s">
        <v>427</v>
      </c>
      <c r="H531" s="65">
        <v>44593</v>
      </c>
      <c r="I531" s="90" t="s">
        <v>970</v>
      </c>
      <c r="K531" s="71"/>
      <c r="L531" s="72"/>
      <c r="M531" s="71"/>
      <c r="N531" s="216">
        <v>519</v>
      </c>
      <c r="O531" s="71">
        <v>479</v>
      </c>
      <c r="P531" s="72">
        <v>467</v>
      </c>
    </row>
    <row r="532" spans="1:16">
      <c r="A532" s="295"/>
      <c r="B532" s="289"/>
      <c r="C532" s="296"/>
      <c r="D532" s="66" t="s">
        <v>412</v>
      </c>
      <c r="F532" t="s">
        <v>1063</v>
      </c>
      <c r="G532" t="s">
        <v>427</v>
      </c>
      <c r="H532" s="65">
        <v>44593</v>
      </c>
      <c r="I532" s="90" t="s">
        <v>970</v>
      </c>
      <c r="K532" s="71"/>
      <c r="L532" s="72"/>
      <c r="M532" s="71"/>
      <c r="N532" s="216">
        <v>69</v>
      </c>
      <c r="O532" s="71">
        <v>59</v>
      </c>
      <c r="P532" s="72">
        <v>71</v>
      </c>
    </row>
    <row r="533" spans="1:16">
      <c r="A533" s="295"/>
      <c r="B533" s="289"/>
      <c r="C533" s="296"/>
      <c r="D533" s="66" t="s">
        <v>414</v>
      </c>
      <c r="F533" t="s">
        <v>1063</v>
      </c>
      <c r="G533" t="s">
        <v>427</v>
      </c>
      <c r="H533" s="65">
        <v>44593</v>
      </c>
      <c r="I533" s="90" t="s">
        <v>970</v>
      </c>
      <c r="K533" s="71"/>
      <c r="L533" s="72"/>
      <c r="M533" s="71"/>
      <c r="N533" s="216">
        <v>587</v>
      </c>
      <c r="O533" s="71">
        <v>538</v>
      </c>
      <c r="P533" s="72">
        <v>538</v>
      </c>
    </row>
    <row r="534" spans="1:16">
      <c r="A534" s="295"/>
      <c r="B534" s="289"/>
      <c r="C534" s="296"/>
      <c r="D534" s="66" t="s">
        <v>411</v>
      </c>
      <c r="F534" t="s">
        <v>443</v>
      </c>
      <c r="G534" t="s">
        <v>427</v>
      </c>
      <c r="H534" s="65">
        <v>44593</v>
      </c>
      <c r="K534" s="71"/>
      <c r="L534" s="72"/>
      <c r="M534" s="71"/>
      <c r="N534" s="216">
        <v>519</v>
      </c>
      <c r="O534" s="71">
        <v>479</v>
      </c>
      <c r="P534" s="72">
        <v>467</v>
      </c>
    </row>
    <row r="535" spans="1:16">
      <c r="A535" s="295"/>
      <c r="B535" s="289"/>
      <c r="C535" s="296"/>
      <c r="D535" s="66" t="s">
        <v>414</v>
      </c>
      <c r="E535" t="s">
        <v>413</v>
      </c>
      <c r="F535" t="s">
        <v>443</v>
      </c>
      <c r="G535" t="s">
        <v>427</v>
      </c>
      <c r="H535" s="65">
        <v>44593</v>
      </c>
      <c r="K535" s="71"/>
      <c r="L535" s="72"/>
      <c r="M535" s="71"/>
      <c r="N535" s="216">
        <v>5800</v>
      </c>
      <c r="O535" s="71">
        <v>5052</v>
      </c>
      <c r="P535" s="72">
        <v>5335</v>
      </c>
    </row>
    <row r="536" spans="1:16">
      <c r="A536" s="295"/>
      <c r="B536" s="289"/>
      <c r="C536" s="296"/>
      <c r="D536" s="66" t="s">
        <v>414</v>
      </c>
      <c r="E536" t="s">
        <v>420</v>
      </c>
      <c r="F536" t="s">
        <v>443</v>
      </c>
      <c r="G536" t="s">
        <v>427</v>
      </c>
      <c r="H536" s="65">
        <v>44593</v>
      </c>
      <c r="I536" s="90" t="s">
        <v>970</v>
      </c>
      <c r="K536" s="71"/>
      <c r="L536" s="72"/>
      <c r="M536" s="71"/>
      <c r="N536" s="216">
        <v>6108</v>
      </c>
      <c r="O536" s="71">
        <v>5428</v>
      </c>
      <c r="P536" s="72">
        <v>5749</v>
      </c>
    </row>
    <row r="537" spans="1:16">
      <c r="A537" s="295"/>
      <c r="B537" s="289"/>
      <c r="C537" s="296"/>
      <c r="D537" s="66" t="s">
        <v>415</v>
      </c>
      <c r="E537" t="s">
        <v>416</v>
      </c>
      <c r="G537" t="s">
        <v>427</v>
      </c>
      <c r="H537" s="65">
        <v>44593</v>
      </c>
      <c r="I537" s="90" t="s">
        <v>970</v>
      </c>
      <c r="K537" s="71"/>
      <c r="L537" s="72"/>
      <c r="M537" s="71"/>
      <c r="N537" s="216">
        <v>88660</v>
      </c>
      <c r="O537" s="71">
        <v>81394</v>
      </c>
      <c r="P537" s="72">
        <v>88698</v>
      </c>
    </row>
    <row r="538" spans="1:16">
      <c r="A538" s="295"/>
      <c r="B538" s="289"/>
      <c r="C538" s="296"/>
      <c r="D538" s="66" t="s">
        <v>415</v>
      </c>
      <c r="E538" t="s">
        <v>539</v>
      </c>
      <c r="G538" t="s">
        <v>427</v>
      </c>
      <c r="H538" s="65">
        <v>44593</v>
      </c>
      <c r="K538" s="71"/>
      <c r="L538" s="72"/>
      <c r="M538" s="71"/>
      <c r="N538" s="216">
        <v>73708</v>
      </c>
      <c r="O538" s="71">
        <v>67317</v>
      </c>
      <c r="P538" s="72">
        <v>74659</v>
      </c>
    </row>
    <row r="539" spans="1:16">
      <c r="A539" s="295"/>
      <c r="B539" s="289"/>
      <c r="C539" s="296"/>
      <c r="D539" s="66" t="s">
        <v>415</v>
      </c>
      <c r="E539">
        <v>3</v>
      </c>
      <c r="F539" t="s">
        <v>1070</v>
      </c>
      <c r="G539" t="s">
        <v>427</v>
      </c>
      <c r="H539" s="65">
        <v>44593</v>
      </c>
      <c r="I539" s="90" t="s">
        <v>970</v>
      </c>
      <c r="K539" s="71"/>
      <c r="L539" s="72"/>
      <c r="M539" s="71"/>
      <c r="N539" s="216">
        <v>2145</v>
      </c>
      <c r="O539" s="71">
        <v>1969</v>
      </c>
      <c r="P539" s="72">
        <v>1995</v>
      </c>
    </row>
    <row r="540" spans="1:16">
      <c r="A540" s="295"/>
      <c r="B540" s="289"/>
      <c r="C540" s="296"/>
      <c r="D540" s="66" t="s">
        <v>415</v>
      </c>
      <c r="E540" t="s">
        <v>540</v>
      </c>
      <c r="G540" t="s">
        <v>427</v>
      </c>
      <c r="H540" s="65">
        <v>44593</v>
      </c>
      <c r="I540" s="90" t="s">
        <v>970</v>
      </c>
      <c r="K540" s="71"/>
      <c r="L540" s="72"/>
      <c r="M540" s="71"/>
      <c r="N540" s="216">
        <v>11109</v>
      </c>
      <c r="O540" s="71">
        <v>10198</v>
      </c>
      <c r="P540" s="72">
        <v>10280</v>
      </c>
    </row>
    <row r="541" spans="1:16">
      <c r="A541" s="295"/>
      <c r="B541" s="289"/>
      <c r="C541" s="296"/>
      <c r="D541" s="66" t="s">
        <v>417</v>
      </c>
      <c r="E541" t="s">
        <v>539</v>
      </c>
      <c r="G541" t="s">
        <v>79</v>
      </c>
      <c r="H541" s="65">
        <v>44593</v>
      </c>
      <c r="K541" s="71"/>
      <c r="L541" s="72"/>
      <c r="M541" s="71"/>
      <c r="N541" s="216">
        <v>259171000</v>
      </c>
      <c r="O541" s="71">
        <v>281610000</v>
      </c>
      <c r="P541" s="72">
        <v>269129000</v>
      </c>
    </row>
    <row r="542" spans="1:16">
      <c r="A542" s="295"/>
      <c r="B542" s="289"/>
      <c r="C542" s="296"/>
      <c r="D542" s="66"/>
      <c r="H542" s="65"/>
      <c r="K542" s="71"/>
      <c r="L542" s="72"/>
      <c r="M542" s="71"/>
      <c r="N542" s="216"/>
      <c r="O542" s="71"/>
      <c r="P542" s="74" t="s">
        <v>1106</v>
      </c>
    </row>
    <row r="543" spans="1:16">
      <c r="A543" s="295"/>
      <c r="B543" s="293"/>
      <c r="C543" s="296"/>
      <c r="D543" s="66" t="s">
        <v>418</v>
      </c>
      <c r="H543" s="65">
        <v>44593</v>
      </c>
      <c r="K543" s="71"/>
      <c r="L543" s="72"/>
      <c r="M543" s="71"/>
      <c r="N543" s="216"/>
      <c r="O543" s="71"/>
      <c r="P543" s="74" t="s">
        <v>1061</v>
      </c>
    </row>
    <row r="544" spans="1:16">
      <c r="A544" s="295" t="s">
        <v>1064</v>
      </c>
      <c r="B544" s="292" t="s">
        <v>1066</v>
      </c>
      <c r="C544" s="296" t="s">
        <v>1065</v>
      </c>
      <c r="D544" s="66" t="s">
        <v>411</v>
      </c>
      <c r="G544" t="s">
        <v>427</v>
      </c>
      <c r="H544" s="65">
        <v>44593</v>
      </c>
      <c r="K544" s="71"/>
      <c r="L544" s="72"/>
      <c r="M544" s="71"/>
      <c r="N544" s="216">
        <v>8867</v>
      </c>
      <c r="O544" s="71">
        <v>8004</v>
      </c>
      <c r="P544" s="72">
        <v>8254</v>
      </c>
    </row>
    <row r="545" spans="1:16">
      <c r="A545" s="295"/>
      <c r="B545" s="289"/>
      <c r="C545" s="296"/>
      <c r="D545" s="66" t="s">
        <v>1068</v>
      </c>
      <c r="G545" t="s">
        <v>427</v>
      </c>
      <c r="H545" s="65">
        <v>44593</v>
      </c>
      <c r="I545" s="90" t="s">
        <v>970</v>
      </c>
      <c r="K545" s="71"/>
      <c r="L545" s="72"/>
      <c r="M545" s="71"/>
      <c r="N545" s="216">
        <v>825</v>
      </c>
      <c r="O545" s="71">
        <v>709</v>
      </c>
      <c r="P545" s="72">
        <v>309</v>
      </c>
    </row>
    <row r="546" spans="1:16">
      <c r="A546" s="295"/>
      <c r="B546" s="289"/>
      <c r="C546" s="296"/>
      <c r="D546" s="66" t="s">
        <v>412</v>
      </c>
      <c r="E546" t="s">
        <v>413</v>
      </c>
      <c r="G546" t="s">
        <v>427</v>
      </c>
      <c r="H546" s="65">
        <v>44593</v>
      </c>
      <c r="K546" s="71"/>
      <c r="L546" s="72"/>
      <c r="M546" s="71"/>
      <c r="N546" s="216">
        <v>418</v>
      </c>
      <c r="O546" s="71">
        <v>397</v>
      </c>
      <c r="P546" s="72">
        <v>409</v>
      </c>
    </row>
    <row r="547" spans="1:16">
      <c r="A547" s="295"/>
      <c r="B547" s="289"/>
      <c r="C547" s="296"/>
      <c r="D547" s="66" t="s">
        <v>412</v>
      </c>
      <c r="E547" t="s">
        <v>420</v>
      </c>
      <c r="G547" t="s">
        <v>427</v>
      </c>
      <c r="H547" s="65">
        <v>44593</v>
      </c>
      <c r="K547" s="71"/>
      <c r="L547" s="72"/>
      <c r="M547" s="71"/>
      <c r="N547" s="216">
        <v>121</v>
      </c>
      <c r="O547" s="71">
        <v>175</v>
      </c>
      <c r="P547" s="72">
        <v>94</v>
      </c>
    </row>
    <row r="548" spans="1:16">
      <c r="A548" s="295"/>
      <c r="B548" s="289"/>
      <c r="C548" s="296"/>
      <c r="D548" s="66" t="s">
        <v>414</v>
      </c>
      <c r="E548" t="s">
        <v>413</v>
      </c>
      <c r="G548" t="s">
        <v>427</v>
      </c>
      <c r="H548" s="65">
        <v>44593</v>
      </c>
      <c r="K548" s="71"/>
      <c r="L548" s="72"/>
      <c r="M548" s="71"/>
      <c r="N548" s="216">
        <v>9285</v>
      </c>
      <c r="O548" s="71">
        <v>8402</v>
      </c>
      <c r="P548" s="72">
        <v>8663</v>
      </c>
    </row>
    <row r="549" spans="1:16">
      <c r="A549" s="295"/>
      <c r="B549" s="289"/>
      <c r="C549" s="296"/>
      <c r="D549" s="66" t="s">
        <v>414</v>
      </c>
      <c r="E549" t="s">
        <v>420</v>
      </c>
      <c r="G549" t="s">
        <v>427</v>
      </c>
      <c r="H549" s="65">
        <v>44593</v>
      </c>
      <c r="K549" s="71"/>
      <c r="L549" s="72"/>
      <c r="M549" s="71"/>
      <c r="N549" s="216">
        <v>8987</v>
      </c>
      <c r="O549" s="71">
        <v>8180</v>
      </c>
      <c r="P549" s="72">
        <v>8348</v>
      </c>
    </row>
    <row r="550" spans="1:16">
      <c r="A550" s="295"/>
      <c r="B550" s="289"/>
      <c r="C550" s="296"/>
      <c r="D550" s="66" t="s">
        <v>415</v>
      </c>
      <c r="E550" t="s">
        <v>416</v>
      </c>
      <c r="G550" t="s">
        <v>427</v>
      </c>
      <c r="H550" s="65">
        <v>44593</v>
      </c>
      <c r="K550" s="71"/>
      <c r="L550" s="72"/>
      <c r="M550" s="71"/>
      <c r="N550" s="216">
        <v>95839</v>
      </c>
      <c r="O550" s="71">
        <v>100396</v>
      </c>
      <c r="P550" s="72">
        <v>93647</v>
      </c>
    </row>
    <row r="551" spans="1:16">
      <c r="A551" s="295"/>
      <c r="B551" s="289"/>
      <c r="C551" s="296"/>
      <c r="D551" s="66" t="s">
        <v>415</v>
      </c>
      <c r="E551" t="s">
        <v>539</v>
      </c>
      <c r="F551" t="s">
        <v>484</v>
      </c>
      <c r="G551" t="s">
        <v>427</v>
      </c>
      <c r="H551" s="65">
        <v>44593</v>
      </c>
      <c r="K551" s="71"/>
      <c r="L551" s="72"/>
      <c r="M551" s="71"/>
      <c r="N551" s="216">
        <v>18864</v>
      </c>
      <c r="O551" s="71">
        <v>25470</v>
      </c>
      <c r="P551" s="72">
        <v>24066</v>
      </c>
    </row>
    <row r="552" spans="1:16">
      <c r="A552" s="295"/>
      <c r="B552" s="289"/>
      <c r="C552" s="296"/>
      <c r="D552" s="66" t="s">
        <v>415</v>
      </c>
      <c r="E552" t="s">
        <v>540</v>
      </c>
      <c r="F552" t="s">
        <v>519</v>
      </c>
      <c r="G552" t="s">
        <v>427</v>
      </c>
      <c r="H552" s="65">
        <v>44593</v>
      </c>
      <c r="K552" s="71"/>
      <c r="L552" s="72"/>
      <c r="M552" s="71"/>
      <c r="N552" s="216">
        <v>76581</v>
      </c>
      <c r="O552" s="71">
        <v>74536</v>
      </c>
      <c r="P552" s="72">
        <v>69126</v>
      </c>
    </row>
    <row r="553" spans="1:16">
      <c r="A553" s="295"/>
      <c r="B553" s="289"/>
      <c r="C553" s="296"/>
      <c r="D553" s="66" t="s">
        <v>415</v>
      </c>
      <c r="E553">
        <v>6</v>
      </c>
      <c r="G553" t="s">
        <v>427</v>
      </c>
      <c r="H553" s="65">
        <v>44593</v>
      </c>
      <c r="K553" s="71"/>
      <c r="L553" s="72"/>
      <c r="M553" s="71"/>
      <c r="N553" s="216"/>
      <c r="O553" s="71"/>
      <c r="P553" s="72">
        <v>3</v>
      </c>
    </row>
    <row r="554" spans="1:16">
      <c r="A554" s="295"/>
      <c r="B554" s="289"/>
      <c r="C554" s="296"/>
      <c r="D554" s="66" t="s">
        <v>415</v>
      </c>
      <c r="E554">
        <v>8</v>
      </c>
      <c r="G554" t="s">
        <v>427</v>
      </c>
      <c r="H554" s="65">
        <v>44593</v>
      </c>
      <c r="K554" s="71"/>
      <c r="L554" s="72"/>
      <c r="M554" s="71"/>
      <c r="N554" s="216"/>
      <c r="O554" s="71"/>
      <c r="P554" s="72">
        <v>5</v>
      </c>
    </row>
    <row r="555" spans="1:16">
      <c r="A555" s="295"/>
      <c r="B555" s="289"/>
      <c r="C555" s="296"/>
      <c r="D555" s="66" t="s">
        <v>594</v>
      </c>
      <c r="G555" t="s">
        <v>57</v>
      </c>
      <c r="H555" s="65">
        <v>44593</v>
      </c>
      <c r="I555" s="90" t="s">
        <v>970</v>
      </c>
      <c r="K555" s="71"/>
      <c r="L555" s="72"/>
      <c r="M555" s="71"/>
      <c r="N555" s="216">
        <v>69708</v>
      </c>
      <c r="O555" s="71">
        <v>79972</v>
      </c>
      <c r="P555" s="72">
        <v>67605</v>
      </c>
    </row>
    <row r="556" spans="1:16">
      <c r="A556" s="295"/>
      <c r="B556" s="289"/>
      <c r="C556" s="296"/>
      <c r="D556" s="66" t="s">
        <v>417</v>
      </c>
      <c r="E556" t="s">
        <v>540</v>
      </c>
      <c r="G556" t="s">
        <v>1069</v>
      </c>
      <c r="H556" s="65">
        <v>44593</v>
      </c>
      <c r="K556" s="71"/>
      <c r="L556" s="72"/>
      <c r="M556" s="71"/>
      <c r="N556" s="216">
        <v>1600000000</v>
      </c>
      <c r="O556" s="71">
        <v>1700000000</v>
      </c>
      <c r="P556" s="72">
        <v>1600000000</v>
      </c>
    </row>
    <row r="557" spans="1:16">
      <c r="A557" s="295"/>
      <c r="B557" s="289"/>
      <c r="C557" s="296"/>
      <c r="D557" s="66" t="s">
        <v>417</v>
      </c>
      <c r="E557" t="s">
        <v>539</v>
      </c>
      <c r="G557" t="s">
        <v>57</v>
      </c>
      <c r="H557" s="65">
        <v>44593</v>
      </c>
      <c r="K557" s="71"/>
      <c r="L557" s="72"/>
      <c r="M557" s="71"/>
      <c r="N557" s="216">
        <v>210636</v>
      </c>
      <c r="O557" s="71">
        <v>201638</v>
      </c>
      <c r="P557" s="72">
        <v>201524</v>
      </c>
    </row>
    <row r="558" spans="1:16">
      <c r="A558" s="295"/>
      <c r="B558" s="293"/>
      <c r="C558" s="296"/>
      <c r="D558" s="66" t="s">
        <v>418</v>
      </c>
      <c r="H558" s="65">
        <v>44593</v>
      </c>
      <c r="K558" s="71"/>
      <c r="L558" s="72"/>
      <c r="M558" s="71"/>
      <c r="N558" s="216"/>
      <c r="O558" s="71"/>
      <c r="P558" s="74" t="s">
        <v>1067</v>
      </c>
    </row>
    <row r="559" spans="1:16">
      <c r="A559" s="295" t="s">
        <v>148</v>
      </c>
      <c r="B559" s="292" t="s">
        <v>149</v>
      </c>
      <c r="C559" s="296" t="s">
        <v>150</v>
      </c>
      <c r="D559" s="66" t="s">
        <v>411</v>
      </c>
      <c r="G559" t="s">
        <v>429</v>
      </c>
      <c r="H559" s="65">
        <v>44561</v>
      </c>
      <c r="K559" s="71">
        <v>117</v>
      </c>
      <c r="L559" s="72">
        <v>115</v>
      </c>
      <c r="M559" s="71">
        <v>116</v>
      </c>
      <c r="N559" s="216">
        <v>111</v>
      </c>
      <c r="O559" s="71">
        <v>105</v>
      </c>
      <c r="P559" s="72">
        <v>103</v>
      </c>
    </row>
    <row r="560" spans="1:16">
      <c r="A560" s="295"/>
      <c r="B560" s="289"/>
      <c r="C560" s="296"/>
      <c r="D560" s="66" t="s">
        <v>412</v>
      </c>
      <c r="E560" t="s">
        <v>413</v>
      </c>
      <c r="G560" t="s">
        <v>429</v>
      </c>
      <c r="H560" s="65">
        <v>44561</v>
      </c>
      <c r="K560" s="71">
        <v>8</v>
      </c>
      <c r="L560" s="72">
        <v>8</v>
      </c>
      <c r="M560" s="71">
        <v>8</v>
      </c>
      <c r="N560" s="216">
        <v>8</v>
      </c>
      <c r="O560" s="71">
        <v>7</v>
      </c>
      <c r="P560" s="72">
        <v>6</v>
      </c>
    </row>
    <row r="561" spans="1:17">
      <c r="A561" s="295"/>
      <c r="B561" s="289"/>
      <c r="C561" s="296"/>
      <c r="D561" s="66" t="s">
        <v>414</v>
      </c>
      <c r="E561" t="s">
        <v>413</v>
      </c>
      <c r="G561" t="s">
        <v>429</v>
      </c>
      <c r="H561" s="65">
        <v>44561</v>
      </c>
      <c r="K561" s="71">
        <v>125</v>
      </c>
      <c r="L561" s="72">
        <v>123</v>
      </c>
      <c r="M561" s="71">
        <v>124</v>
      </c>
      <c r="N561" s="216">
        <v>119</v>
      </c>
      <c r="O561" s="71">
        <v>112</v>
      </c>
      <c r="P561" s="72">
        <v>109</v>
      </c>
    </row>
    <row r="562" spans="1:17">
      <c r="A562" s="295"/>
      <c r="B562" s="289"/>
      <c r="C562" s="296"/>
      <c r="D562" s="66" t="s">
        <v>415</v>
      </c>
      <c r="E562" t="s">
        <v>416</v>
      </c>
      <c r="G562" t="s">
        <v>429</v>
      </c>
      <c r="H562" s="65">
        <v>44561</v>
      </c>
      <c r="K562" s="71">
        <v>636.11834999999996</v>
      </c>
      <c r="L562" s="72">
        <v>625.44574999999998</v>
      </c>
      <c r="M562" s="71">
        <v>601.58934999999997</v>
      </c>
      <c r="N562" s="216">
        <v>620.26639999999998</v>
      </c>
      <c r="O562" s="71">
        <v>590.28895</v>
      </c>
      <c r="P562" s="72">
        <v>582.59839999999997</v>
      </c>
    </row>
    <row r="563" spans="1:17">
      <c r="A563" s="295"/>
      <c r="B563" s="289"/>
      <c r="C563" s="296"/>
      <c r="D563" s="66" t="s">
        <v>417</v>
      </c>
      <c r="G563" t="s">
        <v>151</v>
      </c>
      <c r="H563" s="65">
        <v>44561</v>
      </c>
      <c r="K563" s="71">
        <v>1479345</v>
      </c>
      <c r="L563" s="72">
        <v>1454525</v>
      </c>
      <c r="M563" s="71">
        <v>1399045</v>
      </c>
      <c r="N563" s="216">
        <v>1442480</v>
      </c>
      <c r="O563" s="71">
        <v>1372765</v>
      </c>
      <c r="P563" s="72">
        <v>1354880</v>
      </c>
    </row>
    <row r="564" spans="1:17">
      <c r="A564" s="295"/>
      <c r="B564" s="293"/>
      <c r="C564" s="296"/>
      <c r="D564" s="66" t="s">
        <v>418</v>
      </c>
      <c r="H564" s="65"/>
      <c r="K564" s="71"/>
      <c r="L564" s="72"/>
      <c r="M564" s="71"/>
      <c r="N564" s="216"/>
      <c r="O564" s="71"/>
      <c r="P564" s="72"/>
    </row>
    <row r="565" spans="1:17">
      <c r="A565" s="295" t="s">
        <v>152</v>
      </c>
      <c r="B565" s="292" t="s">
        <v>153</v>
      </c>
      <c r="C565" s="296" t="s">
        <v>154</v>
      </c>
      <c r="D565" s="66" t="s">
        <v>411</v>
      </c>
      <c r="E565" t="s">
        <v>576</v>
      </c>
      <c r="G565" t="s">
        <v>428</v>
      </c>
      <c r="H565" s="65">
        <v>44561</v>
      </c>
      <c r="K565" s="71"/>
      <c r="L565" s="72">
        <v>42354899</v>
      </c>
      <c r="M565" s="71">
        <v>32748805</v>
      </c>
      <c r="N565" s="216">
        <v>17935528</v>
      </c>
      <c r="O565" s="71">
        <v>14519279</v>
      </c>
      <c r="P565" s="72"/>
    </row>
    <row r="566" spans="1:17">
      <c r="A566" s="295"/>
      <c r="B566" s="289"/>
      <c r="C566" s="296"/>
      <c r="D566" s="66" t="s">
        <v>415</v>
      </c>
      <c r="E566">
        <v>3</v>
      </c>
      <c r="G566" t="s">
        <v>428</v>
      </c>
      <c r="H566" s="65">
        <v>44561</v>
      </c>
      <c r="K566" s="71"/>
      <c r="L566" s="72">
        <v>18079772</v>
      </c>
      <c r="M566" s="71">
        <v>20223892</v>
      </c>
      <c r="N566" s="216">
        <v>31927583</v>
      </c>
      <c r="O566" s="71">
        <v>28230946</v>
      </c>
      <c r="P566" s="72"/>
    </row>
    <row r="567" spans="1:17">
      <c r="A567" s="295"/>
      <c r="B567" s="289"/>
      <c r="C567" s="296"/>
      <c r="D567" s="66" t="s">
        <v>417</v>
      </c>
      <c r="E567" t="s">
        <v>443</v>
      </c>
      <c r="G567" t="s">
        <v>79</v>
      </c>
      <c r="H567" s="65">
        <v>44561</v>
      </c>
      <c r="K567" s="71"/>
      <c r="L567" s="72">
        <v>116315158</v>
      </c>
      <c r="M567" s="71">
        <v>109322672</v>
      </c>
      <c r="N567" s="216">
        <v>65313409</v>
      </c>
      <c r="O567" s="71">
        <v>61496572</v>
      </c>
      <c r="P567" s="72"/>
    </row>
    <row r="568" spans="1:17">
      <c r="A568" s="295"/>
      <c r="B568" s="293"/>
      <c r="C568" s="296"/>
      <c r="D568" s="66" t="s">
        <v>418</v>
      </c>
      <c r="H568" s="65"/>
      <c r="K568" s="71"/>
      <c r="L568" s="72"/>
      <c r="M568" s="71"/>
      <c r="N568" s="216"/>
      <c r="O568" s="71"/>
      <c r="P568" s="72"/>
    </row>
    <row r="569" spans="1:17">
      <c r="A569" s="295" t="s">
        <v>152</v>
      </c>
      <c r="B569" s="292" t="s">
        <v>153</v>
      </c>
      <c r="C569" s="296" t="s">
        <v>154</v>
      </c>
      <c r="D569" s="66" t="s">
        <v>411</v>
      </c>
      <c r="E569" t="s">
        <v>576</v>
      </c>
      <c r="G569" t="s">
        <v>428</v>
      </c>
      <c r="H569" s="65">
        <v>44764</v>
      </c>
      <c r="K569" s="71"/>
      <c r="L569" s="72"/>
      <c r="M569" s="71"/>
      <c r="N569" s="216">
        <v>17935528</v>
      </c>
      <c r="O569" s="71">
        <v>14519279</v>
      </c>
      <c r="P569" s="72">
        <v>15785373</v>
      </c>
      <c r="Q569" s="71">
        <v>15000000</v>
      </c>
    </row>
    <row r="570" spans="1:17">
      <c r="A570" s="295"/>
      <c r="B570" s="289"/>
      <c r="C570" s="296"/>
      <c r="D570" s="66" t="s">
        <v>412</v>
      </c>
      <c r="E570" t="s">
        <v>413</v>
      </c>
      <c r="G570" t="s">
        <v>428</v>
      </c>
      <c r="H570" s="65">
        <v>44764</v>
      </c>
      <c r="K570" s="71"/>
      <c r="L570" s="72"/>
      <c r="M570" s="71"/>
      <c r="N570" s="216">
        <v>1099865</v>
      </c>
      <c r="O570" s="71">
        <v>1068434</v>
      </c>
      <c r="P570" s="72">
        <v>1263267</v>
      </c>
      <c r="Q570" s="71">
        <v>1100000</v>
      </c>
    </row>
    <row r="571" spans="1:17">
      <c r="A571" s="295"/>
      <c r="B571" s="289"/>
      <c r="C571" s="296"/>
      <c r="D571" s="66" t="s">
        <v>415</v>
      </c>
      <c r="E571">
        <v>3</v>
      </c>
      <c r="G571" t="s">
        <v>428</v>
      </c>
      <c r="H571" s="65">
        <v>44764</v>
      </c>
      <c r="K571" s="71"/>
      <c r="L571" s="72"/>
      <c r="M571" s="71"/>
      <c r="N571" s="216">
        <v>31927583</v>
      </c>
      <c r="O571" s="71">
        <v>28230946</v>
      </c>
      <c r="P571" s="72">
        <v>30262689</v>
      </c>
      <c r="Q571" s="71">
        <v>29000000</v>
      </c>
    </row>
    <row r="572" spans="1:17">
      <c r="A572" s="295"/>
      <c r="B572" s="289"/>
      <c r="C572" s="296"/>
      <c r="D572" s="66" t="s">
        <v>411</v>
      </c>
      <c r="E572" t="s">
        <v>424</v>
      </c>
      <c r="G572" t="s">
        <v>428</v>
      </c>
      <c r="H572" s="65">
        <v>44764</v>
      </c>
      <c r="I572" s="90" t="s">
        <v>970</v>
      </c>
      <c r="K572" s="71"/>
      <c r="L572" s="72"/>
      <c r="M572" s="71"/>
      <c r="N572" s="216">
        <f>SUM(N569:N571)</f>
        <v>50962976</v>
      </c>
      <c r="O572" s="281">
        <v>32992310</v>
      </c>
      <c r="P572" s="72">
        <v>46048062</v>
      </c>
      <c r="Q572" s="71">
        <v>46048062</v>
      </c>
    </row>
    <row r="573" spans="1:17">
      <c r="A573" s="295"/>
      <c r="B573" s="289"/>
      <c r="C573" s="296"/>
      <c r="D573" s="66" t="s">
        <v>417</v>
      </c>
      <c r="E573" t="s">
        <v>443</v>
      </c>
      <c r="G573" t="s">
        <v>79</v>
      </c>
      <c r="H573" s="65">
        <v>44764</v>
      </c>
      <c r="K573" s="71"/>
      <c r="L573" s="72"/>
      <c r="M573" s="71"/>
      <c r="N573" s="216">
        <f>SUM(N574:N575)</f>
        <v>65360470</v>
      </c>
      <c r="O573" s="71">
        <v>61496572</v>
      </c>
      <c r="P573" s="72">
        <v>64214391</v>
      </c>
      <c r="Q573" s="71">
        <v>65000000</v>
      </c>
    </row>
    <row r="574" spans="1:17">
      <c r="A574" s="295"/>
      <c r="B574" s="289"/>
      <c r="C574" s="296"/>
      <c r="D574" s="66" t="s">
        <v>449</v>
      </c>
      <c r="E574" t="s">
        <v>576</v>
      </c>
      <c r="G574" t="s">
        <v>79</v>
      </c>
      <c r="H574" s="65">
        <v>44764</v>
      </c>
      <c r="K574" s="71"/>
      <c r="L574" s="72"/>
      <c r="M574" s="71"/>
      <c r="N574" s="216">
        <v>19595231</v>
      </c>
      <c r="O574" s="71">
        <v>15953647</v>
      </c>
      <c r="P574" s="72">
        <v>16702649</v>
      </c>
      <c r="Q574" s="71">
        <v>17000000</v>
      </c>
    </row>
    <row r="575" spans="1:17">
      <c r="A575" s="295"/>
      <c r="B575" s="289"/>
      <c r="C575" s="296"/>
      <c r="D575" s="66" t="s">
        <v>449</v>
      </c>
      <c r="E575" t="s">
        <v>484</v>
      </c>
      <c r="G575" t="s">
        <v>79</v>
      </c>
      <c r="H575" s="65">
        <v>44764</v>
      </c>
      <c r="K575" s="71"/>
      <c r="L575" s="72"/>
      <c r="M575" s="71"/>
      <c r="N575" s="216">
        <v>45765239</v>
      </c>
      <c r="O575" s="71">
        <v>45634720</v>
      </c>
      <c r="P575" s="72">
        <v>47527068</v>
      </c>
      <c r="Q575" s="71">
        <v>48000000</v>
      </c>
    </row>
    <row r="576" spans="1:17">
      <c r="A576" s="295"/>
      <c r="B576" s="293"/>
      <c r="C576" s="296"/>
      <c r="D576" s="66" t="s">
        <v>418</v>
      </c>
      <c r="H576" s="65"/>
      <c r="K576" s="71"/>
      <c r="L576" s="72"/>
      <c r="M576" s="71"/>
      <c r="N576" s="216"/>
      <c r="O576" s="71"/>
      <c r="P576" s="74" t="s">
        <v>638</v>
      </c>
    </row>
    <row r="577" spans="1:16">
      <c r="A577" s="295" t="s">
        <v>155</v>
      </c>
      <c r="B577" s="292" t="s">
        <v>156</v>
      </c>
      <c r="C577" s="296" t="s">
        <v>157</v>
      </c>
      <c r="D577" s="66" t="s">
        <v>411</v>
      </c>
      <c r="G577" t="s">
        <v>427</v>
      </c>
      <c r="H577" s="65">
        <v>44561</v>
      </c>
      <c r="K577" s="71"/>
      <c r="L577" s="72"/>
      <c r="M577" s="71">
        <v>1442.963</v>
      </c>
      <c r="N577" s="216">
        <v>1418.056</v>
      </c>
      <c r="O577" s="71">
        <v>1129.402</v>
      </c>
      <c r="P577" s="72">
        <v>910</v>
      </c>
    </row>
    <row r="578" spans="1:16">
      <c r="A578" s="295"/>
      <c r="B578" s="289"/>
      <c r="C578" s="296"/>
      <c r="D578" s="66" t="s">
        <v>412</v>
      </c>
      <c r="E578" t="s">
        <v>413</v>
      </c>
      <c r="G578" t="s">
        <v>427</v>
      </c>
      <c r="H578" s="65">
        <v>44561</v>
      </c>
      <c r="K578" s="71"/>
      <c r="L578" s="72"/>
      <c r="M578" s="71">
        <v>3219.7159999999999</v>
      </c>
      <c r="N578" s="216">
        <v>3040.2930000000001</v>
      </c>
      <c r="O578" s="71">
        <v>2473.2730000000001</v>
      </c>
      <c r="P578" s="72">
        <v>1680</v>
      </c>
    </row>
    <row r="579" spans="1:16">
      <c r="A579" s="295"/>
      <c r="B579" s="289"/>
      <c r="C579" s="296"/>
      <c r="D579" s="66" t="s">
        <v>414</v>
      </c>
      <c r="E579" t="s">
        <v>413</v>
      </c>
      <c r="G579" t="s">
        <v>427</v>
      </c>
      <c r="H579" s="65">
        <v>44561</v>
      </c>
      <c r="K579" s="71"/>
      <c r="L579" s="72"/>
      <c r="M579" s="71">
        <v>4662.6790000000001</v>
      </c>
      <c r="N579" s="216">
        <v>4458.3490000000002</v>
      </c>
      <c r="O579" s="71">
        <v>3602.6750000000002</v>
      </c>
      <c r="P579" s="72">
        <v>2590</v>
      </c>
    </row>
    <row r="580" spans="1:16">
      <c r="A580" s="295"/>
      <c r="B580" s="289"/>
      <c r="C580" s="296"/>
      <c r="D580" s="66" t="s">
        <v>415</v>
      </c>
      <c r="E580" t="s">
        <v>416</v>
      </c>
      <c r="G580" t="s">
        <v>427</v>
      </c>
      <c r="H580" s="65">
        <v>44561</v>
      </c>
      <c r="K580" s="71"/>
      <c r="L580" s="72"/>
      <c r="M580" s="71">
        <v>398915.81</v>
      </c>
      <c r="N580" s="216">
        <v>435144.43800000002</v>
      </c>
      <c r="O580" s="71">
        <v>349281.99200000003</v>
      </c>
      <c r="P580" s="72">
        <v>349281.99200000003</v>
      </c>
    </row>
    <row r="581" spans="1:16">
      <c r="A581" s="295"/>
      <c r="B581" s="289"/>
      <c r="C581" s="296"/>
      <c r="D581" s="66" t="s">
        <v>417</v>
      </c>
      <c r="G581" t="s">
        <v>158</v>
      </c>
      <c r="H581" s="65">
        <v>44561</v>
      </c>
      <c r="K581" s="71"/>
      <c r="L581" s="72"/>
      <c r="M581" s="71"/>
      <c r="N581" s="216">
        <v>1577.2225584466021</v>
      </c>
      <c r="O581" s="71">
        <v>1299.6539237209299</v>
      </c>
      <c r="P581" s="72">
        <v>1353.618792525951</v>
      </c>
    </row>
    <row r="582" spans="1:16">
      <c r="A582" s="295"/>
      <c r="B582" s="293"/>
      <c r="C582" s="296"/>
      <c r="D582" s="66" t="s">
        <v>418</v>
      </c>
      <c r="H582" s="65"/>
      <c r="K582" s="71"/>
      <c r="L582" s="72"/>
      <c r="M582" s="71"/>
      <c r="N582" s="216"/>
      <c r="O582" s="71"/>
      <c r="P582" s="72"/>
    </row>
    <row r="583" spans="1:16">
      <c r="A583" s="295" t="s">
        <v>159</v>
      </c>
      <c r="B583" s="292" t="s">
        <v>160</v>
      </c>
      <c r="C583" s="296" t="s">
        <v>161</v>
      </c>
      <c r="D583" s="66" t="s">
        <v>411</v>
      </c>
      <c r="E583" t="s">
        <v>539</v>
      </c>
      <c r="G583" t="s">
        <v>427</v>
      </c>
      <c r="H583" s="65">
        <v>44561</v>
      </c>
      <c r="K583" s="71"/>
      <c r="L583" s="72">
        <v>10010</v>
      </c>
      <c r="M583" s="71">
        <v>10818</v>
      </c>
      <c r="N583" s="216">
        <v>11925</v>
      </c>
      <c r="O583" s="71">
        <v>10093</v>
      </c>
      <c r="P583" s="72">
        <v>9417</v>
      </c>
    </row>
    <row r="584" spans="1:16">
      <c r="A584" s="295"/>
      <c r="B584" s="289"/>
      <c r="C584" s="296"/>
      <c r="D584" s="66" t="s">
        <v>411</v>
      </c>
      <c r="E584" t="s">
        <v>540</v>
      </c>
      <c r="G584" t="s">
        <v>427</v>
      </c>
      <c r="H584" s="65"/>
      <c r="K584" s="71"/>
      <c r="L584" s="72">
        <v>142</v>
      </c>
      <c r="M584" s="71">
        <v>127</v>
      </c>
      <c r="N584" s="216">
        <v>154</v>
      </c>
      <c r="O584" s="71">
        <v>134</v>
      </c>
      <c r="P584" s="72">
        <v>141</v>
      </c>
    </row>
    <row r="585" spans="1:16">
      <c r="A585" s="295"/>
      <c r="B585" s="289"/>
      <c r="C585" s="296"/>
      <c r="D585" s="66" t="s">
        <v>412</v>
      </c>
      <c r="E585" t="s">
        <v>413</v>
      </c>
      <c r="G585" t="s">
        <v>427</v>
      </c>
      <c r="H585" s="65">
        <v>44561</v>
      </c>
      <c r="K585" s="71"/>
      <c r="L585" s="72">
        <v>220</v>
      </c>
      <c r="M585" s="71">
        <v>182</v>
      </c>
      <c r="N585" s="216">
        <v>173</v>
      </c>
      <c r="O585" s="71">
        <v>173</v>
      </c>
      <c r="P585" s="72">
        <v>158</v>
      </c>
    </row>
    <row r="586" spans="1:16">
      <c r="A586" s="295"/>
      <c r="B586" s="289"/>
      <c r="C586" s="296"/>
      <c r="D586" s="66" t="s">
        <v>415</v>
      </c>
      <c r="E586" t="s">
        <v>539</v>
      </c>
      <c r="G586" t="s">
        <v>427</v>
      </c>
      <c r="H586" s="65">
        <v>44561</v>
      </c>
      <c r="K586" s="71"/>
      <c r="L586" s="72">
        <v>3533</v>
      </c>
      <c r="M586" s="71">
        <v>2836</v>
      </c>
      <c r="N586" s="216">
        <v>2929</v>
      </c>
      <c r="O586" s="71">
        <v>2233</v>
      </c>
      <c r="P586" s="72">
        <v>1984</v>
      </c>
    </row>
    <row r="587" spans="1:16">
      <c r="A587" s="295"/>
      <c r="B587" s="289"/>
      <c r="C587" s="296"/>
      <c r="D587" s="66" t="s">
        <v>415</v>
      </c>
      <c r="E587" t="s">
        <v>540</v>
      </c>
      <c r="G587" t="s">
        <v>427</v>
      </c>
      <c r="H587" s="65">
        <v>44561</v>
      </c>
      <c r="K587" s="71"/>
      <c r="L587" s="72">
        <v>16582</v>
      </c>
      <c r="M587" s="71">
        <v>16441</v>
      </c>
      <c r="N587" s="216">
        <v>17995</v>
      </c>
      <c r="O587" s="71">
        <v>10583</v>
      </c>
      <c r="P587" s="72">
        <v>11634</v>
      </c>
    </row>
    <row r="588" spans="1:16">
      <c r="A588" s="295"/>
      <c r="B588" s="289"/>
      <c r="C588" s="296"/>
      <c r="D588" s="66" t="s">
        <v>417</v>
      </c>
      <c r="E588" t="s">
        <v>539</v>
      </c>
      <c r="G588" t="s">
        <v>91</v>
      </c>
      <c r="H588" s="65">
        <v>44561</v>
      </c>
      <c r="K588" s="71"/>
      <c r="L588" s="72">
        <v>780</v>
      </c>
      <c r="M588" s="71">
        <v>810</v>
      </c>
      <c r="N588" s="216">
        <v>814</v>
      </c>
      <c r="O588" s="71">
        <v>787</v>
      </c>
      <c r="P588" s="72">
        <v>796</v>
      </c>
    </row>
    <row r="589" spans="1:16">
      <c r="A589" s="295"/>
      <c r="B589" s="289"/>
      <c r="C589" s="296"/>
      <c r="D589" s="66" t="s">
        <v>417</v>
      </c>
      <c r="E589" t="s">
        <v>540</v>
      </c>
      <c r="G589" t="s">
        <v>91</v>
      </c>
      <c r="H589" s="65">
        <v>44561</v>
      </c>
      <c r="K589" s="71"/>
      <c r="L589" s="72">
        <v>295</v>
      </c>
      <c r="M589" s="71">
        <v>292</v>
      </c>
      <c r="N589" s="216">
        <v>319</v>
      </c>
      <c r="O589" s="71">
        <v>306</v>
      </c>
      <c r="P589" s="72">
        <v>338</v>
      </c>
    </row>
    <row r="590" spans="1:16">
      <c r="A590" s="295"/>
      <c r="B590" s="293"/>
      <c r="C590" s="296"/>
      <c r="D590" s="66" t="s">
        <v>418</v>
      </c>
      <c r="H590" s="65"/>
      <c r="K590" s="71"/>
      <c r="L590" s="72"/>
      <c r="M590" s="71"/>
      <c r="N590" s="216"/>
      <c r="O590" s="71"/>
      <c r="P590" s="74" t="s">
        <v>1109</v>
      </c>
    </row>
    <row r="591" spans="1:16">
      <c r="A591" s="295" t="s">
        <v>163</v>
      </c>
      <c r="B591" s="292" t="s">
        <v>164</v>
      </c>
      <c r="C591" s="296" t="s">
        <v>165</v>
      </c>
      <c r="D591" s="66" t="s">
        <v>411</v>
      </c>
      <c r="G591" t="s">
        <v>428</v>
      </c>
      <c r="H591" s="65">
        <v>44561</v>
      </c>
      <c r="K591" s="71"/>
      <c r="L591" s="72"/>
      <c r="M591" s="71"/>
      <c r="N591" s="216">
        <v>1589700</v>
      </c>
      <c r="O591" s="71">
        <v>1214124</v>
      </c>
      <c r="P591" s="72">
        <v>1252906</v>
      </c>
    </row>
    <row r="592" spans="1:16">
      <c r="A592" s="295"/>
      <c r="B592" s="289"/>
      <c r="C592" s="296"/>
      <c r="D592" s="66" t="s">
        <v>412</v>
      </c>
      <c r="E592" t="s">
        <v>413</v>
      </c>
      <c r="G592" t="s">
        <v>428</v>
      </c>
      <c r="H592" s="65">
        <v>44561</v>
      </c>
      <c r="K592" s="71"/>
      <c r="L592" s="72"/>
      <c r="M592" s="71"/>
      <c r="N592" s="216">
        <v>3721875</v>
      </c>
      <c r="O592" s="71">
        <v>2599822</v>
      </c>
      <c r="P592" s="72">
        <v>2150694</v>
      </c>
    </row>
    <row r="593" spans="1:16">
      <c r="A593" s="295"/>
      <c r="B593" s="289"/>
      <c r="C593" s="296"/>
      <c r="D593" s="66" t="s">
        <v>414</v>
      </c>
      <c r="E593" t="s">
        <v>413</v>
      </c>
      <c r="G593" t="s">
        <v>428</v>
      </c>
      <c r="H593" s="65">
        <v>44561</v>
      </c>
      <c r="K593" s="71"/>
      <c r="L593" s="72"/>
      <c r="M593" s="71"/>
      <c r="N593" s="216">
        <v>5311575</v>
      </c>
      <c r="O593" s="71">
        <v>3813946</v>
      </c>
      <c r="P593" s="72">
        <v>3403600</v>
      </c>
    </row>
    <row r="594" spans="1:16">
      <c r="A594" s="295"/>
      <c r="B594" s="289"/>
      <c r="C594" s="296"/>
      <c r="D594" s="66" t="s">
        <v>415</v>
      </c>
      <c r="E594" t="s">
        <v>416</v>
      </c>
      <c r="G594" t="s">
        <v>428</v>
      </c>
      <c r="H594" s="65">
        <v>44561</v>
      </c>
      <c r="K594" s="71"/>
      <c r="L594" s="72"/>
      <c r="M594" s="71"/>
      <c r="N594" s="216">
        <v>249384317</v>
      </c>
      <c r="O594" s="71">
        <v>296411327</v>
      </c>
      <c r="P594" s="72">
        <v>296411327</v>
      </c>
    </row>
    <row r="595" spans="1:16">
      <c r="A595" s="295"/>
      <c r="B595" s="289"/>
      <c r="C595" s="296"/>
      <c r="D595" s="66" t="s">
        <v>417</v>
      </c>
      <c r="G595" t="s">
        <v>166</v>
      </c>
      <c r="H595" s="65">
        <v>44561</v>
      </c>
      <c r="K595" s="71"/>
      <c r="L595" s="72"/>
      <c r="M595" s="71"/>
      <c r="N595" s="216">
        <v>723469.86160409555</v>
      </c>
      <c r="O595" s="71">
        <v>899820.09982142854</v>
      </c>
      <c r="P595" s="72">
        <v>950753.31301886786</v>
      </c>
    </row>
    <row r="596" spans="1:16">
      <c r="A596" s="295"/>
      <c r="B596" s="293"/>
      <c r="C596" s="296"/>
      <c r="D596" s="66" t="s">
        <v>418</v>
      </c>
      <c r="H596" s="65"/>
      <c r="K596" s="71"/>
      <c r="L596" s="72"/>
      <c r="M596" s="71"/>
      <c r="N596" s="216"/>
      <c r="O596" s="71"/>
      <c r="P596" s="72"/>
    </row>
    <row r="597" spans="1:16">
      <c r="A597" s="295" t="s">
        <v>167</v>
      </c>
      <c r="B597" s="292" t="s">
        <v>168</v>
      </c>
      <c r="C597" s="296" t="s">
        <v>169</v>
      </c>
      <c r="D597" s="66" t="s">
        <v>411</v>
      </c>
      <c r="G597" t="s">
        <v>428</v>
      </c>
      <c r="H597" s="65">
        <v>44561</v>
      </c>
      <c r="K597" s="71">
        <v>12075000</v>
      </c>
      <c r="L597" s="72">
        <v>12075000</v>
      </c>
      <c r="M597" s="71">
        <v>10707412.125</v>
      </c>
      <c r="N597" s="216">
        <v>9056519</v>
      </c>
      <c r="O597" s="71">
        <v>9198407</v>
      </c>
      <c r="P597" s="72"/>
    </row>
    <row r="598" spans="1:16">
      <c r="A598" s="295"/>
      <c r="B598" s="289"/>
      <c r="C598" s="296"/>
      <c r="D598" s="66" t="s">
        <v>412</v>
      </c>
      <c r="E598" t="s">
        <v>413</v>
      </c>
      <c r="G598" t="s">
        <v>428</v>
      </c>
      <c r="H598" s="65">
        <v>44561</v>
      </c>
      <c r="K598" s="71">
        <v>4025000</v>
      </c>
      <c r="L598" s="72">
        <v>4025000</v>
      </c>
      <c r="M598" s="71">
        <v>3569137.375</v>
      </c>
      <c r="N598" s="216">
        <v>2890986</v>
      </c>
      <c r="O598" s="71">
        <v>2082515</v>
      </c>
      <c r="P598" s="72"/>
    </row>
    <row r="599" spans="1:16">
      <c r="A599" s="295"/>
      <c r="B599" s="289"/>
      <c r="C599" s="296"/>
      <c r="D599" s="66" t="s">
        <v>414</v>
      </c>
      <c r="E599" t="s">
        <v>413</v>
      </c>
      <c r="G599" t="s">
        <v>428</v>
      </c>
      <c r="H599" s="65">
        <v>44561</v>
      </c>
      <c r="K599" s="71">
        <v>16100000</v>
      </c>
      <c r="L599" s="72">
        <v>16100000</v>
      </c>
      <c r="M599" s="71">
        <v>14276549.5</v>
      </c>
      <c r="N599" s="216">
        <v>11947505</v>
      </c>
      <c r="O599" s="71">
        <v>11280922</v>
      </c>
      <c r="P599" s="72"/>
    </row>
    <row r="600" spans="1:16">
      <c r="A600" s="295"/>
      <c r="B600" s="289"/>
      <c r="C600" s="296"/>
      <c r="D600" s="66" t="s">
        <v>415</v>
      </c>
      <c r="E600" t="s">
        <v>416</v>
      </c>
      <c r="G600" t="s">
        <v>428</v>
      </c>
      <c r="H600" s="65">
        <v>44561</v>
      </c>
      <c r="K600" s="71"/>
      <c r="L600" s="72"/>
      <c r="M600" s="71"/>
      <c r="N600" s="216"/>
      <c r="O600" s="71"/>
      <c r="P600" s="72"/>
    </row>
    <row r="601" spans="1:16">
      <c r="A601" s="295"/>
      <c r="B601" s="289"/>
      <c r="C601" s="296"/>
      <c r="D601" s="66" t="s">
        <v>417</v>
      </c>
      <c r="G601" t="s">
        <v>96</v>
      </c>
      <c r="H601" s="65">
        <v>44561</v>
      </c>
      <c r="K601" s="71">
        <v>16100000</v>
      </c>
      <c r="L601" s="72">
        <v>16100000</v>
      </c>
      <c r="M601" s="71">
        <v>14276549.5</v>
      </c>
      <c r="N601" s="216">
        <v>12453099</v>
      </c>
      <c r="O601" s="71">
        <v>13142354.300000001</v>
      </c>
      <c r="P601" s="72"/>
    </row>
    <row r="602" spans="1:16">
      <c r="A602" s="295"/>
      <c r="B602" s="293"/>
      <c r="C602" s="296"/>
      <c r="D602" s="66" t="s">
        <v>418</v>
      </c>
      <c r="H602" s="65"/>
      <c r="K602" s="71"/>
      <c r="L602" s="72"/>
      <c r="M602" s="71"/>
      <c r="N602" s="216"/>
      <c r="O602" s="71"/>
      <c r="P602" s="72"/>
    </row>
    <row r="603" spans="1:16">
      <c r="A603" s="295" t="s">
        <v>171</v>
      </c>
      <c r="B603" s="292" t="s">
        <v>172</v>
      </c>
      <c r="C603" s="296" t="s">
        <v>173</v>
      </c>
      <c r="D603" s="66" t="s">
        <v>411</v>
      </c>
      <c r="G603" t="s">
        <v>429</v>
      </c>
      <c r="H603" s="65">
        <v>44561</v>
      </c>
      <c r="K603" s="71">
        <v>3.88689418875878</v>
      </c>
      <c r="L603" s="72">
        <v>3.8663196803185498</v>
      </c>
      <c r="M603" s="71">
        <v>3.9373016635971498</v>
      </c>
      <c r="N603" s="216">
        <v>3.9790181439510599</v>
      </c>
      <c r="O603" s="71">
        <v>3.71643905269806</v>
      </c>
      <c r="P603" s="72"/>
    </row>
    <row r="604" spans="1:16">
      <c r="A604" s="295"/>
      <c r="B604" s="289"/>
      <c r="C604" s="296"/>
      <c r="D604" s="66" t="s">
        <v>412</v>
      </c>
      <c r="E604" t="s">
        <v>413</v>
      </c>
      <c r="G604" t="s">
        <v>429</v>
      </c>
      <c r="H604" s="65">
        <v>44561</v>
      </c>
      <c r="K604" s="71">
        <v>0</v>
      </c>
      <c r="L604" s="72">
        <v>0</v>
      </c>
      <c r="M604" s="71">
        <v>0</v>
      </c>
      <c r="N604" s="216">
        <v>0</v>
      </c>
      <c r="O604" s="71">
        <v>0</v>
      </c>
      <c r="P604" s="72"/>
    </row>
    <row r="605" spans="1:16">
      <c r="A605" s="295"/>
      <c r="B605" s="289"/>
      <c r="C605" s="296"/>
      <c r="D605" s="66" t="s">
        <v>414</v>
      </c>
      <c r="E605" t="s">
        <v>413</v>
      </c>
      <c r="G605" t="s">
        <v>429</v>
      </c>
      <c r="H605" s="65">
        <v>44561</v>
      </c>
      <c r="K605" s="71">
        <v>3.88689418875878</v>
      </c>
      <c r="L605" s="72">
        <v>3.8663196803185498</v>
      </c>
      <c r="M605" s="71">
        <v>3.9373016635971498</v>
      </c>
      <c r="N605" s="216">
        <v>3.9790181439510599</v>
      </c>
      <c r="O605" s="71">
        <v>3.71643905269806</v>
      </c>
      <c r="P605" s="72"/>
    </row>
    <row r="606" spans="1:16">
      <c r="A606" s="295"/>
      <c r="B606" s="289"/>
      <c r="C606" s="296"/>
      <c r="D606" s="66" t="s">
        <v>415</v>
      </c>
      <c r="E606" t="s">
        <v>416</v>
      </c>
      <c r="G606" t="s">
        <v>429</v>
      </c>
      <c r="H606" s="65">
        <v>44561</v>
      </c>
      <c r="K606" s="71"/>
      <c r="L606" s="72"/>
      <c r="M606" s="71"/>
      <c r="N606" s="216"/>
      <c r="O606" s="71"/>
      <c r="P606" s="72"/>
    </row>
    <row r="607" spans="1:16">
      <c r="A607" s="295"/>
      <c r="B607" s="289"/>
      <c r="C607" s="296"/>
      <c r="D607" s="66" t="s">
        <v>417</v>
      </c>
      <c r="G607" t="s">
        <v>62</v>
      </c>
      <c r="H607" s="65">
        <v>44561</v>
      </c>
      <c r="K607" s="71">
        <v>4.9426490000000003</v>
      </c>
      <c r="L607" s="72">
        <v>4.8881050000000004</v>
      </c>
      <c r="M607" s="71">
        <v>4.9569289999999997</v>
      </c>
      <c r="N607" s="216">
        <v>4.9702039999999998</v>
      </c>
      <c r="O607" s="71">
        <v>4.6293220000000002</v>
      </c>
      <c r="P607" s="72"/>
    </row>
    <row r="608" spans="1:16">
      <c r="A608" s="295"/>
      <c r="B608" s="293"/>
      <c r="C608" s="296"/>
      <c r="D608" s="66" t="s">
        <v>418</v>
      </c>
      <c r="H608" s="65"/>
      <c r="K608" s="71"/>
      <c r="L608" s="72"/>
      <c r="M608" s="71"/>
      <c r="N608" s="216"/>
      <c r="O608" s="71"/>
      <c r="P608" s="72"/>
    </row>
    <row r="609" spans="1:16">
      <c r="A609" s="295" t="s">
        <v>171</v>
      </c>
      <c r="B609" s="292" t="s">
        <v>172</v>
      </c>
      <c r="C609" s="296" t="s">
        <v>173</v>
      </c>
      <c r="D609" s="66" t="s">
        <v>575</v>
      </c>
      <c r="H609" s="65"/>
      <c r="I609" s="90">
        <v>2015</v>
      </c>
      <c r="J609" s="90"/>
      <c r="K609" s="71"/>
      <c r="L609" s="72"/>
      <c r="M609" s="71"/>
      <c r="N609" s="216"/>
      <c r="O609" s="71"/>
      <c r="P609" s="72"/>
    </row>
    <row r="610" spans="1:16">
      <c r="A610" s="295"/>
      <c r="B610" s="289"/>
      <c r="C610" s="296"/>
      <c r="D610" s="66" t="s">
        <v>411</v>
      </c>
      <c r="G610" t="s">
        <v>428</v>
      </c>
      <c r="H610" s="65">
        <v>44651</v>
      </c>
      <c r="I610" s="90">
        <v>4097705</v>
      </c>
      <c r="J610" s="90">
        <v>4097705</v>
      </c>
      <c r="K610" s="71"/>
      <c r="L610" s="72"/>
      <c r="M610" s="71"/>
      <c r="N610" s="216">
        <v>4056115</v>
      </c>
      <c r="O610" s="71">
        <v>3740976</v>
      </c>
      <c r="P610" s="72">
        <v>3689982</v>
      </c>
    </row>
    <row r="611" spans="1:16">
      <c r="A611" s="295"/>
      <c r="B611" s="289"/>
      <c r="C611" s="296"/>
      <c r="D611" s="66" t="s">
        <v>412</v>
      </c>
      <c r="E611" t="s">
        <v>413</v>
      </c>
      <c r="G611" t="s">
        <v>428</v>
      </c>
      <c r="H611" s="65">
        <v>44651</v>
      </c>
      <c r="J611" s="90"/>
      <c r="K611" s="71"/>
      <c r="L611" s="72"/>
      <c r="M611" s="71"/>
      <c r="N611" s="216"/>
      <c r="O611" s="71"/>
      <c r="P611" s="72"/>
    </row>
    <row r="612" spans="1:16">
      <c r="A612" s="295"/>
      <c r="B612" s="289"/>
      <c r="C612" s="296"/>
      <c r="D612" s="66" t="s">
        <v>414</v>
      </c>
      <c r="E612" t="s">
        <v>413</v>
      </c>
      <c r="G612" t="s">
        <v>428</v>
      </c>
      <c r="H612" s="65">
        <v>44651</v>
      </c>
      <c r="J612" s="90"/>
      <c r="K612" s="71"/>
      <c r="L612" s="72"/>
      <c r="M612" s="71"/>
      <c r="N612" s="216"/>
      <c r="O612" s="71"/>
      <c r="P612" s="72"/>
    </row>
    <row r="613" spans="1:16">
      <c r="A613" s="295"/>
      <c r="B613" s="289"/>
      <c r="C613" s="296"/>
      <c r="D613" s="66" t="s">
        <v>415</v>
      </c>
      <c r="E613" t="s">
        <v>416</v>
      </c>
      <c r="G613" t="s">
        <v>428</v>
      </c>
      <c r="H613" s="65">
        <v>44651</v>
      </c>
      <c r="I613" s="90">
        <v>3872421</v>
      </c>
      <c r="J613" s="90">
        <v>3872421</v>
      </c>
      <c r="K613" s="71"/>
      <c r="L613" s="72"/>
      <c r="M613" s="71"/>
      <c r="N613" s="216">
        <v>3582872</v>
      </c>
      <c r="O613" s="71">
        <v>3168996</v>
      </c>
      <c r="P613" s="72">
        <v>3120896</v>
      </c>
    </row>
    <row r="614" spans="1:16">
      <c r="A614" s="295"/>
      <c r="B614" s="289"/>
      <c r="C614" s="296"/>
      <c r="D614" s="66" t="s">
        <v>417</v>
      </c>
      <c r="G614" t="s">
        <v>79</v>
      </c>
      <c r="H614" s="65">
        <v>44651</v>
      </c>
      <c r="K614" s="71"/>
      <c r="L614" s="72"/>
      <c r="M614" s="71"/>
      <c r="N614" s="216">
        <v>7885485</v>
      </c>
      <c r="O614" s="71">
        <v>7050327</v>
      </c>
      <c r="P614" s="72">
        <v>6898849</v>
      </c>
    </row>
    <row r="615" spans="1:16">
      <c r="A615" s="295"/>
      <c r="B615" s="293"/>
      <c r="C615" s="296"/>
      <c r="D615" s="66" t="s">
        <v>418</v>
      </c>
      <c r="H615" s="65"/>
      <c r="K615" s="71"/>
      <c r="L615" s="72"/>
      <c r="M615" s="71"/>
      <c r="N615" s="216"/>
      <c r="O615" s="71"/>
      <c r="P615" s="74" t="s">
        <v>1088</v>
      </c>
    </row>
    <row r="616" spans="1:16">
      <c r="A616" s="295" t="s">
        <v>174</v>
      </c>
      <c r="B616" s="292" t="s">
        <v>175</v>
      </c>
      <c r="C616" s="296" t="s">
        <v>176</v>
      </c>
      <c r="D616" s="66" t="s">
        <v>411</v>
      </c>
      <c r="G616" t="s">
        <v>427</v>
      </c>
      <c r="H616" s="65">
        <v>44561</v>
      </c>
      <c r="K616" s="71"/>
      <c r="L616" s="72">
        <v>15020</v>
      </c>
      <c r="M616" s="71">
        <v>13328</v>
      </c>
      <c r="N616" s="216">
        <v>13584</v>
      </c>
      <c r="O616" s="71">
        <v>13136</v>
      </c>
      <c r="P616" s="72">
        <v>13207</v>
      </c>
    </row>
    <row r="617" spans="1:16">
      <c r="A617" s="295"/>
      <c r="B617" s="289"/>
      <c r="C617" s="296"/>
      <c r="D617" s="66" t="s">
        <v>412</v>
      </c>
      <c r="E617" t="s">
        <v>413</v>
      </c>
      <c r="G617" t="s">
        <v>427</v>
      </c>
      <c r="H617" s="65">
        <v>44561</v>
      </c>
      <c r="K617" s="71"/>
      <c r="L617" s="72">
        <v>3415</v>
      </c>
      <c r="M617" s="71">
        <v>2544</v>
      </c>
      <c r="N617" s="216">
        <v>2082</v>
      </c>
      <c r="O617" s="71">
        <v>1883</v>
      </c>
      <c r="P617" s="72">
        <v>2162</v>
      </c>
    </row>
    <row r="618" spans="1:16">
      <c r="A618" s="295"/>
      <c r="B618" s="289"/>
      <c r="C618" s="296"/>
      <c r="D618" s="66" t="s">
        <v>414</v>
      </c>
      <c r="E618" t="s">
        <v>413</v>
      </c>
      <c r="G618" t="s">
        <v>427</v>
      </c>
      <c r="H618" s="65">
        <v>44561</v>
      </c>
      <c r="K618" s="71"/>
      <c r="L618" s="72">
        <v>18435</v>
      </c>
      <c r="M618" s="71">
        <v>15872</v>
      </c>
      <c r="N618" s="216">
        <v>15666</v>
      </c>
      <c r="O618" s="71">
        <v>15019</v>
      </c>
      <c r="P618" s="72">
        <v>15369</v>
      </c>
    </row>
    <row r="619" spans="1:16">
      <c r="A619" s="295"/>
      <c r="B619" s="289"/>
      <c r="C619" s="296"/>
      <c r="D619" s="66" t="s">
        <v>415</v>
      </c>
      <c r="E619" t="s">
        <v>416</v>
      </c>
      <c r="G619" t="s">
        <v>427</v>
      </c>
      <c r="H619" s="65">
        <v>44561</v>
      </c>
      <c r="K619" s="71"/>
      <c r="L619" s="72">
        <v>56212</v>
      </c>
      <c r="M619" s="71">
        <v>51969</v>
      </c>
      <c r="N619" s="216">
        <v>54278</v>
      </c>
      <c r="O619" s="71">
        <v>57852</v>
      </c>
      <c r="P619" s="72">
        <v>53898</v>
      </c>
    </row>
    <row r="620" spans="1:16">
      <c r="A620" s="295"/>
      <c r="B620" s="289"/>
      <c r="C620" s="296"/>
      <c r="D620" s="66" t="s">
        <v>417</v>
      </c>
      <c r="G620" t="s">
        <v>57</v>
      </c>
      <c r="H620" s="65">
        <v>44561</v>
      </c>
      <c r="K620" s="71"/>
      <c r="L620" s="72">
        <v>137549</v>
      </c>
      <c r="M620" s="71">
        <v>145605</v>
      </c>
      <c r="N620" s="216">
        <v>151758</v>
      </c>
      <c r="O620" s="71">
        <v>162842</v>
      </c>
      <c r="P620" s="72">
        <v>164266</v>
      </c>
    </row>
    <row r="621" spans="1:16">
      <c r="A621" s="295"/>
      <c r="B621" s="293"/>
      <c r="C621" s="296"/>
      <c r="D621" s="66" t="s">
        <v>418</v>
      </c>
      <c r="H621" s="65"/>
      <c r="K621" s="71"/>
      <c r="L621" s="72"/>
      <c r="M621" s="71"/>
      <c r="N621" s="216"/>
      <c r="O621" s="71"/>
      <c r="P621" s="72"/>
    </row>
    <row r="622" spans="1:16">
      <c r="A622" s="291" t="s">
        <v>1234</v>
      </c>
      <c r="B622" s="292" t="s">
        <v>1235</v>
      </c>
      <c r="C622" s="292" t="s">
        <v>1236</v>
      </c>
      <c r="D622" s="66" t="s">
        <v>534</v>
      </c>
      <c r="H622" s="65">
        <v>44228</v>
      </c>
      <c r="I622" s="90">
        <v>2013</v>
      </c>
      <c r="M622" s="71"/>
      <c r="N622" s="216"/>
      <c r="O622" s="71"/>
    </row>
    <row r="623" spans="1:16">
      <c r="A623" s="286"/>
      <c r="B623" s="289"/>
      <c r="C623" s="289"/>
      <c r="D623" s="66" t="s">
        <v>411</v>
      </c>
      <c r="G623" t="s">
        <v>429</v>
      </c>
      <c r="H623" s="65">
        <v>44228</v>
      </c>
      <c r="I623" s="72"/>
      <c r="K623" s="71"/>
      <c r="L623" s="72"/>
      <c r="M623" s="71"/>
      <c r="N623" s="216">
        <v>26.632000000000001</v>
      </c>
      <c r="O623" s="71">
        <v>28.571999999999999</v>
      </c>
      <c r="P623" s="72">
        <v>23.771000000000001</v>
      </c>
    </row>
    <row r="624" spans="1:16">
      <c r="A624" s="286"/>
      <c r="B624" s="289"/>
      <c r="C624" s="289"/>
      <c r="D624" s="66" t="s">
        <v>412</v>
      </c>
      <c r="E624" t="s">
        <v>413</v>
      </c>
      <c r="G624" t="s">
        <v>429</v>
      </c>
      <c r="H624" s="65">
        <v>44228</v>
      </c>
      <c r="I624" s="72"/>
      <c r="K624" s="71"/>
      <c r="L624" s="72"/>
      <c r="M624" s="71"/>
      <c r="N624" s="216">
        <v>5.0000000000000001E-3</v>
      </c>
      <c r="O624" s="71">
        <v>6.0000000000000001E-3</v>
      </c>
      <c r="P624" s="72">
        <v>5.0000000000000001E-3</v>
      </c>
    </row>
    <row r="625" spans="1:16">
      <c r="A625" s="286"/>
      <c r="B625" s="289"/>
      <c r="C625" s="289"/>
      <c r="D625" s="66" t="s">
        <v>414</v>
      </c>
      <c r="G625" t="s">
        <v>429</v>
      </c>
      <c r="H625" s="65">
        <v>44228</v>
      </c>
      <c r="I625" s="72">
        <v>48.5</v>
      </c>
      <c r="K625" s="71"/>
      <c r="L625" s="72">
        <v>34.200000000000003</v>
      </c>
      <c r="M625" s="71">
        <v>30.4</v>
      </c>
      <c r="N625" s="216">
        <f>SUM(N623:N624)</f>
        <v>26.637</v>
      </c>
      <c r="O625" s="71">
        <f>SUM(O623:O624)</f>
        <v>28.577999999999999</v>
      </c>
      <c r="P625" s="72">
        <f>SUM(P623:P624)</f>
        <v>23.776</v>
      </c>
    </row>
    <row r="626" spans="1:16">
      <c r="A626" s="286"/>
      <c r="B626" s="289"/>
      <c r="C626" s="289"/>
      <c r="D626" s="75" t="s">
        <v>415</v>
      </c>
      <c r="E626" s="45" t="s">
        <v>416</v>
      </c>
      <c r="G626" t="s">
        <v>429</v>
      </c>
      <c r="H626" s="65">
        <v>44228</v>
      </c>
      <c r="I626" s="72"/>
      <c r="K626" s="71"/>
      <c r="L626" s="72"/>
      <c r="M626" s="71"/>
      <c r="N626" s="216">
        <v>20.634</v>
      </c>
      <c r="O626" s="71">
        <v>18.821999999999999</v>
      </c>
      <c r="P626" s="72">
        <v>17.387</v>
      </c>
    </row>
    <row r="627" spans="1:16">
      <c r="A627" s="286"/>
      <c r="B627" s="289"/>
      <c r="C627" s="289"/>
      <c r="D627" s="66" t="s">
        <v>415</v>
      </c>
      <c r="E627">
        <v>1</v>
      </c>
      <c r="G627" t="s">
        <v>429</v>
      </c>
      <c r="H627" s="65">
        <v>44228</v>
      </c>
      <c r="I627" s="72"/>
      <c r="K627" s="71"/>
      <c r="L627" s="72"/>
      <c r="M627" s="71"/>
      <c r="N627" s="216">
        <v>1.427</v>
      </c>
      <c r="O627" s="71">
        <v>1.599</v>
      </c>
      <c r="P627" s="72">
        <v>1.4339999999999999</v>
      </c>
    </row>
    <row r="628" spans="1:16">
      <c r="A628" s="286"/>
      <c r="B628" s="289"/>
      <c r="C628" s="289"/>
      <c r="D628" s="66" t="s">
        <v>415</v>
      </c>
      <c r="E628">
        <v>2</v>
      </c>
      <c r="G628" t="s">
        <v>429</v>
      </c>
      <c r="H628" s="65">
        <v>44228</v>
      </c>
      <c r="I628" s="72"/>
      <c r="K628" s="71"/>
      <c r="L628" s="72"/>
      <c r="M628" s="71"/>
      <c r="N628" s="216">
        <v>1.2929999999999999</v>
      </c>
      <c r="O628" s="71">
        <v>1.5880000000000001</v>
      </c>
      <c r="P628" s="72">
        <v>0.999</v>
      </c>
    </row>
    <row r="629" spans="1:16">
      <c r="A629" s="286"/>
      <c r="B629" s="289"/>
      <c r="C629" s="289"/>
      <c r="D629" s="66" t="s">
        <v>415</v>
      </c>
      <c r="E629">
        <v>3</v>
      </c>
      <c r="G629" t="s">
        <v>429</v>
      </c>
      <c r="H629" s="65">
        <v>44228</v>
      </c>
      <c r="I629" s="72"/>
      <c r="K629" s="71"/>
      <c r="L629" s="72"/>
      <c r="M629" s="71"/>
      <c r="N629" s="216">
        <v>17.896000000000001</v>
      </c>
      <c r="O629" s="71">
        <v>15.616</v>
      </c>
      <c r="P629" s="72">
        <v>11.46</v>
      </c>
    </row>
    <row r="630" spans="1:16">
      <c r="A630" s="286"/>
      <c r="B630" s="289"/>
      <c r="C630" s="289"/>
      <c r="D630" s="66" t="s">
        <v>417</v>
      </c>
      <c r="G630" t="s">
        <v>62</v>
      </c>
      <c r="H630" s="65">
        <v>44228</v>
      </c>
      <c r="I630" s="72">
        <v>11.38</v>
      </c>
      <c r="K630" s="71"/>
      <c r="L630" s="72">
        <v>95.8</v>
      </c>
      <c r="M630" s="71">
        <v>10.6</v>
      </c>
      <c r="N630" s="216">
        <v>99.4</v>
      </c>
      <c r="O630" s="71">
        <v>90.7</v>
      </c>
      <c r="P630" s="72">
        <v>95.6</v>
      </c>
    </row>
    <row r="631" spans="1:16">
      <c r="A631" s="294"/>
      <c r="B631" s="293"/>
      <c r="C631" s="293"/>
      <c r="D631" s="66" t="s">
        <v>418</v>
      </c>
      <c r="H631" s="65">
        <v>44228</v>
      </c>
      <c r="I631" s="72"/>
      <c r="K631" s="71"/>
      <c r="L631" s="72"/>
      <c r="M631" s="71"/>
      <c r="N631" s="216"/>
      <c r="O631" s="71"/>
      <c r="P631" s="74" t="s">
        <v>1237</v>
      </c>
    </row>
    <row r="632" spans="1:16">
      <c r="A632" s="295" t="s">
        <v>178</v>
      </c>
      <c r="B632" s="292" t="s">
        <v>179</v>
      </c>
      <c r="C632" s="296" t="s">
        <v>180</v>
      </c>
      <c r="D632" s="66" t="s">
        <v>411</v>
      </c>
      <c r="G632" t="s">
        <v>429</v>
      </c>
      <c r="H632" s="65">
        <v>44561</v>
      </c>
      <c r="K632" s="71"/>
      <c r="L632" s="72">
        <v>37.5</v>
      </c>
      <c r="M632" s="71">
        <v>37</v>
      </c>
      <c r="N632" s="216">
        <v>36.799999999999997</v>
      </c>
      <c r="O632" s="71">
        <v>32.200000000000003</v>
      </c>
      <c r="P632" s="72">
        <v>33</v>
      </c>
    </row>
    <row r="633" spans="1:16">
      <c r="A633" s="295"/>
      <c r="B633" s="289"/>
      <c r="C633" s="296"/>
      <c r="D633" s="66" t="s">
        <v>412</v>
      </c>
      <c r="E633" t="s">
        <v>413</v>
      </c>
      <c r="G633" t="s">
        <v>429</v>
      </c>
      <c r="H633" s="65">
        <v>44561</v>
      </c>
      <c r="K633" s="71"/>
      <c r="L633" s="72">
        <v>7.8</v>
      </c>
      <c r="M633" s="71">
        <v>8.1999999999999993</v>
      </c>
      <c r="N633" s="216">
        <v>8.1999999999999993</v>
      </c>
      <c r="O633" s="71">
        <v>8</v>
      </c>
      <c r="P633" s="72">
        <v>6.9</v>
      </c>
    </row>
    <row r="634" spans="1:16">
      <c r="A634" s="295"/>
      <c r="B634" s="289"/>
      <c r="C634" s="296"/>
      <c r="D634" s="66" t="s">
        <v>414</v>
      </c>
      <c r="E634" t="s">
        <v>413</v>
      </c>
      <c r="G634" t="s">
        <v>429</v>
      </c>
      <c r="H634" s="65">
        <v>44561</v>
      </c>
      <c r="K634" s="71"/>
      <c r="L634" s="72">
        <v>45.3</v>
      </c>
      <c r="M634" s="71">
        <v>45.2</v>
      </c>
      <c r="N634" s="216">
        <v>45</v>
      </c>
      <c r="O634" s="71">
        <v>40.200000000000003</v>
      </c>
      <c r="P634" s="72">
        <v>39.9</v>
      </c>
    </row>
    <row r="635" spans="1:16">
      <c r="A635" s="295"/>
      <c r="B635" s="289"/>
      <c r="C635" s="296"/>
      <c r="D635" s="66" t="s">
        <v>415</v>
      </c>
      <c r="E635" t="s">
        <v>416</v>
      </c>
      <c r="G635" t="s">
        <v>429</v>
      </c>
      <c r="H635" s="65">
        <v>44561</v>
      </c>
      <c r="K635" s="71"/>
      <c r="L635" s="72">
        <v>425</v>
      </c>
      <c r="M635" s="71">
        <v>425</v>
      </c>
      <c r="N635" s="216">
        <v>425</v>
      </c>
      <c r="O635" s="71">
        <v>350</v>
      </c>
      <c r="P635" s="72">
        <v>380</v>
      </c>
    </row>
    <row r="636" spans="1:16">
      <c r="A636" s="295"/>
      <c r="B636" s="289"/>
      <c r="C636" s="296"/>
      <c r="D636" s="66" t="s">
        <v>417</v>
      </c>
      <c r="G636" t="s">
        <v>181</v>
      </c>
      <c r="H636" s="65">
        <v>44561</v>
      </c>
      <c r="K636" s="71"/>
      <c r="L636" s="72">
        <v>1669</v>
      </c>
      <c r="M636" s="71">
        <v>1717</v>
      </c>
      <c r="N636" s="216">
        <v>1817</v>
      </c>
      <c r="O636" s="71">
        <v>1627</v>
      </c>
      <c r="P636" s="72">
        <v>1682</v>
      </c>
    </row>
    <row r="637" spans="1:16">
      <c r="A637" s="295"/>
      <c r="B637" s="293"/>
      <c r="C637" s="296"/>
      <c r="D637" s="66" t="s">
        <v>418</v>
      </c>
      <c r="H637" s="65"/>
      <c r="K637" s="71"/>
      <c r="L637" s="72"/>
      <c r="M637" s="71"/>
      <c r="N637" s="216"/>
      <c r="O637" s="71"/>
      <c r="P637" s="72"/>
    </row>
    <row r="638" spans="1:16">
      <c r="A638" s="295" t="s">
        <v>182</v>
      </c>
      <c r="B638" s="292" t="s">
        <v>183</v>
      </c>
      <c r="C638" s="296" t="s">
        <v>184</v>
      </c>
      <c r="D638" s="66" t="s">
        <v>411</v>
      </c>
      <c r="E638" t="s">
        <v>539</v>
      </c>
      <c r="G638" t="s">
        <v>429</v>
      </c>
      <c r="H638" s="65">
        <v>44561</v>
      </c>
      <c r="K638" s="71">
        <v>1.87462187527987</v>
      </c>
      <c r="L638" s="72">
        <v>1.84435992735308</v>
      </c>
      <c r="M638" s="71">
        <v>2.0515686489135501</v>
      </c>
      <c r="N638" s="216">
        <v>1.71049343073906</v>
      </c>
      <c r="O638" s="71">
        <v>1.8262746387694699</v>
      </c>
      <c r="P638" s="72"/>
    </row>
    <row r="639" spans="1:16">
      <c r="A639" s="295"/>
      <c r="B639" s="289"/>
      <c r="C639" s="296"/>
      <c r="D639" s="66" t="s">
        <v>412</v>
      </c>
      <c r="E639" t="s">
        <v>413</v>
      </c>
      <c r="G639" t="s">
        <v>429</v>
      </c>
      <c r="H639" s="65">
        <v>44561</v>
      </c>
      <c r="K639" s="71">
        <v>0</v>
      </c>
      <c r="L639" s="72">
        <v>0</v>
      </c>
      <c r="M639" s="71">
        <v>0</v>
      </c>
      <c r="N639" s="216">
        <v>0</v>
      </c>
      <c r="O639" s="71">
        <v>0</v>
      </c>
      <c r="P639" s="72"/>
    </row>
    <row r="640" spans="1:16">
      <c r="A640" s="295"/>
      <c r="B640" s="289"/>
      <c r="C640" s="296"/>
      <c r="D640" s="66" t="s">
        <v>414</v>
      </c>
      <c r="E640" t="s">
        <v>413</v>
      </c>
      <c r="G640" t="s">
        <v>429</v>
      </c>
      <c r="H640" s="65">
        <v>44561</v>
      </c>
      <c r="K640" s="71">
        <v>1.87462187527987</v>
      </c>
      <c r="L640" s="72">
        <v>1.84435992735308</v>
      </c>
      <c r="M640" s="71">
        <v>2.0515686489135501</v>
      </c>
      <c r="N640" s="216">
        <v>1.71049343073906</v>
      </c>
      <c r="O640" s="71">
        <v>1.8262746387694699</v>
      </c>
      <c r="P640" s="72"/>
    </row>
    <row r="641" spans="1:16">
      <c r="A641" s="295"/>
      <c r="B641" s="289"/>
      <c r="C641" s="296"/>
      <c r="D641" s="66" t="s">
        <v>417</v>
      </c>
      <c r="E641" t="s">
        <v>539</v>
      </c>
      <c r="G641" t="s">
        <v>62</v>
      </c>
      <c r="H641" s="65">
        <v>44561</v>
      </c>
      <c r="K641" s="71">
        <v>2.1870177499999999</v>
      </c>
      <c r="L641" s="72">
        <v>2.1656629999999999</v>
      </c>
      <c r="M641" s="71">
        <v>2.3207654999999998</v>
      </c>
      <c r="N641" s="216">
        <v>2.1471232499999999</v>
      </c>
      <c r="O641" s="71">
        <v>2.2935585000000001</v>
      </c>
      <c r="P641" s="72"/>
    </row>
    <row r="642" spans="1:16">
      <c r="A642" s="295"/>
      <c r="B642" s="293"/>
      <c r="C642" s="296"/>
      <c r="D642" s="66" t="s">
        <v>418</v>
      </c>
      <c r="H642" s="65"/>
      <c r="K642" s="71"/>
      <c r="L642" s="72"/>
      <c r="M642" s="71"/>
      <c r="N642" s="216"/>
      <c r="O642" s="71"/>
      <c r="P642" s="72"/>
    </row>
    <row r="643" spans="1:16">
      <c r="A643" s="295" t="s">
        <v>182</v>
      </c>
      <c r="B643" s="292" t="s">
        <v>183</v>
      </c>
      <c r="C643" s="296" t="s">
        <v>184</v>
      </c>
      <c r="D643" s="66" t="s">
        <v>575</v>
      </c>
      <c r="H643" s="65"/>
      <c r="I643" s="90">
        <v>2005</v>
      </c>
      <c r="K643" s="71"/>
      <c r="L643" s="72"/>
      <c r="M643" s="71"/>
      <c r="N643" s="216"/>
      <c r="O643" s="71"/>
      <c r="P643" s="72"/>
    </row>
    <row r="644" spans="1:16">
      <c r="A644" s="295"/>
      <c r="B644" s="289"/>
      <c r="C644" s="296"/>
      <c r="D644" s="66" t="s">
        <v>411</v>
      </c>
      <c r="E644" t="s">
        <v>539</v>
      </c>
      <c r="G644" t="s">
        <v>428</v>
      </c>
      <c r="H644" s="65">
        <v>44651</v>
      </c>
      <c r="I644" s="90">
        <v>2789942</v>
      </c>
      <c r="K644" s="71"/>
      <c r="L644" s="72"/>
      <c r="M644" s="71"/>
      <c r="N644" s="216">
        <v>2369949</v>
      </c>
      <c r="O644" s="71">
        <v>2274960</v>
      </c>
      <c r="P644" s="72">
        <v>2146032</v>
      </c>
    </row>
    <row r="645" spans="1:16">
      <c r="A645" s="295"/>
      <c r="B645" s="289"/>
      <c r="C645" s="296"/>
      <c r="D645" s="66" t="s">
        <v>412</v>
      </c>
      <c r="E645" t="s">
        <v>413</v>
      </c>
      <c r="G645" t="s">
        <v>428</v>
      </c>
      <c r="H645" s="65">
        <v>44651</v>
      </c>
      <c r="K645" s="71"/>
      <c r="L645" s="72"/>
      <c r="M645" s="71"/>
      <c r="N645" s="216"/>
      <c r="O645" s="71"/>
      <c r="P645" s="72"/>
    </row>
    <row r="646" spans="1:16">
      <c r="A646" s="295"/>
      <c r="B646" s="289"/>
      <c r="C646" s="296"/>
      <c r="D646" s="66" t="s">
        <v>414</v>
      </c>
      <c r="E646" t="s">
        <v>413</v>
      </c>
      <c r="G646" t="s">
        <v>428</v>
      </c>
      <c r="H646" s="65">
        <v>44651</v>
      </c>
      <c r="K646" s="71"/>
      <c r="L646" s="72"/>
      <c r="M646" s="71"/>
      <c r="N646" s="216"/>
      <c r="O646" s="71"/>
      <c r="P646" s="72"/>
    </row>
    <row r="647" spans="1:16">
      <c r="A647" s="295"/>
      <c r="B647" s="289"/>
      <c r="C647" s="296"/>
      <c r="D647" s="66" t="s">
        <v>415</v>
      </c>
      <c r="E647" t="s">
        <v>539</v>
      </c>
      <c r="G647" t="s">
        <v>428</v>
      </c>
      <c r="H647" s="65">
        <v>44651</v>
      </c>
      <c r="I647" s="90">
        <v>756622</v>
      </c>
      <c r="K647" s="71"/>
      <c r="L647" s="72"/>
      <c r="M647" s="71"/>
      <c r="N647" s="216">
        <v>506861</v>
      </c>
      <c r="O647" s="71">
        <v>452519</v>
      </c>
      <c r="P647" s="72">
        <v>516565</v>
      </c>
    </row>
    <row r="648" spans="1:16">
      <c r="A648" s="295"/>
      <c r="B648" s="289"/>
      <c r="C648" s="296"/>
      <c r="D648" s="66" t="s">
        <v>411</v>
      </c>
      <c r="E648" t="s">
        <v>540</v>
      </c>
      <c r="F648" t="s">
        <v>1092</v>
      </c>
      <c r="G648" t="s">
        <v>428</v>
      </c>
      <c r="H648" s="65">
        <v>44651</v>
      </c>
      <c r="K648" s="71"/>
      <c r="L648" s="72"/>
      <c r="M648" s="71"/>
      <c r="N648" s="216"/>
      <c r="O648" s="71">
        <v>63242</v>
      </c>
      <c r="P648" s="72">
        <v>64868</v>
      </c>
    </row>
    <row r="649" spans="1:16">
      <c r="A649" s="295"/>
      <c r="B649" s="289"/>
      <c r="C649" s="296"/>
      <c r="D649" s="66" t="s">
        <v>415</v>
      </c>
      <c r="E649" t="s">
        <v>540</v>
      </c>
      <c r="G649" t="s">
        <v>428</v>
      </c>
      <c r="H649" s="65">
        <v>44651</v>
      </c>
      <c r="K649" s="71"/>
      <c r="L649" s="72"/>
      <c r="M649" s="71"/>
      <c r="N649" s="216"/>
      <c r="O649" s="71">
        <f>54.87*O650</f>
        <v>10549854.9</v>
      </c>
      <c r="P649" s="72">
        <f>54.87*P650</f>
        <v>11243521.439999999</v>
      </c>
    </row>
    <row r="650" spans="1:16">
      <c r="A650" s="295"/>
      <c r="B650" s="289"/>
      <c r="C650" s="296"/>
      <c r="D650" s="66" t="s">
        <v>417</v>
      </c>
      <c r="E650" t="s">
        <v>540</v>
      </c>
      <c r="G650" t="s">
        <v>617</v>
      </c>
      <c r="H650" s="65">
        <v>44651</v>
      </c>
      <c r="K650" s="71"/>
      <c r="L650" s="72"/>
      <c r="M650" s="71"/>
      <c r="N650" s="216">
        <v>200000</v>
      </c>
      <c r="O650" s="71">
        <v>192270</v>
      </c>
      <c r="P650" s="72">
        <v>204912</v>
      </c>
    </row>
    <row r="651" spans="1:16">
      <c r="A651" s="295"/>
      <c r="B651" s="289"/>
      <c r="C651" s="296"/>
      <c r="D651" s="66" t="s">
        <v>417</v>
      </c>
      <c r="E651" t="s">
        <v>539</v>
      </c>
      <c r="G651" t="s">
        <v>79</v>
      </c>
      <c r="H651" s="65">
        <v>44651</v>
      </c>
      <c r="K651" s="71"/>
      <c r="L651" s="72"/>
      <c r="M651" s="71"/>
      <c r="N651" s="216">
        <f>SUM(N652:N656)+SUM(N661)</f>
        <v>3678423</v>
      </c>
      <c r="O651" s="71">
        <f>SUM(O652:O656)+SUM(O661)</f>
        <v>3532711</v>
      </c>
      <c r="P651" s="72">
        <f>SUM(P652:P656)+SUM(P661)</f>
        <v>1075997</v>
      </c>
    </row>
    <row r="652" spans="1:16">
      <c r="A652" s="295"/>
      <c r="B652" s="289"/>
      <c r="C652" s="296"/>
      <c r="D652" s="66" t="s">
        <v>449</v>
      </c>
      <c r="E652" t="s">
        <v>462</v>
      </c>
      <c r="G652" t="s">
        <v>79</v>
      </c>
      <c r="H652" s="65">
        <v>44651</v>
      </c>
      <c r="I652" s="90">
        <v>2316751</v>
      </c>
      <c r="K652" s="71"/>
      <c r="L652" s="72"/>
      <c r="M652" s="71"/>
      <c r="N652" s="216">
        <v>2038738</v>
      </c>
      <c r="O652" s="71">
        <v>1849692</v>
      </c>
      <c r="P652" s="72"/>
    </row>
    <row r="653" spans="1:16">
      <c r="A653" s="295"/>
      <c r="B653" s="289"/>
      <c r="C653" s="296"/>
      <c r="D653" s="66" t="s">
        <v>449</v>
      </c>
      <c r="E653" t="s">
        <v>463</v>
      </c>
      <c r="G653" t="s">
        <v>79</v>
      </c>
      <c r="H653" s="65">
        <v>44651</v>
      </c>
      <c r="I653" s="90">
        <v>10086</v>
      </c>
      <c r="K653" s="71"/>
      <c r="L653" s="72"/>
      <c r="M653" s="71"/>
      <c r="N653" s="216">
        <v>4002</v>
      </c>
      <c r="O653" s="71">
        <v>565</v>
      </c>
      <c r="P653" s="72"/>
    </row>
    <row r="654" spans="1:16">
      <c r="A654" s="295"/>
      <c r="B654" s="289"/>
      <c r="C654" s="296"/>
      <c r="D654" s="66" t="s">
        <v>449</v>
      </c>
      <c r="E654" t="s">
        <v>464</v>
      </c>
      <c r="G654" t="s">
        <v>79</v>
      </c>
      <c r="H654" s="65">
        <v>44651</v>
      </c>
      <c r="K654" s="71"/>
      <c r="L654" s="72"/>
      <c r="M654" s="71"/>
      <c r="N654" s="216">
        <v>0</v>
      </c>
      <c r="O654" s="71">
        <v>0</v>
      </c>
      <c r="P654" s="72"/>
    </row>
    <row r="655" spans="1:16">
      <c r="A655" s="295"/>
      <c r="B655" s="289"/>
      <c r="C655" s="296"/>
      <c r="D655" s="66" t="s">
        <v>449</v>
      </c>
      <c r="E655" t="s">
        <v>465</v>
      </c>
      <c r="G655" t="s">
        <v>79</v>
      </c>
      <c r="H655" s="65">
        <v>44651</v>
      </c>
      <c r="I655" s="90">
        <v>458</v>
      </c>
      <c r="K655" s="71"/>
      <c r="L655" s="72"/>
      <c r="M655" s="71"/>
      <c r="N655" s="216">
        <v>282</v>
      </c>
      <c r="O655" s="71">
        <v>-31</v>
      </c>
      <c r="P655" s="72"/>
    </row>
    <row r="656" spans="1:16">
      <c r="A656" s="295"/>
      <c r="B656" s="289"/>
      <c r="C656" s="296"/>
      <c r="D656" s="66" t="s">
        <v>449</v>
      </c>
      <c r="E656" t="s">
        <v>471</v>
      </c>
      <c r="G656" t="s">
        <v>79</v>
      </c>
      <c r="H656" s="65">
        <v>44651</v>
      </c>
      <c r="I656" s="90">
        <v>0</v>
      </c>
      <c r="K656" s="71"/>
      <c r="L656" s="72"/>
      <c r="M656" s="71"/>
      <c r="N656" s="216">
        <v>694236</v>
      </c>
      <c r="O656" s="71">
        <v>754413</v>
      </c>
      <c r="P656" s="72"/>
    </row>
    <row r="657" spans="1:16">
      <c r="A657" s="295"/>
      <c r="B657" s="289"/>
      <c r="C657" s="296"/>
      <c r="D657" s="66" t="s">
        <v>449</v>
      </c>
      <c r="E657" t="s">
        <v>466</v>
      </c>
      <c r="G657" t="s">
        <v>79</v>
      </c>
      <c r="H657" s="65">
        <v>44651</v>
      </c>
      <c r="K657" s="71"/>
      <c r="L657" s="72"/>
      <c r="M657" s="71"/>
      <c r="N657" s="216"/>
      <c r="O657" s="71"/>
      <c r="P657" s="72"/>
    </row>
    <row r="658" spans="1:16">
      <c r="A658" s="295"/>
      <c r="B658" s="289"/>
      <c r="C658" s="296"/>
      <c r="D658" s="66" t="s">
        <v>449</v>
      </c>
      <c r="E658" t="s">
        <v>467</v>
      </c>
      <c r="G658" t="s">
        <v>79</v>
      </c>
      <c r="H658" s="65">
        <v>44651</v>
      </c>
      <c r="K658" s="71"/>
      <c r="L658" s="72"/>
      <c r="M658" s="71"/>
      <c r="N658" s="216"/>
      <c r="O658" s="71"/>
      <c r="P658" s="72"/>
    </row>
    <row r="659" spans="1:16">
      <c r="A659" s="295"/>
      <c r="B659" s="289"/>
      <c r="C659" s="296"/>
      <c r="D659" s="66" t="s">
        <v>449</v>
      </c>
      <c r="E659" t="s">
        <v>468</v>
      </c>
      <c r="G659" t="s">
        <v>79</v>
      </c>
      <c r="H659" s="65">
        <v>44651</v>
      </c>
      <c r="K659" s="71"/>
      <c r="L659" s="72"/>
      <c r="M659" s="71"/>
      <c r="N659" s="216"/>
      <c r="O659" s="71"/>
      <c r="P659" s="72"/>
    </row>
    <row r="660" spans="1:16">
      <c r="A660" s="295"/>
      <c r="B660" s="289"/>
      <c r="C660" s="296"/>
      <c r="D660" s="66" t="s">
        <v>449</v>
      </c>
      <c r="E660" t="s">
        <v>469</v>
      </c>
      <c r="G660" t="s">
        <v>79</v>
      </c>
      <c r="H660" s="65">
        <v>44651</v>
      </c>
      <c r="K660" s="71"/>
      <c r="L660" s="72"/>
      <c r="M660" s="71"/>
      <c r="N660" s="216">
        <v>694236</v>
      </c>
      <c r="O660" s="71">
        <v>754413</v>
      </c>
      <c r="P660" s="72">
        <v>706647</v>
      </c>
    </row>
    <row r="661" spans="1:16">
      <c r="A661" s="295"/>
      <c r="B661" s="289"/>
      <c r="C661" s="296"/>
      <c r="D661" s="66" t="s">
        <v>449</v>
      </c>
      <c r="E661" t="s">
        <v>594</v>
      </c>
      <c r="G661" t="s">
        <v>79</v>
      </c>
      <c r="H661" s="65">
        <v>44651</v>
      </c>
      <c r="I661" s="90">
        <v>902020</v>
      </c>
      <c r="K661" s="71"/>
      <c r="L661" s="72"/>
      <c r="M661" s="71"/>
      <c r="N661" s="216">
        <v>941165</v>
      </c>
      <c r="O661" s="71">
        <v>928072</v>
      </c>
      <c r="P661" s="72">
        <v>1075997</v>
      </c>
    </row>
    <row r="662" spans="1:16">
      <c r="A662" s="295"/>
      <c r="B662" s="293"/>
      <c r="C662" s="296"/>
      <c r="D662" s="66" t="s">
        <v>418</v>
      </c>
      <c r="H662" s="65">
        <v>44651</v>
      </c>
      <c r="K662" s="71"/>
      <c r="L662" s="72"/>
      <c r="M662" s="71"/>
      <c r="N662" s="216"/>
      <c r="O662" s="71"/>
      <c r="P662" s="74" t="s">
        <v>1089</v>
      </c>
    </row>
    <row r="663" spans="1:16">
      <c r="A663" s="295" t="s">
        <v>185</v>
      </c>
      <c r="B663" s="292" t="s">
        <v>186</v>
      </c>
      <c r="C663" s="296" t="s">
        <v>187</v>
      </c>
      <c r="D663" s="66" t="s">
        <v>411</v>
      </c>
      <c r="G663" t="s">
        <v>429</v>
      </c>
      <c r="H663" s="65">
        <v>44561</v>
      </c>
      <c r="K663" s="71">
        <v>5.8304249123706402</v>
      </c>
      <c r="L663" s="72">
        <v>4.1059781322581701</v>
      </c>
      <c r="M663" s="71">
        <v>5.75632595190089</v>
      </c>
      <c r="N663" s="216">
        <v>4.7256911734020299</v>
      </c>
      <c r="O663" s="71">
        <v>6.07854526951468</v>
      </c>
      <c r="P663" s="72"/>
    </row>
    <row r="664" spans="1:16">
      <c r="A664" s="295"/>
      <c r="B664" s="289"/>
      <c r="C664" s="296"/>
      <c r="D664" s="66" t="s">
        <v>412</v>
      </c>
      <c r="E664" t="s">
        <v>413</v>
      </c>
      <c r="G664" t="s">
        <v>429</v>
      </c>
      <c r="H664" s="65">
        <v>44561</v>
      </c>
      <c r="K664" s="71">
        <v>0</v>
      </c>
      <c r="L664" s="72">
        <v>0</v>
      </c>
      <c r="M664" s="71">
        <v>0</v>
      </c>
      <c r="N664" s="216">
        <v>0</v>
      </c>
      <c r="O664" s="71">
        <v>0</v>
      </c>
      <c r="P664" s="72"/>
    </row>
    <row r="665" spans="1:16">
      <c r="A665" s="295"/>
      <c r="B665" s="289"/>
      <c r="C665" s="296"/>
      <c r="D665" s="66" t="s">
        <v>414</v>
      </c>
      <c r="E665" t="s">
        <v>413</v>
      </c>
      <c r="G665" t="s">
        <v>429</v>
      </c>
      <c r="H665" s="65">
        <v>44561</v>
      </c>
      <c r="K665" s="71">
        <v>5.8304249123706402</v>
      </c>
      <c r="L665" s="72">
        <v>4.1059781322581701</v>
      </c>
      <c r="M665" s="71">
        <v>5.75632595190089</v>
      </c>
      <c r="N665" s="216">
        <v>4.7256911734020299</v>
      </c>
      <c r="O665" s="71">
        <v>6.07854526951468</v>
      </c>
      <c r="P665" s="72"/>
    </row>
    <row r="666" spans="1:16">
      <c r="A666" s="295"/>
      <c r="B666" s="289"/>
      <c r="C666" s="296"/>
      <c r="D666" s="66" t="s">
        <v>417</v>
      </c>
      <c r="G666" t="s">
        <v>62</v>
      </c>
      <c r="H666" s="65">
        <v>44561</v>
      </c>
      <c r="K666" s="71">
        <v>9.6681579999999894</v>
      </c>
      <c r="L666" s="72">
        <v>6.7177259999999999</v>
      </c>
      <c r="M666" s="71">
        <v>9.3488639999999901</v>
      </c>
      <c r="N666" s="216">
        <v>7.7770190000000001</v>
      </c>
      <c r="O666" s="71">
        <v>10.203676</v>
      </c>
      <c r="P666" s="72"/>
    </row>
    <row r="667" spans="1:16">
      <c r="A667" s="295"/>
      <c r="B667" s="293"/>
      <c r="C667" s="296"/>
      <c r="D667" s="66" t="s">
        <v>418</v>
      </c>
      <c r="H667" s="65"/>
      <c r="K667" s="71"/>
      <c r="L667" s="72"/>
      <c r="M667" s="71"/>
      <c r="N667" s="216"/>
      <c r="O667" s="71"/>
      <c r="P667" s="72"/>
    </row>
    <row r="668" spans="1:16">
      <c r="A668" s="295" t="s">
        <v>185</v>
      </c>
      <c r="B668" s="292" t="s">
        <v>186</v>
      </c>
      <c r="C668" s="296" t="s">
        <v>187</v>
      </c>
      <c r="D668" s="66" t="s">
        <v>411</v>
      </c>
      <c r="G668" t="s">
        <v>427</v>
      </c>
      <c r="H668" s="65">
        <v>44651</v>
      </c>
      <c r="K668" s="71"/>
      <c r="L668" s="72"/>
      <c r="M668" s="71"/>
      <c r="N668" s="216"/>
      <c r="O668" s="71">
        <v>4727</v>
      </c>
      <c r="P668" s="72">
        <v>5270.75</v>
      </c>
    </row>
    <row r="669" spans="1:16">
      <c r="A669" s="295"/>
      <c r="B669" s="289"/>
      <c r="C669" s="296"/>
      <c r="D669" s="66" t="s">
        <v>412</v>
      </c>
      <c r="E669" t="s">
        <v>420</v>
      </c>
      <c r="G669" t="s">
        <v>427</v>
      </c>
      <c r="H669" s="65">
        <v>44651</v>
      </c>
      <c r="K669" s="71"/>
      <c r="L669" s="72"/>
      <c r="M669" s="71"/>
      <c r="N669" s="216"/>
      <c r="O669" s="71">
        <v>2264</v>
      </c>
      <c r="P669" s="72">
        <v>2244</v>
      </c>
    </row>
    <row r="670" spans="1:16">
      <c r="A670" s="295"/>
      <c r="B670" s="289"/>
      <c r="C670" s="296"/>
      <c r="D670" s="66" t="s">
        <v>412</v>
      </c>
      <c r="E670" t="s">
        <v>413</v>
      </c>
      <c r="G670" t="s">
        <v>427</v>
      </c>
      <c r="H670" s="65">
        <v>44651</v>
      </c>
      <c r="K670" s="71"/>
      <c r="L670" s="72"/>
      <c r="M670" s="71"/>
      <c r="N670" s="216"/>
      <c r="O670" s="71">
        <v>2216</v>
      </c>
      <c r="P670" s="72">
        <v>2194</v>
      </c>
    </row>
    <row r="671" spans="1:16">
      <c r="A671" s="295"/>
      <c r="B671" s="289"/>
      <c r="C671" s="296"/>
      <c r="D671" s="66" t="s">
        <v>414</v>
      </c>
      <c r="E671" t="s">
        <v>576</v>
      </c>
      <c r="G671" t="s">
        <v>427</v>
      </c>
      <c r="H671" s="65">
        <v>44651</v>
      </c>
      <c r="K671" s="71"/>
      <c r="L671" s="72"/>
      <c r="M671" s="71"/>
      <c r="N671" s="216"/>
      <c r="O671" s="71">
        <f>O668+O670</f>
        <v>6943</v>
      </c>
      <c r="P671" s="72">
        <f>P668+P670</f>
        <v>7464.75</v>
      </c>
    </row>
    <row r="672" spans="1:16">
      <c r="A672" s="295"/>
      <c r="B672" s="289"/>
      <c r="C672" s="296"/>
      <c r="D672" s="66" t="s">
        <v>600</v>
      </c>
      <c r="E672" t="s">
        <v>576</v>
      </c>
      <c r="G672" t="s">
        <v>1048</v>
      </c>
      <c r="H672" s="65">
        <v>44651</v>
      </c>
      <c r="K672" s="71"/>
      <c r="L672" s="72"/>
      <c r="M672" s="71"/>
      <c r="N672" s="216"/>
      <c r="O672" s="71">
        <v>436</v>
      </c>
      <c r="P672" s="72">
        <v>486</v>
      </c>
    </row>
    <row r="673" spans="1:16">
      <c r="A673" s="295"/>
      <c r="B673" s="289"/>
      <c r="C673" s="296"/>
      <c r="D673" s="66" t="s">
        <v>415</v>
      </c>
      <c r="E673" t="s">
        <v>416</v>
      </c>
      <c r="G673" t="s">
        <v>427</v>
      </c>
      <c r="H673" s="65">
        <v>44651</v>
      </c>
      <c r="I673" s="90" t="s">
        <v>970</v>
      </c>
      <c r="K673" s="71"/>
      <c r="L673" s="72"/>
      <c r="M673" s="71"/>
      <c r="N673" s="216"/>
      <c r="O673" s="71">
        <v>28948</v>
      </c>
      <c r="P673" s="72">
        <v>30088</v>
      </c>
    </row>
    <row r="674" spans="1:16">
      <c r="A674" s="295"/>
      <c r="B674" s="289"/>
      <c r="C674" s="296"/>
      <c r="D674" s="66" t="s">
        <v>415</v>
      </c>
      <c r="E674" t="s">
        <v>539</v>
      </c>
      <c r="F674" t="s">
        <v>596</v>
      </c>
      <c r="G674" t="s">
        <v>427</v>
      </c>
      <c r="H674" s="65">
        <v>44651</v>
      </c>
      <c r="K674" s="71"/>
      <c r="L674" s="72"/>
      <c r="M674" s="71"/>
      <c r="N674" s="216"/>
      <c r="O674" s="71">
        <v>4126</v>
      </c>
      <c r="P674" s="72">
        <v>4371</v>
      </c>
    </row>
    <row r="675" spans="1:16">
      <c r="A675" s="295"/>
      <c r="B675" s="289"/>
      <c r="C675" s="296"/>
      <c r="D675" s="66" t="s">
        <v>415</v>
      </c>
      <c r="E675" t="s">
        <v>540</v>
      </c>
      <c r="F675" t="s">
        <v>596</v>
      </c>
      <c r="G675" t="s">
        <v>427</v>
      </c>
      <c r="H675" s="65">
        <v>44651</v>
      </c>
      <c r="K675" s="71"/>
      <c r="L675" s="72"/>
      <c r="M675" s="71"/>
      <c r="N675" s="216"/>
      <c r="O675" s="71">
        <v>18235</v>
      </c>
      <c r="P675" s="72">
        <v>18947.301139453699</v>
      </c>
    </row>
    <row r="676" spans="1:16">
      <c r="A676" s="295"/>
      <c r="B676" s="289"/>
      <c r="C676" s="296"/>
      <c r="D676" s="66" t="s">
        <v>415</v>
      </c>
      <c r="E676">
        <v>1</v>
      </c>
      <c r="F676" t="s">
        <v>597</v>
      </c>
      <c r="G676" t="s">
        <v>427</v>
      </c>
      <c r="H676" s="65">
        <v>44651</v>
      </c>
      <c r="I676" s="90" t="s">
        <v>970</v>
      </c>
      <c r="K676" s="71"/>
      <c r="L676" s="72"/>
      <c r="M676" s="71"/>
      <c r="N676" s="216"/>
      <c r="O676" s="71">
        <v>6570</v>
      </c>
      <c r="P676" s="72">
        <v>6746.984281205082</v>
      </c>
    </row>
    <row r="677" spans="1:16">
      <c r="A677" s="295"/>
      <c r="B677" s="289"/>
      <c r="C677" s="296"/>
      <c r="D677" s="66" t="s">
        <v>415</v>
      </c>
      <c r="E677">
        <v>7</v>
      </c>
      <c r="F677" t="s">
        <v>597</v>
      </c>
      <c r="G677" t="s">
        <v>427</v>
      </c>
      <c r="H677" s="65">
        <v>44651</v>
      </c>
      <c r="I677" s="90" t="s">
        <v>970</v>
      </c>
      <c r="K677" s="71"/>
      <c r="L677" s="72"/>
      <c r="M677" s="71"/>
      <c r="N677" s="216"/>
      <c r="O677" s="71">
        <v>5</v>
      </c>
      <c r="P677" s="72">
        <v>4.9569999999999999</v>
      </c>
    </row>
    <row r="678" spans="1:16">
      <c r="A678" s="295"/>
      <c r="B678" s="289"/>
      <c r="C678" s="296"/>
      <c r="D678" s="66" t="s">
        <v>415</v>
      </c>
      <c r="E678">
        <v>6</v>
      </c>
      <c r="F678" t="s">
        <v>597</v>
      </c>
      <c r="G678" t="s">
        <v>427</v>
      </c>
      <c r="H678" s="65">
        <v>44651</v>
      </c>
      <c r="I678" s="90" t="s">
        <v>970</v>
      </c>
      <c r="K678" s="71"/>
      <c r="L678" s="72"/>
      <c r="M678" s="71"/>
      <c r="N678" s="216"/>
      <c r="O678" s="71">
        <v>6</v>
      </c>
      <c r="P678" s="72">
        <v>10.604989736636799</v>
      </c>
    </row>
    <row r="679" spans="1:16">
      <c r="A679" s="295"/>
      <c r="B679" s="289"/>
      <c r="C679" s="296"/>
      <c r="D679" s="66" t="s">
        <v>415</v>
      </c>
      <c r="E679">
        <v>5</v>
      </c>
      <c r="F679" t="s">
        <v>597</v>
      </c>
      <c r="G679" t="s">
        <v>427</v>
      </c>
      <c r="H679" s="65">
        <v>44651</v>
      </c>
      <c r="I679" s="90" t="s">
        <v>970</v>
      </c>
      <c r="K679" s="71"/>
      <c r="L679" s="72"/>
      <c r="M679" s="71"/>
      <c r="N679" s="216"/>
      <c r="O679" s="71">
        <v>6</v>
      </c>
      <c r="P679" s="72">
        <v>7.1860943596463605</v>
      </c>
    </row>
    <row r="680" spans="1:16">
      <c r="A680" s="295"/>
      <c r="B680" s="289"/>
      <c r="C680" s="296"/>
      <c r="D680" s="66" t="s">
        <v>417</v>
      </c>
      <c r="E680" t="s">
        <v>540</v>
      </c>
      <c r="G680" t="s">
        <v>1050</v>
      </c>
      <c r="H680" s="65">
        <v>44651</v>
      </c>
      <c r="K680" s="71"/>
      <c r="L680" s="72"/>
      <c r="M680" s="71"/>
      <c r="N680" s="216">
        <v>700809</v>
      </c>
      <c r="O680" s="71">
        <v>662250</v>
      </c>
      <c r="P680" s="72">
        <v>701882</v>
      </c>
    </row>
    <row r="681" spans="1:16">
      <c r="A681" s="295"/>
      <c r="B681" s="289"/>
      <c r="C681" s="296"/>
      <c r="D681" s="66" t="s">
        <v>417</v>
      </c>
      <c r="E681" t="s">
        <v>474</v>
      </c>
      <c r="G681" t="s">
        <v>1045</v>
      </c>
      <c r="H681" s="65">
        <v>44651</v>
      </c>
      <c r="I681" s="90" t="s">
        <v>970</v>
      </c>
      <c r="K681" s="71"/>
      <c r="L681" s="72"/>
      <c r="M681" s="71"/>
      <c r="N681" s="216"/>
      <c r="O681" s="71"/>
      <c r="P681" s="72">
        <v>17334077675</v>
      </c>
    </row>
    <row r="682" spans="1:16">
      <c r="A682" s="295"/>
      <c r="B682" s="289"/>
      <c r="C682" s="296"/>
      <c r="D682" s="66" t="s">
        <v>417</v>
      </c>
      <c r="E682" t="s">
        <v>475</v>
      </c>
      <c r="G682" t="s">
        <v>1045</v>
      </c>
      <c r="H682" s="65">
        <v>44651</v>
      </c>
      <c r="I682" s="90" t="s">
        <v>970</v>
      </c>
      <c r="K682" s="71"/>
      <c r="L682" s="72"/>
      <c r="M682" s="71"/>
      <c r="N682" s="216"/>
      <c r="O682" s="71"/>
      <c r="P682" s="72">
        <v>6072968591</v>
      </c>
    </row>
    <row r="683" spans="1:16">
      <c r="A683" s="295"/>
      <c r="B683" s="289"/>
      <c r="C683" s="296"/>
      <c r="D683" s="66" t="s">
        <v>417</v>
      </c>
      <c r="E683" t="s">
        <v>476</v>
      </c>
      <c r="G683" t="s">
        <v>1045</v>
      </c>
      <c r="H683" s="65">
        <v>44651</v>
      </c>
      <c r="I683" s="90" t="s">
        <v>970</v>
      </c>
      <c r="K683" s="71"/>
      <c r="L683" s="72"/>
      <c r="M683" s="71"/>
      <c r="N683" s="216"/>
      <c r="O683" s="71"/>
      <c r="P683" s="72">
        <v>1196126610</v>
      </c>
    </row>
    <row r="684" spans="1:16">
      <c r="A684" s="295"/>
      <c r="B684" s="289"/>
      <c r="C684" s="296"/>
      <c r="D684" s="66" t="s">
        <v>417</v>
      </c>
      <c r="E684" t="s">
        <v>477</v>
      </c>
      <c r="G684" t="s">
        <v>1045</v>
      </c>
      <c r="H684" s="65">
        <v>44651</v>
      </c>
      <c r="I684" s="90" t="s">
        <v>970</v>
      </c>
      <c r="K684" s="71"/>
      <c r="L684" s="72"/>
      <c r="M684" s="71"/>
      <c r="N684" s="216"/>
      <c r="O684" s="71"/>
      <c r="P684" s="72">
        <v>35872411763</v>
      </c>
    </row>
    <row r="685" spans="1:16">
      <c r="A685" s="295"/>
      <c r="B685" s="289"/>
      <c r="C685" s="296"/>
      <c r="D685" s="66" t="s">
        <v>417</v>
      </c>
      <c r="E685" t="s">
        <v>478</v>
      </c>
      <c r="G685" t="s">
        <v>1045</v>
      </c>
      <c r="H685" s="65">
        <v>44651</v>
      </c>
      <c r="I685" s="90" t="s">
        <v>970</v>
      </c>
      <c r="K685" s="71"/>
      <c r="L685" s="72"/>
      <c r="M685" s="71"/>
      <c r="N685" s="216"/>
      <c r="O685" s="71"/>
      <c r="P685" s="72">
        <v>3004379000</v>
      </c>
    </row>
    <row r="686" spans="1:16">
      <c r="A686" s="295"/>
      <c r="B686" s="289"/>
      <c r="C686" s="296"/>
      <c r="D686" s="66" t="s">
        <v>417</v>
      </c>
      <c r="E686" t="s">
        <v>539</v>
      </c>
      <c r="G686" t="s">
        <v>62</v>
      </c>
      <c r="H686" s="65">
        <v>44651</v>
      </c>
      <c r="K686" s="71"/>
      <c r="L686" s="72"/>
      <c r="M686" s="71"/>
      <c r="N686" s="216"/>
      <c r="O686" s="71"/>
      <c r="P686" s="72">
        <f>SUM(P681:P685)/1000000000</f>
        <v>63.479963638999997</v>
      </c>
    </row>
    <row r="687" spans="1:16">
      <c r="A687" s="295"/>
      <c r="B687" s="289"/>
      <c r="C687" s="296"/>
      <c r="D687" s="66" t="s">
        <v>418</v>
      </c>
      <c r="H687" s="65"/>
      <c r="K687" s="71"/>
      <c r="L687" s="72"/>
      <c r="M687" s="71"/>
      <c r="N687" s="216"/>
      <c r="O687" s="71"/>
      <c r="P687" s="74" t="s">
        <v>1046</v>
      </c>
    </row>
    <row r="688" spans="1:16">
      <c r="A688" s="295"/>
      <c r="B688" s="293"/>
      <c r="C688" s="296"/>
      <c r="D688" s="66" t="s">
        <v>473</v>
      </c>
      <c r="H688" s="65"/>
      <c r="K688" s="71"/>
      <c r="L688" s="72"/>
      <c r="M688" s="71"/>
      <c r="N688" s="216"/>
      <c r="O688" s="71"/>
      <c r="P688" s="74" t="s">
        <v>1047</v>
      </c>
    </row>
    <row r="689" spans="1:16">
      <c r="A689" s="295" t="s">
        <v>188</v>
      </c>
      <c r="B689" s="292" t="s">
        <v>189</v>
      </c>
      <c r="C689" s="296" t="s">
        <v>190</v>
      </c>
      <c r="D689" s="66" t="s">
        <v>411</v>
      </c>
      <c r="G689" t="s">
        <v>429</v>
      </c>
      <c r="H689" s="65">
        <v>44561</v>
      </c>
      <c r="K689" s="71">
        <v>44.467669531403999</v>
      </c>
      <c r="L689" s="72">
        <v>45.156516685849297</v>
      </c>
      <c r="M689" s="71">
        <v>45.362601100706101</v>
      </c>
      <c r="N689" s="216">
        <v>44.579149470133402</v>
      </c>
      <c r="O689" s="71">
        <v>42.257461966110597</v>
      </c>
      <c r="P689" s="72"/>
    </row>
    <row r="690" spans="1:16">
      <c r="A690" s="295"/>
      <c r="B690" s="289"/>
      <c r="C690" s="296"/>
      <c r="D690" s="66" t="s">
        <v>412</v>
      </c>
      <c r="E690" t="s">
        <v>413</v>
      </c>
      <c r="G690" t="s">
        <v>429</v>
      </c>
      <c r="H690" s="65">
        <v>44561</v>
      </c>
      <c r="K690" s="71">
        <v>0</v>
      </c>
      <c r="L690" s="72">
        <v>0</v>
      </c>
      <c r="M690" s="71">
        <v>0</v>
      </c>
      <c r="N690" s="216">
        <v>0</v>
      </c>
      <c r="O690" s="71">
        <v>0</v>
      </c>
      <c r="P690" s="72"/>
    </row>
    <row r="691" spans="1:16">
      <c r="A691" s="295"/>
      <c r="B691" s="289"/>
      <c r="C691" s="296"/>
      <c r="D691" s="66" t="s">
        <v>414</v>
      </c>
      <c r="E691" t="s">
        <v>413</v>
      </c>
      <c r="G691" t="s">
        <v>429</v>
      </c>
      <c r="H691" s="65">
        <v>44561</v>
      </c>
      <c r="K691" s="71">
        <v>44.467669531403999</v>
      </c>
      <c r="L691" s="72">
        <v>45.156516685849297</v>
      </c>
      <c r="M691" s="71">
        <v>45.362601100706101</v>
      </c>
      <c r="N691" s="216">
        <v>44.579149470133402</v>
      </c>
      <c r="O691" s="71">
        <v>42.257461966110597</v>
      </c>
      <c r="P691" s="72"/>
    </row>
    <row r="692" spans="1:16">
      <c r="A692" s="295"/>
      <c r="B692" s="289"/>
      <c r="C692" s="296"/>
      <c r="D692" s="66" t="s">
        <v>415</v>
      </c>
      <c r="E692" t="s">
        <v>416</v>
      </c>
      <c r="G692" t="s">
        <v>429</v>
      </c>
      <c r="H692" s="65">
        <v>44561</v>
      </c>
      <c r="K692" s="71"/>
      <c r="L692" s="72"/>
      <c r="M692" s="71"/>
      <c r="N692" s="216"/>
      <c r="O692" s="71"/>
      <c r="P692" s="72"/>
    </row>
    <row r="693" spans="1:16">
      <c r="A693" s="295"/>
      <c r="B693" s="289"/>
      <c r="C693" s="296"/>
      <c r="D693" s="66" t="s">
        <v>417</v>
      </c>
      <c r="G693" t="s">
        <v>62</v>
      </c>
      <c r="H693" s="65">
        <v>44561</v>
      </c>
      <c r="K693" s="71">
        <v>127.73700738310001</v>
      </c>
      <c r="L693" s="72">
        <v>129.144311972</v>
      </c>
      <c r="M693" s="71">
        <v>133.74937911255</v>
      </c>
      <c r="N693" s="216">
        <v>135.71818765739999</v>
      </c>
      <c r="O693" s="71">
        <v>137.27814340149999</v>
      </c>
      <c r="P693" s="72"/>
    </row>
    <row r="694" spans="1:16">
      <c r="A694" s="295"/>
      <c r="B694" s="293"/>
      <c r="C694" s="296"/>
      <c r="D694" s="66" t="s">
        <v>418</v>
      </c>
      <c r="H694" s="65"/>
      <c r="K694" s="71"/>
      <c r="L694" s="72"/>
      <c r="M694" s="71"/>
      <c r="N694" s="216"/>
      <c r="O694" s="71"/>
      <c r="P694" s="72"/>
    </row>
    <row r="695" spans="1:16">
      <c r="A695" s="295" t="s">
        <v>188</v>
      </c>
      <c r="B695" s="292" t="s">
        <v>189</v>
      </c>
      <c r="C695" s="296" t="s">
        <v>190</v>
      </c>
      <c r="D695" s="66" t="s">
        <v>411</v>
      </c>
      <c r="G695" t="s">
        <v>428</v>
      </c>
      <c r="H695" s="65">
        <v>44651</v>
      </c>
      <c r="K695" s="71"/>
      <c r="L695" s="72"/>
      <c r="M695" s="71"/>
      <c r="N695" s="216"/>
      <c r="O695" s="71">
        <v>43247571</v>
      </c>
      <c r="P695" s="72">
        <v>42353376</v>
      </c>
    </row>
    <row r="696" spans="1:16">
      <c r="A696" s="295"/>
      <c r="B696" s="289"/>
      <c r="C696" s="296"/>
      <c r="D696" s="66" t="s">
        <v>412</v>
      </c>
      <c r="E696" t="s">
        <v>413</v>
      </c>
      <c r="G696" t="s">
        <v>428</v>
      </c>
      <c r="H696" s="65">
        <v>44651</v>
      </c>
      <c r="K696" s="71"/>
      <c r="L696" s="72"/>
      <c r="M696" s="71"/>
      <c r="N696" s="216"/>
      <c r="O696" s="71">
        <v>2172160</v>
      </c>
      <c r="P696" s="72">
        <v>1736579</v>
      </c>
    </row>
    <row r="697" spans="1:16">
      <c r="A697" s="295"/>
      <c r="B697" s="289"/>
      <c r="C697" s="296"/>
      <c r="D697" s="66" t="s">
        <v>414</v>
      </c>
      <c r="E697" t="s">
        <v>413</v>
      </c>
      <c r="G697" t="s">
        <v>428</v>
      </c>
      <c r="H697" s="65">
        <v>44651</v>
      </c>
      <c r="K697" s="71"/>
      <c r="L697" s="72"/>
      <c r="M697" s="71"/>
      <c r="N697" s="216"/>
      <c r="O697" s="71">
        <f>O695+O696</f>
        <v>45419731</v>
      </c>
      <c r="P697" s="72">
        <f>P695+P696</f>
        <v>44089955</v>
      </c>
    </row>
    <row r="698" spans="1:16">
      <c r="A698" s="295"/>
      <c r="B698" s="289"/>
      <c r="C698" s="296"/>
      <c r="D698" s="66" t="s">
        <v>415</v>
      </c>
      <c r="E698" t="s">
        <v>416</v>
      </c>
      <c r="F698" t="s">
        <v>472</v>
      </c>
      <c r="G698" t="s">
        <v>428</v>
      </c>
      <c r="H698" s="65">
        <v>44651</v>
      </c>
      <c r="K698" s="71"/>
      <c r="L698" s="72"/>
      <c r="M698" s="71"/>
      <c r="N698" s="216"/>
      <c r="O698" s="71"/>
      <c r="P698" s="72">
        <v>2392318</v>
      </c>
    </row>
    <row r="699" spans="1:16">
      <c r="A699" s="295"/>
      <c r="B699" s="289"/>
      <c r="C699" s="296"/>
      <c r="D699" s="66" t="s">
        <v>417</v>
      </c>
      <c r="E699" t="s">
        <v>449</v>
      </c>
      <c r="G699" t="s">
        <v>79</v>
      </c>
      <c r="H699" s="65">
        <v>44651</v>
      </c>
      <c r="K699" s="71"/>
      <c r="L699" s="72"/>
      <c r="M699" s="71"/>
      <c r="N699" s="216">
        <f>SUM(N700:N704)+SUM(N709)</f>
        <v>207384681</v>
      </c>
      <c r="O699" s="71">
        <f>SUM(O700:O704)+SUM(O709)</f>
        <v>216207153</v>
      </c>
      <c r="P699" s="72">
        <f>SUM(P700:P704)+SUM(P709)</f>
        <v>221288680</v>
      </c>
    </row>
    <row r="700" spans="1:16">
      <c r="A700" s="295"/>
      <c r="B700" s="289"/>
      <c r="C700" s="296"/>
      <c r="D700" s="66" t="s">
        <v>449</v>
      </c>
      <c r="E700" t="s">
        <v>462</v>
      </c>
      <c r="G700" t="s">
        <v>79</v>
      </c>
      <c r="H700" s="65">
        <v>44651</v>
      </c>
      <c r="K700" s="71"/>
      <c r="L700" s="72"/>
      <c r="M700" s="71"/>
      <c r="N700" s="216">
        <v>6923744</v>
      </c>
      <c r="O700" s="71">
        <v>4417826</v>
      </c>
      <c r="P700" s="72">
        <v>4439180</v>
      </c>
    </row>
    <row r="701" spans="1:16">
      <c r="A701" s="295"/>
      <c r="B701" s="289"/>
      <c r="C701" s="296"/>
      <c r="D701" s="66" t="s">
        <v>449</v>
      </c>
      <c r="E701" t="s">
        <v>463</v>
      </c>
      <c r="G701" t="s">
        <v>79</v>
      </c>
      <c r="H701" s="65">
        <v>44651</v>
      </c>
      <c r="K701" s="71"/>
      <c r="L701" s="72"/>
      <c r="M701" s="71"/>
      <c r="N701" s="216">
        <v>99230129</v>
      </c>
      <c r="O701" s="71">
        <v>103070751</v>
      </c>
      <c r="P701" s="72">
        <v>99680103</v>
      </c>
    </row>
    <row r="702" spans="1:16">
      <c r="A702" s="295"/>
      <c r="B702" s="289"/>
      <c r="C702" s="296"/>
      <c r="D702" s="66" t="s">
        <v>449</v>
      </c>
      <c r="E702" t="s">
        <v>464</v>
      </c>
      <c r="G702" t="s">
        <v>79</v>
      </c>
      <c r="H702" s="65">
        <v>44651</v>
      </c>
      <c r="K702" s="71"/>
      <c r="L702" s="72"/>
      <c r="M702" s="71"/>
      <c r="N702" s="216">
        <v>51118396</v>
      </c>
      <c r="O702" s="71">
        <v>49869793</v>
      </c>
      <c r="P702" s="72">
        <v>46943053</v>
      </c>
    </row>
    <row r="703" spans="1:16">
      <c r="A703" s="295"/>
      <c r="B703" s="289"/>
      <c r="C703" s="296"/>
      <c r="D703" s="66" t="s">
        <v>449</v>
      </c>
      <c r="E703" t="s">
        <v>465</v>
      </c>
      <c r="G703" t="s">
        <v>79</v>
      </c>
      <c r="H703" s="65">
        <v>44651</v>
      </c>
      <c r="K703" s="71"/>
      <c r="L703" s="72"/>
      <c r="M703" s="71"/>
      <c r="N703" s="216">
        <v>222347</v>
      </c>
      <c r="O703" s="71">
        <v>160427</v>
      </c>
      <c r="P703" s="72">
        <v>293419</v>
      </c>
    </row>
    <row r="704" spans="1:16">
      <c r="A704" s="295"/>
      <c r="B704" s="289"/>
      <c r="C704" s="296"/>
      <c r="D704" s="66" t="s">
        <v>449</v>
      </c>
      <c r="E704" t="s">
        <v>471</v>
      </c>
      <c r="G704" t="s">
        <v>79</v>
      </c>
      <c r="H704" s="65">
        <v>44651</v>
      </c>
      <c r="K704" s="71"/>
      <c r="L704" s="72"/>
      <c r="M704" s="71"/>
      <c r="N704" s="216">
        <v>49890065</v>
      </c>
      <c r="O704" s="71">
        <v>58688356</v>
      </c>
      <c r="P704" s="72">
        <v>69932925</v>
      </c>
    </row>
    <row r="705" spans="1:16">
      <c r="A705" s="295"/>
      <c r="B705" s="289"/>
      <c r="C705" s="296"/>
      <c r="D705" s="66" t="s">
        <v>449</v>
      </c>
      <c r="E705" t="s">
        <v>466</v>
      </c>
      <c r="G705" t="s">
        <v>79</v>
      </c>
      <c r="H705" s="65">
        <v>44651</v>
      </c>
      <c r="K705" s="71"/>
      <c r="L705" s="72"/>
      <c r="M705" s="71"/>
      <c r="N705" s="216">
        <v>0</v>
      </c>
      <c r="O705" s="71">
        <v>0</v>
      </c>
      <c r="P705" s="72">
        <v>0</v>
      </c>
    </row>
    <row r="706" spans="1:16">
      <c r="A706" s="295"/>
      <c r="B706" s="289"/>
      <c r="C706" s="296"/>
      <c r="D706" s="66" t="s">
        <v>449</v>
      </c>
      <c r="E706" t="s">
        <v>467</v>
      </c>
      <c r="G706" t="s">
        <v>79</v>
      </c>
      <c r="H706" s="65">
        <v>44651</v>
      </c>
      <c r="K706" s="71"/>
      <c r="L706" s="72"/>
      <c r="M706" s="71"/>
      <c r="N706" s="216">
        <v>22547</v>
      </c>
      <c r="O706" s="71">
        <v>21615</v>
      </c>
      <c r="P706" s="72">
        <v>21259</v>
      </c>
    </row>
    <row r="707" spans="1:16">
      <c r="A707" s="295"/>
      <c r="B707" s="289"/>
      <c r="C707" s="296"/>
      <c r="D707" s="66" t="s">
        <v>449</v>
      </c>
      <c r="E707" t="s">
        <v>468</v>
      </c>
      <c r="G707" t="s">
        <v>79</v>
      </c>
      <c r="H707" s="65">
        <v>44651</v>
      </c>
      <c r="K707" s="71"/>
      <c r="L707" s="72"/>
      <c r="M707" s="71"/>
      <c r="N707" s="216">
        <v>7059936</v>
      </c>
      <c r="O707" s="71">
        <v>9417857</v>
      </c>
      <c r="P707" s="72">
        <v>15232598</v>
      </c>
    </row>
    <row r="708" spans="1:16">
      <c r="A708" s="295"/>
      <c r="B708" s="289"/>
      <c r="C708" s="296"/>
      <c r="D708" s="66" t="s">
        <v>449</v>
      </c>
      <c r="E708" t="s">
        <v>469</v>
      </c>
      <c r="G708" t="s">
        <v>79</v>
      </c>
      <c r="H708" s="65">
        <v>44651</v>
      </c>
      <c r="K708" s="71"/>
      <c r="L708" s="72"/>
      <c r="M708" s="71"/>
      <c r="N708" s="216">
        <v>42807582</v>
      </c>
      <c r="O708" s="71">
        <v>49248884</v>
      </c>
      <c r="P708" s="72">
        <v>54679068</v>
      </c>
    </row>
    <row r="709" spans="1:16">
      <c r="A709" s="295"/>
      <c r="B709" s="289"/>
      <c r="C709" s="296"/>
      <c r="D709" s="66" t="s">
        <v>449</v>
      </c>
      <c r="E709" t="s">
        <v>470</v>
      </c>
      <c r="G709" t="s">
        <v>79</v>
      </c>
      <c r="H709" s="65">
        <v>44651</v>
      </c>
      <c r="K709" s="71"/>
      <c r="L709" s="72"/>
      <c r="M709" s="71"/>
      <c r="N709" s="216">
        <v>0</v>
      </c>
      <c r="O709" s="71">
        <v>0</v>
      </c>
      <c r="P709" s="72">
        <v>0</v>
      </c>
    </row>
    <row r="710" spans="1:16">
      <c r="A710" s="295"/>
      <c r="B710" s="293"/>
      <c r="C710" s="296"/>
      <c r="D710" s="66" t="s">
        <v>418</v>
      </c>
      <c r="H710" s="65">
        <v>44651</v>
      </c>
      <c r="K710" s="71"/>
      <c r="L710" s="72"/>
      <c r="M710" s="71"/>
      <c r="N710" s="216"/>
      <c r="O710" s="71"/>
      <c r="P710" s="72" t="s">
        <v>461</v>
      </c>
    </row>
    <row r="711" spans="1:16">
      <c r="A711" s="295" t="s">
        <v>191</v>
      </c>
      <c r="B711" s="292" t="s">
        <v>192</v>
      </c>
      <c r="C711" s="296" t="s">
        <v>193</v>
      </c>
      <c r="D711" s="66" t="s">
        <v>411</v>
      </c>
      <c r="G711" t="s">
        <v>428</v>
      </c>
      <c r="H711" s="65">
        <v>44561</v>
      </c>
      <c r="K711" s="71">
        <v>80501000</v>
      </c>
      <c r="L711" s="72">
        <v>80501000</v>
      </c>
      <c r="M711" s="71">
        <v>81099000</v>
      </c>
      <c r="N711" s="216">
        <v>78384000</v>
      </c>
      <c r="O711" s="71">
        <v>62860000</v>
      </c>
      <c r="P711" s="72"/>
    </row>
    <row r="712" spans="1:16">
      <c r="A712" s="295"/>
      <c r="B712" s="289"/>
      <c r="C712" s="296"/>
      <c r="D712" s="66" t="s">
        <v>412</v>
      </c>
      <c r="E712" t="s">
        <v>413</v>
      </c>
      <c r="G712" t="s">
        <v>428</v>
      </c>
      <c r="H712" s="65">
        <v>44561</v>
      </c>
      <c r="K712" s="71">
        <v>12478000</v>
      </c>
      <c r="L712" s="72">
        <v>12478000</v>
      </c>
      <c r="M712" s="71">
        <v>12563000</v>
      </c>
      <c r="N712" s="216">
        <v>11878000</v>
      </c>
      <c r="O712" s="71">
        <v>10846000</v>
      </c>
      <c r="P712" s="72"/>
    </row>
    <row r="713" spans="1:16">
      <c r="A713" s="295"/>
      <c r="B713" s="289"/>
      <c r="C713" s="296"/>
      <c r="D713" s="66" t="s">
        <v>414</v>
      </c>
      <c r="E713" t="s">
        <v>413</v>
      </c>
      <c r="G713" t="s">
        <v>428</v>
      </c>
      <c r="H713" s="65">
        <v>44561</v>
      </c>
      <c r="K713" s="71">
        <v>92979000</v>
      </c>
      <c r="L713" s="72">
        <v>92979000</v>
      </c>
      <c r="M713" s="71">
        <v>93662000</v>
      </c>
      <c r="N713" s="216">
        <v>90262000</v>
      </c>
      <c r="O713" s="71">
        <v>73706000</v>
      </c>
      <c r="P713" s="72"/>
    </row>
    <row r="714" spans="1:16">
      <c r="A714" s="295"/>
      <c r="B714" s="289"/>
      <c r="C714" s="296"/>
      <c r="D714" s="66" t="s">
        <v>415</v>
      </c>
      <c r="E714" t="s">
        <v>416</v>
      </c>
      <c r="G714" t="s">
        <v>428</v>
      </c>
      <c r="H714" s="65">
        <v>44561</v>
      </c>
      <c r="K714" s="71">
        <v>20957000</v>
      </c>
      <c r="L714" s="72">
        <v>20957000</v>
      </c>
      <c r="M714" s="71">
        <v>21191000</v>
      </c>
      <c r="N714" s="216">
        <v>20937000</v>
      </c>
      <c r="O714" s="71">
        <v>18078000</v>
      </c>
      <c r="P714" s="72"/>
    </row>
    <row r="715" spans="1:16">
      <c r="A715" s="295"/>
      <c r="B715" s="289"/>
      <c r="C715" s="296"/>
      <c r="D715" s="66" t="s">
        <v>417</v>
      </c>
      <c r="G715" t="s">
        <v>96</v>
      </c>
      <c r="H715" s="65">
        <v>44561</v>
      </c>
      <c r="K715" s="71">
        <v>49580000</v>
      </c>
      <c r="L715" s="72">
        <v>49580000</v>
      </c>
      <c r="M715" s="71">
        <v>48500000</v>
      </c>
      <c r="N715" s="216">
        <v>45890000</v>
      </c>
      <c r="O715" s="71">
        <v>36630000</v>
      </c>
      <c r="P715" s="72"/>
    </row>
    <row r="716" spans="1:16">
      <c r="A716" s="295"/>
      <c r="B716" s="293"/>
      <c r="C716" s="296"/>
      <c r="D716" s="66" t="s">
        <v>418</v>
      </c>
      <c r="H716" s="65"/>
      <c r="K716" s="71"/>
      <c r="L716" s="72"/>
      <c r="M716" s="71"/>
      <c r="N716" s="216"/>
      <c r="O716" s="71"/>
      <c r="P716" s="72"/>
    </row>
    <row r="717" spans="1:16">
      <c r="A717" s="295" t="s">
        <v>191</v>
      </c>
      <c r="B717" s="292" t="s">
        <v>192</v>
      </c>
      <c r="C717" s="296" t="s">
        <v>193</v>
      </c>
      <c r="D717" s="66" t="s">
        <v>411</v>
      </c>
      <c r="G717" t="s">
        <v>427</v>
      </c>
      <c r="H717" s="65">
        <v>44651</v>
      </c>
      <c r="K717" s="71"/>
      <c r="L717" s="72">
        <f>80728</f>
        <v>80728</v>
      </c>
      <c r="M717" s="71">
        <f>81337</f>
        <v>81337</v>
      </c>
      <c r="N717" s="216">
        <f>78584</f>
        <v>78584</v>
      </c>
      <c r="O717" s="71">
        <f>62987</f>
        <v>62987</v>
      </c>
      <c r="P717" s="72">
        <f>71292</f>
        <v>71292</v>
      </c>
    </row>
    <row r="718" spans="1:16">
      <c r="A718" s="295"/>
      <c r="B718" s="289"/>
      <c r="C718" s="296"/>
      <c r="D718" s="66" t="s">
        <v>412</v>
      </c>
      <c r="G718" t="s">
        <v>427</v>
      </c>
      <c r="H718" s="65">
        <v>44651</v>
      </c>
      <c r="K718" s="71"/>
      <c r="L718" s="72">
        <f>12968</f>
        <v>12968</v>
      </c>
      <c r="M718" s="71">
        <f>12850</f>
        <v>12850</v>
      </c>
      <c r="N718" s="216">
        <f>12091</f>
        <v>12091</v>
      </c>
      <c r="O718" s="71">
        <f>11035</f>
        <v>11035</v>
      </c>
      <c r="P718" s="72">
        <f>12478</f>
        <v>12478</v>
      </c>
    </row>
    <row r="719" spans="1:16">
      <c r="A719" s="295"/>
      <c r="B719" s="289"/>
      <c r="C719" s="296"/>
      <c r="D719" s="66" t="s">
        <v>414</v>
      </c>
      <c r="G719" t="s">
        <v>427</v>
      </c>
      <c r="H719" s="65">
        <v>44651</v>
      </c>
      <c r="K719" s="71"/>
      <c r="L719" s="72">
        <f>L717+L718</f>
        <v>93696</v>
      </c>
      <c r="M719" s="71">
        <f>M717+M718</f>
        <v>94187</v>
      </c>
      <c r="N719" s="216">
        <f>N717+N718</f>
        <v>90675</v>
      </c>
      <c r="O719" s="71">
        <f>O717+O718</f>
        <v>74022</v>
      </c>
      <c r="P719" s="72">
        <f>P717+P718</f>
        <v>83770</v>
      </c>
    </row>
    <row r="720" spans="1:16">
      <c r="A720" s="295"/>
      <c r="B720" s="289"/>
      <c r="C720" s="296"/>
      <c r="D720" s="66" t="s">
        <v>415</v>
      </c>
      <c r="E720" t="s">
        <v>497</v>
      </c>
      <c r="G720" t="s">
        <v>427</v>
      </c>
      <c r="H720" s="65">
        <v>44651</v>
      </c>
      <c r="K720" s="71"/>
      <c r="L720" s="72"/>
      <c r="M720" s="71"/>
      <c r="N720" s="216">
        <v>17063</v>
      </c>
      <c r="O720" s="71">
        <v>14379</v>
      </c>
      <c r="P720" s="72">
        <v>15994</v>
      </c>
    </row>
    <row r="721" spans="1:16">
      <c r="A721" s="295"/>
      <c r="B721" s="289"/>
      <c r="C721" s="296"/>
      <c r="D721" s="66" t="s">
        <v>415</v>
      </c>
      <c r="E721" t="s">
        <v>498</v>
      </c>
      <c r="G721" t="s">
        <v>427</v>
      </c>
      <c r="H721" s="65">
        <v>44651</v>
      </c>
      <c r="K721" s="71"/>
      <c r="L721" s="72"/>
      <c r="M721" s="71"/>
      <c r="N721" s="216">
        <v>1656</v>
      </c>
      <c r="O721" s="71">
        <v>1632</v>
      </c>
      <c r="P721" s="72">
        <v>1400</v>
      </c>
    </row>
    <row r="722" spans="1:16">
      <c r="A722" s="295"/>
      <c r="B722" s="289"/>
      <c r="C722" s="296"/>
      <c r="D722" s="66" t="s">
        <v>415</v>
      </c>
      <c r="E722" t="s">
        <v>1212</v>
      </c>
      <c r="G722" t="s">
        <v>427</v>
      </c>
      <c r="H722" s="65">
        <v>44651</v>
      </c>
      <c r="K722" s="71"/>
      <c r="L722" s="72"/>
      <c r="M722" s="71"/>
      <c r="N722" s="216">
        <v>305</v>
      </c>
      <c r="O722" s="71">
        <v>291</v>
      </c>
      <c r="P722" s="72">
        <v>338</v>
      </c>
    </row>
    <row r="723" spans="1:16">
      <c r="A723" s="295"/>
      <c r="B723" s="289"/>
      <c r="C723" s="296"/>
      <c r="D723" s="66" t="s">
        <v>415</v>
      </c>
      <c r="E723" t="s">
        <v>499</v>
      </c>
      <c r="G723" t="s">
        <v>427</v>
      </c>
      <c r="H723" s="65">
        <v>44651</v>
      </c>
      <c r="K723" s="71"/>
      <c r="L723" s="72"/>
      <c r="M723" s="71"/>
      <c r="N723" s="216">
        <v>683</v>
      </c>
      <c r="O723" s="71">
        <v>629</v>
      </c>
      <c r="P723" s="72">
        <v>710</v>
      </c>
    </row>
    <row r="724" spans="1:16">
      <c r="A724" s="295"/>
      <c r="B724" s="289"/>
      <c r="C724" s="296"/>
      <c r="D724" s="66" t="s">
        <v>415</v>
      </c>
      <c r="E724" t="s">
        <v>500</v>
      </c>
      <c r="G724" t="s">
        <v>427</v>
      </c>
      <c r="H724" s="65">
        <v>44651</v>
      </c>
      <c r="K724" s="71"/>
      <c r="L724" s="72"/>
      <c r="M724" s="71"/>
      <c r="N724" s="216">
        <v>5</v>
      </c>
      <c r="O724" s="71">
        <v>4</v>
      </c>
      <c r="P724" s="72">
        <v>5</v>
      </c>
    </row>
    <row r="725" spans="1:16">
      <c r="A725" s="295"/>
      <c r="B725" s="289"/>
      <c r="C725" s="296"/>
      <c r="D725" s="66" t="s">
        <v>415</v>
      </c>
      <c r="E725" t="s">
        <v>459</v>
      </c>
      <c r="G725" t="s">
        <v>427</v>
      </c>
      <c r="H725" s="65">
        <v>44651</v>
      </c>
      <c r="K725" s="71"/>
      <c r="L725" s="72"/>
      <c r="M725" s="71"/>
      <c r="N725" s="216">
        <v>4</v>
      </c>
      <c r="O725" s="71">
        <v>4</v>
      </c>
      <c r="P725" s="72">
        <v>4</v>
      </c>
    </row>
    <row r="726" spans="1:16">
      <c r="A726" s="295"/>
      <c r="B726" s="289"/>
      <c r="C726" s="296"/>
      <c r="D726" s="66" t="s">
        <v>415</v>
      </c>
      <c r="E726" t="s">
        <v>458</v>
      </c>
      <c r="G726" t="s">
        <v>427</v>
      </c>
      <c r="H726" s="65">
        <v>44651</v>
      </c>
      <c r="K726" s="71"/>
      <c r="L726" s="72"/>
      <c r="M726" s="71"/>
      <c r="N726" s="216">
        <v>13</v>
      </c>
      <c r="O726" s="71">
        <v>14</v>
      </c>
      <c r="P726" s="72">
        <v>14</v>
      </c>
    </row>
    <row r="727" spans="1:16">
      <c r="A727" s="295"/>
      <c r="B727" s="289"/>
      <c r="C727" s="296"/>
      <c r="D727" s="66" t="s">
        <v>415</v>
      </c>
      <c r="E727" t="s">
        <v>501</v>
      </c>
      <c r="G727" t="s">
        <v>427</v>
      </c>
      <c r="H727" s="65">
        <v>44651</v>
      </c>
      <c r="K727" s="71"/>
      <c r="L727" s="72"/>
      <c r="M727" s="71"/>
      <c r="N727" s="216">
        <v>1208</v>
      </c>
      <c r="O727" s="71">
        <v>1125</v>
      </c>
      <c r="P727" s="72">
        <v>1053</v>
      </c>
    </row>
    <row r="728" spans="1:16">
      <c r="A728" s="295"/>
      <c r="B728" s="289"/>
      <c r="C728" s="296"/>
      <c r="D728" s="66" t="s">
        <v>417</v>
      </c>
      <c r="G728" t="s">
        <v>502</v>
      </c>
      <c r="H728" s="65">
        <v>44651</v>
      </c>
      <c r="K728" s="71"/>
      <c r="L728" s="72">
        <v>4968</v>
      </c>
      <c r="M728" s="71">
        <v>4990</v>
      </c>
      <c r="N728" s="216">
        <v>4709</v>
      </c>
      <c r="O728" s="71">
        <v>3766</v>
      </c>
      <c r="P728" s="72">
        <v>4445</v>
      </c>
    </row>
    <row r="729" spans="1:16">
      <c r="A729" s="295"/>
      <c r="B729" s="293"/>
      <c r="C729" s="296"/>
      <c r="D729" s="66" t="s">
        <v>418</v>
      </c>
      <c r="H729" s="65"/>
      <c r="K729" s="71"/>
      <c r="L729" s="72"/>
      <c r="M729" s="71"/>
      <c r="N729" s="216"/>
      <c r="O729" s="71"/>
      <c r="P729" s="72" t="s">
        <v>503</v>
      </c>
    </row>
    <row r="730" spans="1:16">
      <c r="A730" s="295" t="s">
        <v>196</v>
      </c>
      <c r="B730" s="292" t="s">
        <v>197</v>
      </c>
      <c r="C730" s="296" t="s">
        <v>198</v>
      </c>
      <c r="D730" s="66" t="s">
        <v>411</v>
      </c>
      <c r="G730" t="s">
        <v>429</v>
      </c>
      <c r="H730" s="65">
        <v>44561</v>
      </c>
      <c r="K730" s="71">
        <v>9.9601014764331595</v>
      </c>
      <c r="L730" s="72">
        <v>9.6960935392110308</v>
      </c>
      <c r="M730" s="71">
        <v>10.8006060749735</v>
      </c>
      <c r="N730" s="216">
        <v>8.57140918766944</v>
      </c>
      <c r="O730" s="71">
        <v>5.9569034121262199</v>
      </c>
      <c r="P730" s="72"/>
    </row>
    <row r="731" spans="1:16">
      <c r="A731" s="295"/>
      <c r="B731" s="289"/>
      <c r="C731" s="296"/>
      <c r="D731" s="66" t="s">
        <v>412</v>
      </c>
      <c r="E731" t="s">
        <v>413</v>
      </c>
      <c r="G731" t="s">
        <v>429</v>
      </c>
      <c r="H731" s="65">
        <v>44561</v>
      </c>
      <c r="K731" s="71">
        <v>0</v>
      </c>
      <c r="L731" s="72">
        <v>0</v>
      </c>
      <c r="M731" s="71">
        <v>0</v>
      </c>
      <c r="N731" s="216">
        <v>0</v>
      </c>
      <c r="O731" s="71">
        <v>0</v>
      </c>
      <c r="P731" s="72"/>
    </row>
    <row r="732" spans="1:16">
      <c r="A732" s="295"/>
      <c r="B732" s="289"/>
      <c r="C732" s="296"/>
      <c r="D732" s="66" t="s">
        <v>414</v>
      </c>
      <c r="E732" t="s">
        <v>413</v>
      </c>
      <c r="G732" t="s">
        <v>429</v>
      </c>
      <c r="H732" s="65">
        <v>44561</v>
      </c>
      <c r="K732" s="71">
        <v>9.9601014764331595</v>
      </c>
      <c r="L732" s="72">
        <v>9.6960935392110308</v>
      </c>
      <c r="M732" s="71">
        <v>10.8006060749735</v>
      </c>
      <c r="N732" s="216">
        <v>8.57140918766944</v>
      </c>
      <c r="O732" s="71">
        <v>5.9569034121262199</v>
      </c>
      <c r="P732" s="72"/>
    </row>
    <row r="733" spans="1:16">
      <c r="A733" s="295"/>
      <c r="B733" s="289"/>
      <c r="C733" s="296"/>
      <c r="D733" s="66" t="s">
        <v>415</v>
      </c>
      <c r="E733" t="s">
        <v>416</v>
      </c>
      <c r="G733" t="s">
        <v>429</v>
      </c>
      <c r="H733" s="65">
        <v>44561</v>
      </c>
      <c r="K733" s="71"/>
      <c r="L733" s="72"/>
      <c r="M733" s="71"/>
      <c r="N733" s="216"/>
      <c r="O733" s="71"/>
      <c r="P733" s="72"/>
    </row>
    <row r="734" spans="1:16">
      <c r="A734" s="295"/>
      <c r="B734" s="289"/>
      <c r="C734" s="296"/>
      <c r="D734" s="66" t="s">
        <v>417</v>
      </c>
      <c r="G734" t="s">
        <v>62</v>
      </c>
      <c r="H734" s="65">
        <v>44561</v>
      </c>
      <c r="K734" s="71">
        <v>11.781155</v>
      </c>
      <c r="L734" s="72">
        <v>11.451045000000001</v>
      </c>
      <c r="M734" s="71">
        <v>11.979272999999999</v>
      </c>
      <c r="N734" s="216">
        <v>10.329416</v>
      </c>
      <c r="O734" s="71">
        <v>7.6103259999999997</v>
      </c>
      <c r="P734" s="72"/>
    </row>
    <row r="735" spans="1:16">
      <c r="A735" s="295"/>
      <c r="B735" s="293"/>
      <c r="C735" s="296"/>
      <c r="D735" s="66" t="s">
        <v>418</v>
      </c>
      <c r="H735" s="65"/>
      <c r="K735" s="71"/>
      <c r="L735" s="72"/>
      <c r="M735" s="71"/>
      <c r="N735" s="216"/>
      <c r="O735" s="71"/>
      <c r="P735" s="72"/>
    </row>
    <row r="736" spans="1:16">
      <c r="A736" s="295" t="s">
        <v>199</v>
      </c>
      <c r="B736" s="292" t="s">
        <v>200</v>
      </c>
      <c r="C736" s="296" t="s">
        <v>201</v>
      </c>
      <c r="D736" s="66" t="s">
        <v>411</v>
      </c>
      <c r="E736" t="s">
        <v>539</v>
      </c>
      <c r="G736" t="s">
        <v>428</v>
      </c>
      <c r="H736" s="65">
        <v>44561</v>
      </c>
      <c r="K736" s="71"/>
      <c r="L736" s="72">
        <v>2609793</v>
      </c>
      <c r="M736" s="71">
        <v>2703374</v>
      </c>
      <c r="N736" s="216">
        <v>2664493</v>
      </c>
      <c r="O736" s="71">
        <v>2160366</v>
      </c>
      <c r="P736" s="72">
        <v>2671193</v>
      </c>
    </row>
    <row r="737" spans="1:16">
      <c r="A737" s="295"/>
      <c r="B737" s="289"/>
      <c r="C737" s="296"/>
      <c r="D737" s="66" t="s">
        <v>411</v>
      </c>
      <c r="E737" t="s">
        <v>540</v>
      </c>
      <c r="G737" t="s">
        <v>428</v>
      </c>
      <c r="H737" s="65">
        <v>44561</v>
      </c>
      <c r="I737" s="90" t="s">
        <v>970</v>
      </c>
      <c r="K737" s="71"/>
      <c r="L737" s="72"/>
      <c r="M737" s="71">
        <v>144729</v>
      </c>
      <c r="N737" s="216">
        <v>191187</v>
      </c>
      <c r="O737" s="71">
        <v>340743</v>
      </c>
      <c r="P737" s="72">
        <v>208998</v>
      </c>
    </row>
    <row r="738" spans="1:16">
      <c r="A738" s="295"/>
      <c r="B738" s="289"/>
      <c r="C738" s="296"/>
      <c r="D738" s="66" t="s">
        <v>412</v>
      </c>
      <c r="E738" t="s">
        <v>413</v>
      </c>
      <c r="G738" t="s">
        <v>428</v>
      </c>
      <c r="H738" s="65">
        <v>44561</v>
      </c>
      <c r="K738" s="71"/>
      <c r="L738" s="72">
        <v>11755</v>
      </c>
      <c r="M738" s="71">
        <v>14996</v>
      </c>
      <c r="N738" s="216">
        <v>14439</v>
      </c>
      <c r="O738" s="71">
        <v>14493</v>
      </c>
      <c r="P738" s="72">
        <v>14349</v>
      </c>
    </row>
    <row r="739" spans="1:16">
      <c r="A739" s="295"/>
      <c r="B739" s="289"/>
      <c r="C739" s="296"/>
      <c r="D739" s="66" t="s">
        <v>587</v>
      </c>
      <c r="E739" t="s">
        <v>540</v>
      </c>
      <c r="G739" t="s">
        <v>1112</v>
      </c>
      <c r="H739" s="65">
        <v>44561</v>
      </c>
      <c r="I739" s="90" t="s">
        <v>970</v>
      </c>
      <c r="K739" s="71"/>
      <c r="L739" s="72">
        <v>31064000</v>
      </c>
      <c r="M739" s="71">
        <v>32965000</v>
      </c>
      <c r="N739" s="216">
        <v>35519000</v>
      </c>
      <c r="O739" s="71">
        <v>31674000</v>
      </c>
      <c r="P739" s="72">
        <v>31466000</v>
      </c>
    </row>
    <row r="740" spans="1:16">
      <c r="A740" s="295"/>
      <c r="B740" s="289"/>
      <c r="C740" s="296"/>
      <c r="D740" s="66" t="s">
        <v>417</v>
      </c>
      <c r="E740" t="s">
        <v>539</v>
      </c>
      <c r="G740" t="s">
        <v>79</v>
      </c>
      <c r="H740" s="65">
        <v>44561</v>
      </c>
      <c r="K740" s="71"/>
      <c r="L740" s="72">
        <v>5362735</v>
      </c>
      <c r="M740" s="71">
        <v>5681283</v>
      </c>
      <c r="N740" s="216">
        <v>5749235</v>
      </c>
      <c r="O740" s="71">
        <v>4898521</v>
      </c>
      <c r="P740" s="72">
        <v>5021728</v>
      </c>
    </row>
    <row r="741" spans="1:16">
      <c r="A741" s="295"/>
      <c r="B741" s="289"/>
      <c r="C741" s="296"/>
      <c r="D741" s="66" t="s">
        <v>1114</v>
      </c>
      <c r="H741" s="65"/>
      <c r="K741" s="71"/>
      <c r="L741" s="72"/>
      <c r="M741" s="71"/>
      <c r="N741" s="216"/>
      <c r="O741" s="71"/>
      <c r="P741" s="72">
        <v>39</v>
      </c>
    </row>
    <row r="742" spans="1:16">
      <c r="A742" s="295"/>
      <c r="B742" s="293"/>
      <c r="C742" s="296"/>
      <c r="D742" s="66" t="s">
        <v>418</v>
      </c>
      <c r="H742" s="65"/>
      <c r="K742" s="71"/>
      <c r="L742" s="72"/>
      <c r="M742" s="71"/>
      <c r="N742" s="216"/>
      <c r="O742" s="71"/>
      <c r="P742" s="74" t="s">
        <v>1113</v>
      </c>
    </row>
    <row r="743" spans="1:16">
      <c r="A743" s="295" t="s">
        <v>202</v>
      </c>
      <c r="B743" s="292" t="s">
        <v>203</v>
      </c>
      <c r="C743" s="296" t="s">
        <v>204</v>
      </c>
      <c r="D743" s="66" t="s">
        <v>411</v>
      </c>
      <c r="G743" t="s">
        <v>428</v>
      </c>
      <c r="H743" s="65">
        <v>44561</v>
      </c>
      <c r="K743" s="71">
        <v>4800000</v>
      </c>
      <c r="L743" s="72">
        <v>4800000</v>
      </c>
      <c r="M743" s="71">
        <v>4800000</v>
      </c>
      <c r="N743" s="216">
        <v>4400000</v>
      </c>
      <c r="O743" s="71">
        <v>4700000</v>
      </c>
      <c r="P743" s="72"/>
    </row>
    <row r="744" spans="1:16">
      <c r="A744" s="295"/>
      <c r="B744" s="289"/>
      <c r="C744" s="296"/>
      <c r="D744" s="66" t="s">
        <v>412</v>
      </c>
      <c r="E744" t="s">
        <v>413</v>
      </c>
      <c r="G744" t="s">
        <v>428</v>
      </c>
      <c r="H744" s="65">
        <v>44561</v>
      </c>
      <c r="K744" s="71">
        <v>5785714.2857142901</v>
      </c>
      <c r="L744" s="72">
        <v>5785714.2857142901</v>
      </c>
      <c r="M744" s="71">
        <v>5785714.2857142901</v>
      </c>
      <c r="N744" s="216">
        <v>5400000</v>
      </c>
      <c r="O744" s="71">
        <v>5400000</v>
      </c>
      <c r="P744" s="72"/>
    </row>
    <row r="745" spans="1:16">
      <c r="A745" s="295"/>
      <c r="B745" s="289"/>
      <c r="C745" s="296"/>
      <c r="D745" s="66" t="s">
        <v>414</v>
      </c>
      <c r="E745" t="s">
        <v>413</v>
      </c>
      <c r="G745" t="s">
        <v>428</v>
      </c>
      <c r="H745" s="65">
        <v>44561</v>
      </c>
      <c r="K745" s="71">
        <v>10585714.285714289</v>
      </c>
      <c r="L745" s="72">
        <v>10585714.285714289</v>
      </c>
      <c r="M745" s="71">
        <v>10585714.285714289</v>
      </c>
      <c r="N745" s="216">
        <v>9800000</v>
      </c>
      <c r="O745" s="71">
        <v>10100000</v>
      </c>
      <c r="P745" s="72"/>
    </row>
    <row r="746" spans="1:16">
      <c r="A746" s="295"/>
      <c r="B746" s="289"/>
      <c r="C746" s="296"/>
      <c r="D746" s="66" t="s">
        <v>415</v>
      </c>
      <c r="E746" t="s">
        <v>416</v>
      </c>
      <c r="G746" t="s">
        <v>428</v>
      </c>
      <c r="H746" s="65">
        <v>44561</v>
      </c>
      <c r="K746" s="71">
        <v>7557446.8085106397</v>
      </c>
      <c r="L746" s="72">
        <v>7557446.8085106397</v>
      </c>
      <c r="M746" s="71">
        <v>7557446.8085106397</v>
      </c>
      <c r="N746" s="216">
        <v>6927659.5744680902</v>
      </c>
      <c r="O746" s="71">
        <v>7400000</v>
      </c>
      <c r="P746" s="72"/>
    </row>
    <row r="747" spans="1:16">
      <c r="A747" s="295"/>
      <c r="B747" s="289"/>
      <c r="C747" s="296"/>
      <c r="D747" s="66" t="s">
        <v>417</v>
      </c>
      <c r="G747" t="s">
        <v>96</v>
      </c>
      <c r="H747" s="65">
        <v>44561</v>
      </c>
      <c r="K747" s="71">
        <v>22500000</v>
      </c>
      <c r="L747" s="72">
        <v>22500000</v>
      </c>
      <c r="M747" s="71">
        <v>22500000</v>
      </c>
      <c r="N747" s="216">
        <v>20700000</v>
      </c>
      <c r="O747" s="71">
        <v>20300000</v>
      </c>
      <c r="P747" s="72"/>
    </row>
    <row r="748" spans="1:16">
      <c r="A748" s="295"/>
      <c r="B748" s="293"/>
      <c r="C748" s="296"/>
      <c r="D748" s="66" t="s">
        <v>418</v>
      </c>
      <c r="H748" s="65"/>
      <c r="K748" s="71"/>
      <c r="L748" s="72"/>
      <c r="M748" s="71"/>
      <c r="N748" s="216"/>
      <c r="O748" s="71"/>
      <c r="P748" s="72"/>
    </row>
    <row r="749" spans="1:16">
      <c r="A749" s="295" t="s">
        <v>202</v>
      </c>
      <c r="B749" s="292" t="s">
        <v>203</v>
      </c>
      <c r="C749" s="296" t="s">
        <v>204</v>
      </c>
      <c r="D749" s="66" t="s">
        <v>411</v>
      </c>
      <c r="G749" t="s">
        <v>428</v>
      </c>
      <c r="H749" s="65">
        <v>44561</v>
      </c>
      <c r="K749" s="71"/>
      <c r="L749" s="72"/>
      <c r="M749" s="71"/>
      <c r="N749" s="216"/>
      <c r="O749" s="71"/>
      <c r="P749" s="72">
        <v>7100000</v>
      </c>
    </row>
    <row r="750" spans="1:16">
      <c r="A750" s="295"/>
      <c r="B750" s="289"/>
      <c r="C750" s="296"/>
      <c r="D750" s="66" t="s">
        <v>412</v>
      </c>
      <c r="E750" t="s">
        <v>413</v>
      </c>
      <c r="G750" t="s">
        <v>428</v>
      </c>
      <c r="H750" s="65">
        <v>44561</v>
      </c>
      <c r="K750" s="71"/>
      <c r="L750" s="72"/>
      <c r="M750" s="71"/>
      <c r="N750" s="216"/>
      <c r="O750" s="71"/>
      <c r="P750" s="72">
        <v>5700000</v>
      </c>
    </row>
    <row r="751" spans="1:16">
      <c r="A751" s="295"/>
      <c r="B751" s="289"/>
      <c r="C751" s="296"/>
      <c r="D751" s="66" t="s">
        <v>414</v>
      </c>
      <c r="E751" t="s">
        <v>413</v>
      </c>
      <c r="G751" t="s">
        <v>428</v>
      </c>
      <c r="H751" s="65">
        <v>44561</v>
      </c>
      <c r="K751" s="71"/>
      <c r="L751" s="72"/>
      <c r="M751" s="71"/>
      <c r="N751" s="216"/>
      <c r="O751" s="71"/>
      <c r="P751" s="72">
        <f>P749+P750</f>
        <v>12800000</v>
      </c>
    </row>
    <row r="752" spans="1:16">
      <c r="A752" s="295"/>
      <c r="B752" s="289"/>
      <c r="C752" s="296"/>
      <c r="D752" s="66" t="s">
        <v>415</v>
      </c>
      <c r="E752" t="s">
        <v>416</v>
      </c>
      <c r="G752" t="s">
        <v>428</v>
      </c>
      <c r="H752" s="65">
        <v>44561</v>
      </c>
      <c r="K752" s="71"/>
      <c r="L752" s="72"/>
      <c r="M752" s="71"/>
      <c r="N752" s="216"/>
      <c r="O752" s="71"/>
      <c r="P752" s="72">
        <v>7300000</v>
      </c>
    </row>
    <row r="753" spans="1:16">
      <c r="A753" s="295"/>
      <c r="B753" s="289"/>
      <c r="C753" s="296"/>
      <c r="D753" s="66" t="s">
        <v>417</v>
      </c>
      <c r="G753" t="s">
        <v>96</v>
      </c>
      <c r="H753" s="65">
        <v>44561</v>
      </c>
      <c r="K753" s="71"/>
      <c r="L753" s="72"/>
      <c r="M753" s="71"/>
      <c r="N753" s="216"/>
      <c r="O753" s="71"/>
      <c r="P753" s="72">
        <f>P751/0.43</f>
        <v>29767441.860465117</v>
      </c>
    </row>
    <row r="754" spans="1:16">
      <c r="A754" s="295"/>
      <c r="B754" s="293"/>
      <c r="C754" s="296"/>
      <c r="D754" s="66" t="s">
        <v>418</v>
      </c>
      <c r="H754" s="65"/>
      <c r="K754" s="71"/>
      <c r="L754" s="72"/>
      <c r="M754" s="71"/>
      <c r="N754" s="216"/>
      <c r="O754" s="71"/>
      <c r="P754" s="72" t="s">
        <v>460</v>
      </c>
    </row>
    <row r="755" spans="1:16">
      <c r="A755" s="295" t="s">
        <v>564</v>
      </c>
      <c r="B755" s="292" t="s">
        <v>529</v>
      </c>
      <c r="C755" s="296" t="s">
        <v>528</v>
      </c>
      <c r="D755" s="66" t="s">
        <v>411</v>
      </c>
      <c r="G755" t="s">
        <v>429</v>
      </c>
      <c r="H755" s="65">
        <v>44623</v>
      </c>
      <c r="K755" s="71"/>
      <c r="L755" s="72"/>
      <c r="M755" s="71"/>
      <c r="N755" s="216">
        <f>N759+N769</f>
        <v>22.34</v>
      </c>
      <c r="O755" s="71">
        <f>O759+O769</f>
        <v>19.810000000000002</v>
      </c>
      <c r="P755" s="72"/>
    </row>
    <row r="756" spans="1:16">
      <c r="A756" s="295"/>
      <c r="B756" s="289"/>
      <c r="C756" s="296"/>
      <c r="D756" s="66" t="s">
        <v>412</v>
      </c>
      <c r="E756" t="s">
        <v>413</v>
      </c>
      <c r="G756" t="s">
        <v>429</v>
      </c>
      <c r="H756" s="65">
        <v>44623</v>
      </c>
      <c r="K756" s="71"/>
      <c r="L756" s="72"/>
      <c r="M756" s="71"/>
      <c r="N756" s="216">
        <f t="shared" ref="N756:O756" si="14">N760+N770</f>
        <v>5.31</v>
      </c>
      <c r="O756" s="71">
        <f t="shared" si="14"/>
        <v>4.6499999999999995</v>
      </c>
      <c r="P756" s="72"/>
    </row>
    <row r="757" spans="1:16">
      <c r="A757" s="295"/>
      <c r="B757" s="289"/>
      <c r="C757" s="296"/>
      <c r="D757" s="66" t="s">
        <v>414</v>
      </c>
      <c r="E757" t="s">
        <v>413</v>
      </c>
      <c r="G757" t="s">
        <v>429</v>
      </c>
      <c r="H757" s="65">
        <v>44623</v>
      </c>
      <c r="K757" s="71"/>
      <c r="L757" s="72"/>
      <c r="M757" s="71"/>
      <c r="N757" s="216">
        <f t="shared" ref="N757:O757" si="15">N761+N771</f>
        <v>27.65</v>
      </c>
      <c r="O757" s="71">
        <f t="shared" si="15"/>
        <v>24.46</v>
      </c>
      <c r="P757" s="72"/>
    </row>
    <row r="758" spans="1:16">
      <c r="A758" s="295"/>
      <c r="B758" s="293"/>
      <c r="C758" s="296"/>
      <c r="D758" s="66" t="s">
        <v>418</v>
      </c>
      <c r="H758" s="65"/>
      <c r="K758" s="71"/>
      <c r="L758" s="72"/>
      <c r="M758" s="71"/>
      <c r="N758" s="216"/>
      <c r="O758" s="71"/>
      <c r="P758" s="74" t="s">
        <v>563</v>
      </c>
    </row>
    <row r="759" spans="1:16">
      <c r="A759" s="295" t="s">
        <v>565</v>
      </c>
      <c r="B759" s="292" t="s">
        <v>529</v>
      </c>
      <c r="C759" s="296" t="s">
        <v>609</v>
      </c>
      <c r="D759" s="66" t="s">
        <v>411</v>
      </c>
      <c r="G759" t="s">
        <v>429</v>
      </c>
      <c r="H759" s="65">
        <v>44623</v>
      </c>
      <c r="K759" s="71"/>
      <c r="L759" s="72"/>
      <c r="M759" s="71"/>
      <c r="N759" s="216">
        <v>16.13</v>
      </c>
      <c r="O759" s="71">
        <v>13.71</v>
      </c>
      <c r="P759" s="72"/>
    </row>
    <row r="760" spans="1:16">
      <c r="A760" s="295"/>
      <c r="B760" s="289"/>
      <c r="C760" s="296"/>
      <c r="D760" s="66" t="s">
        <v>412</v>
      </c>
      <c r="G760" t="s">
        <v>429</v>
      </c>
      <c r="H760" s="65">
        <v>44623</v>
      </c>
      <c r="K760" s="71"/>
      <c r="L760" s="72"/>
      <c r="M760" s="71"/>
      <c r="N760" s="216">
        <v>3.42</v>
      </c>
      <c r="O760" s="71">
        <v>3.01</v>
      </c>
      <c r="P760" s="72"/>
    </row>
    <row r="761" spans="1:16">
      <c r="A761" s="295"/>
      <c r="B761" s="289"/>
      <c r="C761" s="296"/>
      <c r="D761" s="66" t="s">
        <v>414</v>
      </c>
      <c r="G761" t="s">
        <v>429</v>
      </c>
      <c r="H761" s="65">
        <v>44623</v>
      </c>
      <c r="K761" s="71"/>
      <c r="L761" s="72"/>
      <c r="M761" s="71"/>
      <c r="N761" s="216">
        <v>19.55</v>
      </c>
      <c r="O761" s="71">
        <v>16.72</v>
      </c>
      <c r="P761" s="72"/>
    </row>
    <row r="762" spans="1:16">
      <c r="A762" s="295"/>
      <c r="B762" s="289"/>
      <c r="C762" s="296"/>
      <c r="D762" s="66" t="s">
        <v>577</v>
      </c>
      <c r="G762" t="s">
        <v>567</v>
      </c>
      <c r="H762" s="65">
        <v>44623</v>
      </c>
      <c r="K762" s="71"/>
      <c r="L762" s="72"/>
      <c r="M762" s="71"/>
      <c r="N762" s="216">
        <v>2.7900000000000001E-2</v>
      </c>
      <c r="O762" s="71">
        <v>2.7E-2</v>
      </c>
      <c r="P762" s="72"/>
    </row>
    <row r="763" spans="1:16">
      <c r="A763" s="295"/>
      <c r="B763" s="289"/>
      <c r="C763" s="296"/>
      <c r="D763" s="66" t="s">
        <v>602</v>
      </c>
      <c r="G763" t="s">
        <v>567</v>
      </c>
      <c r="H763" s="65">
        <v>44623</v>
      </c>
      <c r="K763" s="71"/>
      <c r="L763" s="72"/>
      <c r="M763" s="71"/>
      <c r="N763" s="216">
        <v>5.8999999999999999E-3</v>
      </c>
      <c r="O763" s="71">
        <v>5.8999999999999999E-3</v>
      </c>
      <c r="P763" s="72"/>
    </row>
    <row r="764" spans="1:16">
      <c r="A764" s="295"/>
      <c r="B764" s="289"/>
      <c r="C764" s="296"/>
      <c r="D764" s="66" t="s">
        <v>600</v>
      </c>
      <c r="G764" t="s">
        <v>567</v>
      </c>
      <c r="H764" s="65">
        <v>44623</v>
      </c>
      <c r="K764" s="71"/>
      <c r="L764" s="72"/>
      <c r="M764" s="71"/>
      <c r="N764" s="216">
        <v>3.3799999999999997E-2</v>
      </c>
      <c r="O764" s="71">
        <v>3.2899999999999999E-2</v>
      </c>
      <c r="P764" s="72"/>
    </row>
    <row r="765" spans="1:16">
      <c r="A765" s="295"/>
      <c r="B765" s="289"/>
      <c r="C765" s="296"/>
      <c r="D765" s="66" t="s">
        <v>415</v>
      </c>
      <c r="E765">
        <v>9</v>
      </c>
      <c r="G765" t="s">
        <v>429</v>
      </c>
      <c r="H765" s="65">
        <v>44623</v>
      </c>
      <c r="K765" s="71"/>
      <c r="L765" s="72"/>
      <c r="M765" s="71"/>
      <c r="N765" s="216">
        <v>260</v>
      </c>
      <c r="O765" s="71">
        <v>226</v>
      </c>
      <c r="P765" s="72"/>
    </row>
    <row r="766" spans="1:16">
      <c r="A766" s="295"/>
      <c r="B766" s="289"/>
      <c r="C766" s="296"/>
      <c r="D766" s="66" t="s">
        <v>415</v>
      </c>
      <c r="E766">
        <v>10</v>
      </c>
      <c r="G766" t="s">
        <v>429</v>
      </c>
      <c r="H766" s="65">
        <v>44623</v>
      </c>
      <c r="K766" s="71"/>
      <c r="L766" s="72"/>
      <c r="M766" s="71"/>
      <c r="N766" s="216">
        <v>126</v>
      </c>
      <c r="O766" s="71">
        <v>165</v>
      </c>
      <c r="P766" s="72"/>
    </row>
    <row r="767" spans="1:16">
      <c r="A767" s="295"/>
      <c r="B767" s="289"/>
      <c r="C767" s="296"/>
      <c r="D767" s="66" t="s">
        <v>415</v>
      </c>
      <c r="E767">
        <v>11</v>
      </c>
      <c r="G767" t="s">
        <v>429</v>
      </c>
      <c r="H767" s="65">
        <v>44623</v>
      </c>
      <c r="K767" s="71"/>
      <c r="L767" s="72"/>
      <c r="M767" s="71"/>
      <c r="N767" s="216">
        <v>153</v>
      </c>
      <c r="O767" s="71">
        <v>201</v>
      </c>
      <c r="P767" s="72"/>
    </row>
    <row r="768" spans="1:16">
      <c r="A768" s="295"/>
      <c r="B768" s="293"/>
      <c r="C768" s="296"/>
      <c r="D768" s="66" t="s">
        <v>418</v>
      </c>
      <c r="H768" s="65"/>
      <c r="K768" s="71"/>
      <c r="L768" s="72"/>
      <c r="M768" s="71"/>
      <c r="N768" s="216"/>
      <c r="O768" s="71"/>
      <c r="P768" s="74" t="s">
        <v>563</v>
      </c>
    </row>
    <row r="769" spans="1:16">
      <c r="A769" s="295" t="s">
        <v>566</v>
      </c>
      <c r="B769" s="292" t="s">
        <v>529</v>
      </c>
      <c r="C769" s="296" t="s">
        <v>610</v>
      </c>
      <c r="D769" s="66" t="s">
        <v>411</v>
      </c>
      <c r="G769" t="s">
        <v>429</v>
      </c>
      <c r="H769" s="65">
        <v>44623</v>
      </c>
      <c r="K769" s="71"/>
      <c r="L769" s="72"/>
      <c r="M769" s="71"/>
      <c r="N769" s="216">
        <v>6.21</v>
      </c>
      <c r="O769" s="71">
        <v>6.1</v>
      </c>
      <c r="P769" s="72"/>
    </row>
    <row r="770" spans="1:16">
      <c r="A770" s="295"/>
      <c r="B770" s="289"/>
      <c r="C770" s="296"/>
      <c r="D770" s="66" t="s">
        <v>412</v>
      </c>
      <c r="E770" t="s">
        <v>413</v>
      </c>
      <c r="G770" t="s">
        <v>429</v>
      </c>
      <c r="H770" s="65">
        <v>44623</v>
      </c>
      <c r="K770" s="71"/>
      <c r="L770" s="72"/>
      <c r="M770" s="71"/>
      <c r="N770" s="216">
        <v>1.89</v>
      </c>
      <c r="O770" s="71">
        <v>1.64</v>
      </c>
      <c r="P770" s="72"/>
    </row>
    <row r="771" spans="1:16">
      <c r="A771" s="295"/>
      <c r="B771" s="289"/>
      <c r="C771" s="296"/>
      <c r="D771" s="66" t="s">
        <v>414</v>
      </c>
      <c r="E771" t="s">
        <v>413</v>
      </c>
      <c r="G771" t="s">
        <v>429</v>
      </c>
      <c r="H771" s="65">
        <v>44623</v>
      </c>
      <c r="K771" s="71"/>
      <c r="L771" s="72"/>
      <c r="M771" s="71"/>
      <c r="N771" s="216">
        <v>8.1</v>
      </c>
      <c r="O771" s="71">
        <v>7.74</v>
      </c>
      <c r="P771" s="72"/>
    </row>
    <row r="772" spans="1:16">
      <c r="A772" s="295"/>
      <c r="B772" s="289"/>
      <c r="C772" s="296"/>
      <c r="D772" s="66" t="s">
        <v>577</v>
      </c>
      <c r="G772" t="s">
        <v>648</v>
      </c>
      <c r="H772" s="65">
        <v>44623</v>
      </c>
      <c r="K772" s="71"/>
      <c r="L772" s="72"/>
      <c r="M772" s="71"/>
      <c r="N772" s="216">
        <v>0.51500000000000001</v>
      </c>
      <c r="O772" s="71">
        <v>0.55100000000000005</v>
      </c>
      <c r="P772" s="72"/>
    </row>
    <row r="773" spans="1:16">
      <c r="A773" s="295"/>
      <c r="B773" s="289"/>
      <c r="C773" s="296"/>
      <c r="D773" s="66" t="s">
        <v>602</v>
      </c>
      <c r="G773" t="s">
        <v>648</v>
      </c>
      <c r="H773" s="65">
        <v>44623</v>
      </c>
      <c r="K773" s="71"/>
      <c r="L773" s="72"/>
      <c r="M773" s="71"/>
      <c r="N773" s="216">
        <v>0.157</v>
      </c>
      <c r="O773" s="71">
        <v>0.14799999999999999</v>
      </c>
      <c r="P773" s="72"/>
    </row>
    <row r="774" spans="1:16">
      <c r="A774" s="295"/>
      <c r="B774" s="289"/>
      <c r="C774" s="296"/>
      <c r="D774" s="66" t="s">
        <v>600</v>
      </c>
      <c r="G774" t="s">
        <v>648</v>
      </c>
      <c r="H774" s="65">
        <v>44623</v>
      </c>
      <c r="K774" s="71"/>
      <c r="L774" s="72"/>
      <c r="M774" s="71"/>
      <c r="N774" s="216">
        <v>0.67100000000000004</v>
      </c>
      <c r="O774" s="71">
        <v>0.69799999999999995</v>
      </c>
      <c r="P774" s="72"/>
    </row>
    <row r="775" spans="1:16">
      <c r="A775" s="295"/>
      <c r="B775" s="293"/>
      <c r="C775" s="296"/>
      <c r="D775" s="66" t="s">
        <v>418</v>
      </c>
      <c r="H775" s="65"/>
      <c r="K775" s="71"/>
      <c r="L775" s="72"/>
      <c r="M775" s="71"/>
      <c r="N775" s="216"/>
      <c r="O775" s="71"/>
      <c r="P775" s="74" t="s">
        <v>563</v>
      </c>
    </row>
    <row r="776" spans="1:16">
      <c r="A776" s="295" t="s">
        <v>205</v>
      </c>
      <c r="B776" s="292" t="s">
        <v>206</v>
      </c>
      <c r="C776" s="296" t="s">
        <v>207</v>
      </c>
      <c r="D776" s="66" t="s">
        <v>411</v>
      </c>
      <c r="G776" t="s">
        <v>428</v>
      </c>
      <c r="H776" s="65">
        <v>44561</v>
      </c>
      <c r="K776" s="71">
        <v>26596742</v>
      </c>
      <c r="L776" s="72">
        <v>29995758</v>
      </c>
      <c r="M776" s="71">
        <v>29344948</v>
      </c>
      <c r="N776" s="216">
        <v>24205850</v>
      </c>
      <c r="O776" s="71">
        <v>25759240</v>
      </c>
      <c r="P776" s="72"/>
    </row>
    <row r="777" spans="1:16">
      <c r="A777" s="295"/>
      <c r="B777" s="289"/>
      <c r="C777" s="296"/>
      <c r="D777" s="66" t="s">
        <v>415</v>
      </c>
      <c r="E777">
        <v>3</v>
      </c>
      <c r="G777" t="s">
        <v>428</v>
      </c>
      <c r="H777" s="65">
        <v>44561</v>
      </c>
      <c r="K777" s="71">
        <v>6570582</v>
      </c>
      <c r="L777" s="72">
        <v>6366492</v>
      </c>
      <c r="M777" s="71">
        <v>6552023</v>
      </c>
      <c r="N777" s="216">
        <v>6121318</v>
      </c>
      <c r="O777" s="71">
        <v>6063090</v>
      </c>
      <c r="P777" s="72"/>
    </row>
    <row r="778" spans="1:16">
      <c r="A778" s="295"/>
      <c r="B778" s="289"/>
      <c r="C778" s="296"/>
      <c r="D778" s="66" t="s">
        <v>417</v>
      </c>
      <c r="G778" t="s">
        <v>79</v>
      </c>
      <c r="H778" s="65">
        <v>44561</v>
      </c>
      <c r="K778" s="71">
        <v>50505515</v>
      </c>
      <c r="L778" s="72">
        <v>52757428</v>
      </c>
      <c r="M778" s="71">
        <v>54463960</v>
      </c>
      <c r="N778" s="216">
        <v>48518459</v>
      </c>
      <c r="O778" s="71">
        <v>48413215</v>
      </c>
      <c r="P778" s="72"/>
    </row>
    <row r="779" spans="1:16">
      <c r="A779" s="295"/>
      <c r="B779" s="293"/>
      <c r="C779" s="296"/>
      <c r="D779" s="66" t="s">
        <v>418</v>
      </c>
      <c r="H779" s="65"/>
      <c r="K779" s="71"/>
      <c r="L779" s="72"/>
      <c r="M779" s="71"/>
      <c r="N779" s="216"/>
      <c r="O779" s="71"/>
      <c r="P779" s="72"/>
    </row>
    <row r="780" spans="1:16">
      <c r="A780" s="295" t="s">
        <v>205</v>
      </c>
      <c r="B780" s="292" t="s">
        <v>206</v>
      </c>
      <c r="C780" s="296" t="s">
        <v>207</v>
      </c>
      <c r="D780" s="66" t="s">
        <v>575</v>
      </c>
      <c r="H780" s="65"/>
      <c r="I780" s="90">
        <v>2005</v>
      </c>
      <c r="K780" s="71"/>
      <c r="L780" s="72"/>
      <c r="M780" s="71"/>
      <c r="N780" s="216"/>
      <c r="O780" s="71"/>
      <c r="P780" s="72"/>
    </row>
    <row r="781" spans="1:16">
      <c r="A781" s="295"/>
      <c r="B781" s="289"/>
      <c r="C781" s="296"/>
      <c r="D781" s="66" t="s">
        <v>411</v>
      </c>
      <c r="G781" t="s">
        <v>428</v>
      </c>
      <c r="H781" s="65">
        <v>44852</v>
      </c>
      <c r="I781" s="90">
        <v>24118609</v>
      </c>
      <c r="K781" s="71"/>
      <c r="L781" s="72"/>
      <c r="M781" s="71"/>
      <c r="N781" s="216">
        <v>12130523</v>
      </c>
      <c r="O781" s="71">
        <v>12333768</v>
      </c>
      <c r="P781" s="72">
        <v>12526200</v>
      </c>
    </row>
    <row r="782" spans="1:16">
      <c r="A782" s="295"/>
      <c r="B782" s="289"/>
      <c r="C782" s="296"/>
      <c r="D782" s="66" t="s">
        <v>415</v>
      </c>
      <c r="E782">
        <v>3</v>
      </c>
      <c r="G782" t="s">
        <v>428</v>
      </c>
      <c r="H782" s="65">
        <v>44852</v>
      </c>
      <c r="K782" s="71"/>
      <c r="L782" s="72"/>
      <c r="M782" s="71"/>
      <c r="N782" s="216">
        <v>6392848</v>
      </c>
      <c r="O782" s="71">
        <v>5890553</v>
      </c>
      <c r="P782" s="72">
        <v>6197295</v>
      </c>
    </row>
    <row r="783" spans="1:16">
      <c r="A783" s="295"/>
      <c r="B783" s="289"/>
      <c r="C783" s="296"/>
      <c r="D783" s="66" t="s">
        <v>449</v>
      </c>
      <c r="E783" t="s">
        <v>576</v>
      </c>
      <c r="G783" t="s">
        <v>79</v>
      </c>
      <c r="H783" s="65">
        <v>44852</v>
      </c>
      <c r="I783" s="90">
        <v>30945579</v>
      </c>
      <c r="K783" s="71"/>
      <c r="L783" s="72"/>
      <c r="M783" s="71"/>
      <c r="N783" s="216">
        <v>21952321</v>
      </c>
      <c r="O783" s="71">
        <v>22106990</v>
      </c>
      <c r="P783" s="72">
        <v>19777557</v>
      </c>
    </row>
    <row r="784" spans="1:16">
      <c r="A784" s="295"/>
      <c r="B784" s="289"/>
      <c r="C784" s="296"/>
      <c r="D784" s="66" t="s">
        <v>449</v>
      </c>
      <c r="E784" t="s">
        <v>484</v>
      </c>
      <c r="G784" t="s">
        <v>79</v>
      </c>
      <c r="H784" s="65">
        <v>44852</v>
      </c>
      <c r="I784" s="90">
        <v>3300000</v>
      </c>
      <c r="K784" s="71"/>
      <c r="L784" s="72"/>
      <c r="M784" s="71"/>
      <c r="N784" s="216">
        <v>14000000</v>
      </c>
      <c r="O784" s="71">
        <v>12900000</v>
      </c>
      <c r="P784" s="72">
        <v>14600000</v>
      </c>
    </row>
    <row r="785" spans="1:16">
      <c r="A785" s="295"/>
      <c r="B785" s="289"/>
      <c r="C785" s="296"/>
      <c r="D785" s="66" t="s">
        <v>417</v>
      </c>
      <c r="E785" t="s">
        <v>443</v>
      </c>
      <c r="G785" t="s">
        <v>79</v>
      </c>
      <c r="H785" s="65">
        <v>44852</v>
      </c>
      <c r="I785" s="90">
        <f>SUM(I783:I784)</f>
        <v>34245579</v>
      </c>
      <c r="K785" s="71"/>
      <c r="L785" s="72"/>
      <c r="M785" s="71"/>
      <c r="N785" s="216">
        <f t="shared" ref="N785:P785" si="16">SUM(N783:N784)</f>
        <v>35952321</v>
      </c>
      <c r="O785" s="71">
        <f t="shared" si="16"/>
        <v>35006990</v>
      </c>
      <c r="P785" s="72">
        <f t="shared" si="16"/>
        <v>34377557</v>
      </c>
    </row>
    <row r="786" spans="1:16">
      <c r="A786" s="295"/>
      <c r="B786" s="293"/>
      <c r="C786" s="296"/>
      <c r="D786" s="66" t="s">
        <v>418</v>
      </c>
      <c r="H786" s="65"/>
      <c r="K786" s="71"/>
      <c r="L786" s="72"/>
      <c r="M786" s="71"/>
      <c r="N786" s="216"/>
      <c r="O786" s="71"/>
      <c r="P786" s="74" t="s">
        <v>1093</v>
      </c>
    </row>
    <row r="787" spans="1:16">
      <c r="A787" s="291" t="s">
        <v>1226</v>
      </c>
      <c r="B787" s="292" t="s">
        <v>1227</v>
      </c>
      <c r="C787" s="292" t="s">
        <v>1228</v>
      </c>
      <c r="D787" s="66" t="s">
        <v>411</v>
      </c>
      <c r="G787" t="s">
        <v>427</v>
      </c>
      <c r="H787" s="65">
        <v>43860</v>
      </c>
      <c r="K787" s="71"/>
      <c r="L787" s="72">
        <v>3949</v>
      </c>
      <c r="M787" s="71">
        <v>3483</v>
      </c>
      <c r="N787" s="216">
        <v>1846</v>
      </c>
      <c r="O787" s="71"/>
      <c r="P787" s="72"/>
    </row>
    <row r="788" spans="1:16">
      <c r="A788" s="286"/>
      <c r="B788" s="289"/>
      <c r="C788" s="289"/>
      <c r="D788" s="66" t="s">
        <v>412</v>
      </c>
      <c r="E788" t="s">
        <v>413</v>
      </c>
      <c r="G788" t="s">
        <v>427</v>
      </c>
      <c r="H788" s="65">
        <v>43860</v>
      </c>
      <c r="K788" s="71"/>
      <c r="L788" s="72">
        <v>98</v>
      </c>
      <c r="M788" s="71">
        <v>151</v>
      </c>
      <c r="N788" s="216">
        <v>123</v>
      </c>
      <c r="O788" s="71"/>
      <c r="P788" s="72"/>
    </row>
    <row r="789" spans="1:16">
      <c r="A789" s="286"/>
      <c r="B789" s="289"/>
      <c r="C789" s="289"/>
      <c r="D789" s="66" t="s">
        <v>412</v>
      </c>
      <c r="E789" t="s">
        <v>420</v>
      </c>
      <c r="G789" t="s">
        <v>427</v>
      </c>
      <c r="H789" s="65">
        <v>43860</v>
      </c>
      <c r="K789" s="71"/>
      <c r="L789" s="72">
        <v>221</v>
      </c>
      <c r="M789" s="71">
        <v>45</v>
      </c>
      <c r="N789" s="216">
        <v>4</v>
      </c>
      <c r="O789" s="71"/>
      <c r="P789" s="72"/>
    </row>
    <row r="790" spans="1:16">
      <c r="A790" s="286"/>
      <c r="B790" s="289"/>
      <c r="C790" s="289"/>
      <c r="D790" s="66" t="s">
        <v>415</v>
      </c>
      <c r="E790" t="s">
        <v>416</v>
      </c>
      <c r="G790" t="s">
        <v>427</v>
      </c>
      <c r="H790" s="65">
        <v>43860</v>
      </c>
      <c r="I790" s="90" t="s">
        <v>970</v>
      </c>
      <c r="K790" s="71"/>
      <c r="L790" s="72">
        <f>SUM(L791:L792)</f>
        <v>0</v>
      </c>
      <c r="M790" s="71">
        <f t="shared" ref="M790:N790" si="17">SUM(M791:M792)</f>
        <v>34953</v>
      </c>
      <c r="N790" s="216">
        <f t="shared" si="17"/>
        <v>33594</v>
      </c>
      <c r="O790" s="71"/>
      <c r="P790" s="72"/>
    </row>
    <row r="791" spans="1:16">
      <c r="A791" s="286"/>
      <c r="B791" s="289"/>
      <c r="C791" s="289"/>
      <c r="D791" s="66" t="s">
        <v>415</v>
      </c>
      <c r="E791" t="s">
        <v>539</v>
      </c>
      <c r="G791" t="s">
        <v>427</v>
      </c>
      <c r="H791" s="65">
        <v>43860</v>
      </c>
      <c r="K791" s="71"/>
      <c r="L791" s="72"/>
      <c r="M791" s="71">
        <v>3570</v>
      </c>
      <c r="N791" s="216">
        <v>3217</v>
      </c>
      <c r="O791" s="71"/>
      <c r="P791" s="72"/>
    </row>
    <row r="792" spans="1:16">
      <c r="A792" s="286"/>
      <c r="B792" s="289"/>
      <c r="C792" s="289"/>
      <c r="D792" s="66" t="s">
        <v>415</v>
      </c>
      <c r="E792" t="s">
        <v>540</v>
      </c>
      <c r="G792" t="s">
        <v>427</v>
      </c>
      <c r="H792" s="65">
        <v>43860</v>
      </c>
      <c r="K792" s="71"/>
      <c r="L792" s="72"/>
      <c r="M792" s="71">
        <v>31383</v>
      </c>
      <c r="N792" s="216">
        <v>30377</v>
      </c>
      <c r="O792" s="71"/>
      <c r="P792" s="72"/>
    </row>
    <row r="793" spans="1:16">
      <c r="A793" s="286"/>
      <c r="B793" s="289"/>
      <c r="C793" s="289"/>
      <c r="D793" s="66" t="s">
        <v>417</v>
      </c>
      <c r="E793" t="s">
        <v>539</v>
      </c>
      <c r="G793" t="s">
        <v>57</v>
      </c>
      <c r="H793" s="65">
        <v>43860</v>
      </c>
      <c r="K793" s="71"/>
      <c r="L793" s="72">
        <v>25740</v>
      </c>
      <c r="M793" s="71">
        <v>26013</v>
      </c>
      <c r="N793" s="216">
        <v>28430</v>
      </c>
      <c r="O793" s="71"/>
      <c r="P793" s="72"/>
    </row>
    <row r="794" spans="1:16">
      <c r="A794" s="286"/>
      <c r="B794" s="289"/>
      <c r="C794" s="289"/>
      <c r="D794" s="66" t="s">
        <v>417</v>
      </c>
      <c r="E794" t="s">
        <v>540</v>
      </c>
      <c r="G794" t="s">
        <v>62</v>
      </c>
      <c r="H794" s="65">
        <v>43860</v>
      </c>
      <c r="K794" s="71"/>
      <c r="L794" s="72">
        <v>129</v>
      </c>
      <c r="M794" s="71">
        <v>131.1</v>
      </c>
      <c r="N794" s="216">
        <v>125</v>
      </c>
      <c r="O794" s="71"/>
      <c r="P794" s="72"/>
    </row>
    <row r="795" spans="1:16">
      <c r="A795" s="294"/>
      <c r="B795" s="293"/>
      <c r="C795" s="293"/>
      <c r="D795" s="66" t="s">
        <v>418</v>
      </c>
      <c r="H795" s="65">
        <v>43860</v>
      </c>
      <c r="K795" s="71"/>
      <c r="L795" s="72"/>
      <c r="M795" s="71"/>
      <c r="N795" s="217" t="s">
        <v>1242</v>
      </c>
      <c r="O795" s="71"/>
      <c r="P795" s="72"/>
    </row>
    <row r="796" spans="1:16">
      <c r="A796" s="291" t="s">
        <v>1226</v>
      </c>
      <c r="B796" s="292" t="s">
        <v>1227</v>
      </c>
      <c r="C796" s="292" t="s">
        <v>1228</v>
      </c>
      <c r="D796" s="66" t="s">
        <v>411</v>
      </c>
      <c r="G796" t="s">
        <v>427</v>
      </c>
      <c r="H796" s="65">
        <v>44230</v>
      </c>
      <c r="K796" s="71"/>
      <c r="L796" s="72"/>
      <c r="M796" s="71">
        <v>3483</v>
      </c>
      <c r="N796" s="216">
        <v>1846</v>
      </c>
      <c r="O796" s="71">
        <v>1851</v>
      </c>
      <c r="P796" s="72"/>
    </row>
    <row r="797" spans="1:16">
      <c r="A797" s="286"/>
      <c r="B797" s="289"/>
      <c r="C797" s="289"/>
      <c r="D797" s="66" t="s">
        <v>412</v>
      </c>
      <c r="E797" t="s">
        <v>413</v>
      </c>
      <c r="G797" t="s">
        <v>427</v>
      </c>
      <c r="H797" s="65">
        <v>44230</v>
      </c>
      <c r="K797" s="71"/>
      <c r="L797" s="72"/>
      <c r="M797" s="71">
        <v>151</v>
      </c>
      <c r="N797" s="216">
        <v>123</v>
      </c>
      <c r="O797" s="71">
        <v>111</v>
      </c>
      <c r="P797" s="72"/>
    </row>
    <row r="798" spans="1:16">
      <c r="A798" s="286"/>
      <c r="B798" s="289"/>
      <c r="C798" s="289"/>
      <c r="D798" s="66" t="s">
        <v>412</v>
      </c>
      <c r="E798" t="s">
        <v>420</v>
      </c>
      <c r="G798" t="s">
        <v>427</v>
      </c>
      <c r="H798" s="65">
        <v>44230</v>
      </c>
      <c r="K798" s="71"/>
      <c r="L798" s="72"/>
      <c r="M798" s="71">
        <v>45</v>
      </c>
      <c r="N798" s="216">
        <v>4</v>
      </c>
      <c r="O798" s="71">
        <v>2</v>
      </c>
      <c r="P798" s="72"/>
    </row>
    <row r="799" spans="1:16">
      <c r="A799" s="286"/>
      <c r="B799" s="289"/>
      <c r="C799" s="289"/>
      <c r="D799" s="66" t="s">
        <v>415</v>
      </c>
      <c r="E799" t="s">
        <v>416</v>
      </c>
      <c r="G799" t="s">
        <v>427</v>
      </c>
      <c r="H799" s="65">
        <v>44230</v>
      </c>
      <c r="I799" s="90" t="s">
        <v>970</v>
      </c>
      <c r="K799" s="71"/>
      <c r="L799" s="72"/>
      <c r="M799" s="71">
        <f t="shared" ref="M799:O799" si="18">SUM(M800:M801)</f>
        <v>34953</v>
      </c>
      <c r="N799" s="216">
        <f t="shared" si="18"/>
        <v>33594</v>
      </c>
      <c r="O799" s="71">
        <f t="shared" si="18"/>
        <v>24417</v>
      </c>
      <c r="P799" s="72"/>
    </row>
    <row r="800" spans="1:16">
      <c r="A800" s="286"/>
      <c r="B800" s="289"/>
      <c r="C800" s="289"/>
      <c r="D800" s="66" t="s">
        <v>415</v>
      </c>
      <c r="E800" t="s">
        <v>539</v>
      </c>
      <c r="G800" t="s">
        <v>427</v>
      </c>
      <c r="H800" s="65">
        <v>44230</v>
      </c>
      <c r="K800" s="71"/>
      <c r="L800" s="72"/>
      <c r="M800" s="71">
        <v>3570</v>
      </c>
      <c r="N800" s="216">
        <v>3217</v>
      </c>
      <c r="O800" s="71">
        <v>2437</v>
      </c>
      <c r="P800" s="72"/>
    </row>
    <row r="801" spans="1:17">
      <c r="A801" s="286"/>
      <c r="B801" s="289"/>
      <c r="C801" s="289"/>
      <c r="D801" s="66" t="s">
        <v>415</v>
      </c>
      <c r="E801" t="s">
        <v>540</v>
      </c>
      <c r="G801" t="s">
        <v>427</v>
      </c>
      <c r="H801" s="65">
        <v>44230</v>
      </c>
      <c r="K801" s="71"/>
      <c r="L801" s="72"/>
      <c r="M801" s="71">
        <v>31383</v>
      </c>
      <c r="N801" s="216">
        <v>30377</v>
      </c>
      <c r="O801" s="71">
        <v>21980</v>
      </c>
      <c r="P801" s="72"/>
    </row>
    <row r="802" spans="1:17">
      <c r="A802" s="286"/>
      <c r="B802" s="289"/>
      <c r="C802" s="289"/>
      <c r="D802" s="66" t="s">
        <v>417</v>
      </c>
      <c r="E802" t="s">
        <v>539</v>
      </c>
      <c r="G802" t="s">
        <v>57</v>
      </c>
      <c r="H802" s="65">
        <v>44230</v>
      </c>
      <c r="K802" s="71"/>
      <c r="L802" s="72"/>
      <c r="M802" s="71">
        <v>26013</v>
      </c>
      <c r="N802" s="216">
        <v>28430</v>
      </c>
      <c r="O802" s="71">
        <v>32095</v>
      </c>
      <c r="P802" s="72"/>
    </row>
    <row r="803" spans="1:17">
      <c r="A803" s="286"/>
      <c r="B803" s="289"/>
      <c r="C803" s="289"/>
      <c r="D803" s="66" t="s">
        <v>417</v>
      </c>
      <c r="E803" t="s">
        <v>540</v>
      </c>
      <c r="G803" t="s">
        <v>62</v>
      </c>
      <c r="H803" s="65">
        <v>44230</v>
      </c>
      <c r="K803" s="71"/>
      <c r="L803" s="72"/>
      <c r="M803" s="71">
        <v>131.1</v>
      </c>
      <c r="N803" s="216">
        <v>125</v>
      </c>
      <c r="O803" s="71">
        <v>90.3</v>
      </c>
      <c r="P803" s="72"/>
    </row>
    <row r="804" spans="1:17">
      <c r="A804" s="294"/>
      <c r="B804" s="293"/>
      <c r="C804" s="293"/>
      <c r="D804" s="66" t="s">
        <v>418</v>
      </c>
      <c r="H804" s="65">
        <v>44230</v>
      </c>
      <c r="K804" s="71"/>
      <c r="L804" s="72"/>
      <c r="M804" s="71"/>
      <c r="N804" s="217"/>
      <c r="O804" s="73" t="s">
        <v>1243</v>
      </c>
      <c r="P804" s="72"/>
    </row>
    <row r="805" spans="1:17">
      <c r="A805" s="291" t="s">
        <v>1226</v>
      </c>
      <c r="B805" s="292" t="s">
        <v>1227</v>
      </c>
      <c r="C805" s="292" t="s">
        <v>1228</v>
      </c>
      <c r="D805" s="66" t="s">
        <v>411</v>
      </c>
      <c r="G805" t="s">
        <v>427</v>
      </c>
      <c r="H805" s="65">
        <v>44594</v>
      </c>
      <c r="K805" s="71"/>
      <c r="L805" s="72"/>
      <c r="M805" s="71"/>
      <c r="N805" s="216">
        <v>1846</v>
      </c>
      <c r="O805" s="71">
        <v>1851</v>
      </c>
      <c r="P805" s="72">
        <v>2142</v>
      </c>
    </row>
    <row r="806" spans="1:17">
      <c r="A806" s="286"/>
      <c r="B806" s="289"/>
      <c r="C806" s="289"/>
      <c r="D806" s="66" t="s">
        <v>412</v>
      </c>
      <c r="E806" t="s">
        <v>413</v>
      </c>
      <c r="G806" t="s">
        <v>427</v>
      </c>
      <c r="H806" s="65">
        <v>44594</v>
      </c>
      <c r="K806" s="71"/>
      <c r="L806" s="72"/>
      <c r="M806" s="71"/>
      <c r="N806" s="216">
        <v>123</v>
      </c>
      <c r="O806" s="71">
        <v>111</v>
      </c>
      <c r="P806" s="72">
        <v>53</v>
      </c>
    </row>
    <row r="807" spans="1:17">
      <c r="A807" s="286"/>
      <c r="B807" s="289"/>
      <c r="C807" s="289"/>
      <c r="D807" s="66" t="s">
        <v>412</v>
      </c>
      <c r="E807" t="s">
        <v>420</v>
      </c>
      <c r="G807" t="s">
        <v>427</v>
      </c>
      <c r="H807" s="65">
        <v>44594</v>
      </c>
      <c r="K807" s="71"/>
      <c r="L807" s="72"/>
      <c r="M807" s="71"/>
      <c r="N807" s="216">
        <v>4</v>
      </c>
      <c r="O807" s="71">
        <v>2</v>
      </c>
      <c r="P807" s="72">
        <v>1</v>
      </c>
    </row>
    <row r="808" spans="1:17">
      <c r="A808" s="286"/>
      <c r="B808" s="289"/>
      <c r="C808" s="289"/>
      <c r="D808" s="66" t="s">
        <v>415</v>
      </c>
      <c r="E808" t="s">
        <v>416</v>
      </c>
      <c r="G808" t="s">
        <v>427</v>
      </c>
      <c r="H808" s="65">
        <v>44594</v>
      </c>
      <c r="I808" s="90" t="s">
        <v>970</v>
      </c>
      <c r="K808" s="71"/>
      <c r="L808" s="72"/>
      <c r="M808" s="71"/>
      <c r="N808" s="216">
        <f t="shared" ref="N808:P808" si="19">SUM(N809:N810)</f>
        <v>33594</v>
      </c>
      <c r="O808" s="71">
        <f t="shared" si="19"/>
        <v>24417</v>
      </c>
      <c r="P808" s="72">
        <f t="shared" si="19"/>
        <v>16217</v>
      </c>
    </row>
    <row r="809" spans="1:17">
      <c r="A809" s="286"/>
      <c r="B809" s="289"/>
      <c r="C809" s="289"/>
      <c r="D809" s="66" t="s">
        <v>415</v>
      </c>
      <c r="E809" t="s">
        <v>539</v>
      </c>
      <c r="G809" t="s">
        <v>427</v>
      </c>
      <c r="H809" s="65">
        <v>44594</v>
      </c>
      <c r="K809" s="71"/>
      <c r="L809" s="72"/>
      <c r="M809" s="71"/>
      <c r="N809" s="216">
        <v>3217</v>
      </c>
      <c r="O809" s="71">
        <v>2437</v>
      </c>
      <c r="P809" s="72">
        <v>2011</v>
      </c>
    </row>
    <row r="810" spans="1:17">
      <c r="A810" s="286"/>
      <c r="B810" s="289"/>
      <c r="C810" s="289"/>
      <c r="D810" s="66" t="s">
        <v>415</v>
      </c>
      <c r="E810" t="s">
        <v>540</v>
      </c>
      <c r="G810" t="s">
        <v>427</v>
      </c>
      <c r="H810" s="65">
        <v>44594</v>
      </c>
      <c r="K810" s="71"/>
      <c r="L810" s="72"/>
      <c r="M810" s="71"/>
      <c r="N810" s="216">
        <v>30377</v>
      </c>
      <c r="O810" s="71">
        <v>21980</v>
      </c>
      <c r="P810" s="72">
        <v>14206</v>
      </c>
    </row>
    <row r="811" spans="1:17">
      <c r="A811" s="286"/>
      <c r="B811" s="289"/>
      <c r="C811" s="289"/>
      <c r="D811" s="66" t="s">
        <v>417</v>
      </c>
      <c r="E811" t="s">
        <v>539</v>
      </c>
      <c r="G811" t="s">
        <v>57</v>
      </c>
      <c r="H811" s="65">
        <v>44594</v>
      </c>
      <c r="K811" s="71"/>
      <c r="L811" s="72"/>
      <c r="M811" s="71"/>
      <c r="N811" s="216">
        <v>28430</v>
      </c>
      <c r="O811" s="71">
        <v>32095</v>
      </c>
      <c r="P811" s="72">
        <v>36957</v>
      </c>
    </row>
    <row r="812" spans="1:17">
      <c r="A812" s="286"/>
      <c r="B812" s="289"/>
      <c r="C812" s="289"/>
      <c r="D812" s="66" t="s">
        <v>417</v>
      </c>
      <c r="E812" t="s">
        <v>540</v>
      </c>
      <c r="G812" t="s">
        <v>57</v>
      </c>
      <c r="H812" s="65">
        <v>44594</v>
      </c>
      <c r="K812" s="71"/>
      <c r="L812" s="72"/>
      <c r="M812" s="71"/>
      <c r="N812" s="216">
        <v>124951</v>
      </c>
      <c r="O812" s="71">
        <v>90347</v>
      </c>
      <c r="P812" s="72">
        <v>61349</v>
      </c>
    </row>
    <row r="813" spans="1:17">
      <c r="A813" s="294"/>
      <c r="B813" s="293"/>
      <c r="C813" s="293"/>
      <c r="D813" s="66" t="s">
        <v>418</v>
      </c>
      <c r="H813" s="65">
        <v>44594</v>
      </c>
      <c r="K813" s="71"/>
      <c r="L813" s="72"/>
      <c r="M813" s="71"/>
      <c r="N813" s="217"/>
      <c r="O813" s="73"/>
      <c r="P813" s="74" t="s">
        <v>1244</v>
      </c>
    </row>
    <row r="814" spans="1:17">
      <c r="A814" s="291" t="s">
        <v>1226</v>
      </c>
      <c r="B814" s="292" t="s">
        <v>1227</v>
      </c>
      <c r="C814" s="292" t="s">
        <v>1228</v>
      </c>
      <c r="D814" s="66" t="s">
        <v>411</v>
      </c>
      <c r="G814" t="s">
        <v>427</v>
      </c>
      <c r="H814" s="65">
        <v>44958</v>
      </c>
      <c r="K814" s="71"/>
      <c r="L814" s="72"/>
      <c r="M814" s="71"/>
      <c r="N814" s="216"/>
      <c r="O814" s="71">
        <v>1851</v>
      </c>
      <c r="P814" s="72">
        <v>2142</v>
      </c>
      <c r="Q814" s="71">
        <v>2510</v>
      </c>
    </row>
    <row r="815" spans="1:17">
      <c r="A815" s="286"/>
      <c r="B815" s="289"/>
      <c r="C815" s="289"/>
      <c r="D815" s="66" t="s">
        <v>411</v>
      </c>
      <c r="E815" t="s">
        <v>1203</v>
      </c>
      <c r="G815" t="s">
        <v>427</v>
      </c>
      <c r="H815" s="65">
        <v>44958</v>
      </c>
      <c r="K815" s="71"/>
      <c r="L815" s="72"/>
      <c r="M815" s="71"/>
      <c r="N815" s="216"/>
      <c r="O815" s="71">
        <v>3318</v>
      </c>
      <c r="P815" s="72">
        <v>5264</v>
      </c>
      <c r="Q815" s="71">
        <v>3961</v>
      </c>
    </row>
    <row r="816" spans="1:17">
      <c r="A816" s="286"/>
      <c r="B816" s="289"/>
      <c r="C816" s="289"/>
      <c r="D816" s="66" t="s">
        <v>412</v>
      </c>
      <c r="E816" t="s">
        <v>413</v>
      </c>
      <c r="G816" t="s">
        <v>427</v>
      </c>
      <c r="H816" s="65">
        <v>44958</v>
      </c>
      <c r="K816" s="71"/>
      <c r="L816" s="72"/>
      <c r="M816" s="71"/>
      <c r="N816" s="216"/>
      <c r="O816" s="71">
        <v>111</v>
      </c>
      <c r="P816" s="72">
        <v>53</v>
      </c>
      <c r="Q816" s="71">
        <v>45</v>
      </c>
    </row>
    <row r="817" spans="1:17">
      <c r="A817" s="286"/>
      <c r="B817" s="289"/>
      <c r="C817" s="289"/>
      <c r="D817" s="66" t="s">
        <v>412</v>
      </c>
      <c r="E817" t="s">
        <v>420</v>
      </c>
      <c r="G817" t="s">
        <v>427</v>
      </c>
      <c r="H817" s="65">
        <v>44958</v>
      </c>
      <c r="K817" s="71"/>
      <c r="L817" s="72"/>
      <c r="M817" s="71"/>
      <c r="N817" s="216"/>
      <c r="O817" s="71">
        <v>2</v>
      </c>
      <c r="P817" s="72">
        <v>1</v>
      </c>
      <c r="Q817" s="71">
        <v>1</v>
      </c>
    </row>
    <row r="818" spans="1:17">
      <c r="A818" s="286"/>
      <c r="B818" s="289"/>
      <c r="C818" s="289"/>
      <c r="D818" s="66" t="s">
        <v>415</v>
      </c>
      <c r="E818" t="s">
        <v>416</v>
      </c>
      <c r="G818" t="s">
        <v>427</v>
      </c>
      <c r="H818" s="65">
        <v>44958</v>
      </c>
      <c r="I818" s="90" t="s">
        <v>970</v>
      </c>
      <c r="K818" s="71"/>
      <c r="L818" s="72"/>
      <c r="M818" s="71"/>
      <c r="N818" s="216"/>
      <c r="O818" s="71">
        <f t="shared" ref="O818:Q818" si="20">SUM(O819:O820)</f>
        <v>24417</v>
      </c>
      <c r="P818" s="72">
        <f t="shared" si="20"/>
        <v>16217</v>
      </c>
      <c r="Q818" s="71">
        <f t="shared" si="20"/>
        <v>9145</v>
      </c>
    </row>
    <row r="819" spans="1:17">
      <c r="A819" s="286"/>
      <c r="B819" s="289"/>
      <c r="C819" s="289"/>
      <c r="D819" s="66" t="s">
        <v>415</v>
      </c>
      <c r="E819" t="s">
        <v>539</v>
      </c>
      <c r="G819" t="s">
        <v>427</v>
      </c>
      <c r="H819" s="65">
        <v>44958</v>
      </c>
      <c r="K819" s="71"/>
      <c r="L819" s="72"/>
      <c r="M819" s="71"/>
      <c r="N819" s="216"/>
      <c r="O819" s="71">
        <v>2437</v>
      </c>
      <c r="P819" s="72">
        <v>2011</v>
      </c>
      <c r="Q819" s="71">
        <v>1836</v>
      </c>
    </row>
    <row r="820" spans="1:17">
      <c r="A820" s="286"/>
      <c r="B820" s="289"/>
      <c r="C820" s="289"/>
      <c r="D820" s="66" t="s">
        <v>415</v>
      </c>
      <c r="E820" t="s">
        <v>540</v>
      </c>
      <c r="G820" t="s">
        <v>427</v>
      </c>
      <c r="H820" s="65">
        <v>44958</v>
      </c>
      <c r="K820" s="71"/>
      <c r="L820" s="72"/>
      <c r="M820" s="71"/>
      <c r="N820" s="216"/>
      <c r="O820" s="71">
        <v>21980</v>
      </c>
      <c r="P820" s="72">
        <v>14206</v>
      </c>
      <c r="Q820" s="71">
        <v>7309</v>
      </c>
    </row>
    <row r="821" spans="1:17">
      <c r="A821" s="286"/>
      <c r="B821" s="289"/>
      <c r="C821" s="289"/>
      <c r="D821" s="66" t="s">
        <v>417</v>
      </c>
      <c r="E821" t="s">
        <v>539</v>
      </c>
      <c r="G821" t="s">
        <v>57</v>
      </c>
      <c r="H821" s="65">
        <v>44958</v>
      </c>
      <c r="K821" s="71"/>
      <c r="L821" s="72"/>
      <c r="M821" s="71"/>
      <c r="N821" s="216"/>
      <c r="O821" s="71">
        <v>32095</v>
      </c>
      <c r="P821" s="72">
        <v>36957</v>
      </c>
      <c r="Q821" s="71">
        <v>42009</v>
      </c>
    </row>
    <row r="822" spans="1:17">
      <c r="A822" s="286"/>
      <c r="B822" s="289"/>
      <c r="C822" s="289"/>
      <c r="D822" s="66" t="s">
        <v>417</v>
      </c>
      <c r="E822" t="s">
        <v>540</v>
      </c>
      <c r="G822" t="s">
        <v>57</v>
      </c>
      <c r="H822" s="65">
        <v>44958</v>
      </c>
      <c r="K822" s="71"/>
      <c r="L822" s="72"/>
      <c r="M822" s="71"/>
      <c r="N822" s="216"/>
      <c r="O822" s="71">
        <v>90347</v>
      </c>
      <c r="P822" s="72">
        <v>61349</v>
      </c>
      <c r="Q822" s="71">
        <v>31637</v>
      </c>
    </row>
    <row r="823" spans="1:17">
      <c r="A823" s="294"/>
      <c r="B823" s="293"/>
      <c r="C823" s="293"/>
      <c r="D823" s="66" t="s">
        <v>418</v>
      </c>
      <c r="H823" s="65">
        <v>44958</v>
      </c>
      <c r="K823" s="71"/>
      <c r="L823" s="72"/>
      <c r="M823" s="71"/>
      <c r="N823" s="217"/>
      <c r="O823" s="73"/>
      <c r="P823" s="72"/>
      <c r="Q823" s="73" t="s">
        <v>1245</v>
      </c>
    </row>
    <row r="824" spans="1:17">
      <c r="A824" s="295" t="s">
        <v>208</v>
      </c>
      <c r="B824" s="292" t="s">
        <v>209</v>
      </c>
      <c r="C824" s="296" t="s">
        <v>210</v>
      </c>
      <c r="D824" s="66" t="s">
        <v>411</v>
      </c>
      <c r="G824" t="s">
        <v>429</v>
      </c>
      <c r="H824" s="65">
        <v>44561</v>
      </c>
      <c r="K824" s="71">
        <v>66</v>
      </c>
      <c r="L824" s="72">
        <v>66.599999999999994</v>
      </c>
      <c r="M824" s="71">
        <v>61.4</v>
      </c>
      <c r="N824" s="216">
        <v>58.8</v>
      </c>
      <c r="O824" s="71">
        <v>55.5</v>
      </c>
      <c r="P824" s="72">
        <v>61.4</v>
      </c>
    </row>
    <row r="825" spans="1:17">
      <c r="A825" s="295"/>
      <c r="B825" s="289"/>
      <c r="C825" s="296"/>
      <c r="D825" s="66" t="s">
        <v>412</v>
      </c>
      <c r="E825" t="s">
        <v>413</v>
      </c>
      <c r="G825" t="s">
        <v>429</v>
      </c>
      <c r="H825" s="65">
        <v>44561</v>
      </c>
      <c r="K825" s="71">
        <v>0.5</v>
      </c>
      <c r="L825" s="72">
        <v>0.4</v>
      </c>
      <c r="M825" s="71">
        <v>0.4</v>
      </c>
      <c r="N825" s="216">
        <v>0.3</v>
      </c>
      <c r="O825" s="71">
        <v>0.2</v>
      </c>
      <c r="P825" s="72">
        <v>0.4</v>
      </c>
    </row>
    <row r="826" spans="1:17">
      <c r="A826" s="295"/>
      <c r="B826" s="289"/>
      <c r="C826" s="296"/>
      <c r="D826" s="66" t="s">
        <v>414</v>
      </c>
      <c r="E826" t="s">
        <v>413</v>
      </c>
      <c r="G826" t="s">
        <v>429</v>
      </c>
      <c r="H826" s="65">
        <v>44561</v>
      </c>
      <c r="K826" s="71">
        <v>66.5</v>
      </c>
      <c r="L826" s="72">
        <v>67</v>
      </c>
      <c r="M826" s="71">
        <v>61.8</v>
      </c>
      <c r="N826" s="216">
        <v>59.099999999999987</v>
      </c>
      <c r="O826" s="71">
        <v>55.7</v>
      </c>
      <c r="P826" s="72">
        <v>61.8</v>
      </c>
    </row>
    <row r="827" spans="1:17">
      <c r="A827" s="295"/>
      <c r="B827" s="289"/>
      <c r="C827" s="296"/>
      <c r="D827" s="66" t="s">
        <v>415</v>
      </c>
      <c r="E827" t="s">
        <v>416</v>
      </c>
      <c r="G827" t="s">
        <v>429</v>
      </c>
      <c r="H827" s="65">
        <v>44561</v>
      </c>
      <c r="K827" s="71">
        <v>459.9</v>
      </c>
      <c r="L827" s="72">
        <v>437.2</v>
      </c>
      <c r="M827" s="71">
        <v>412.3</v>
      </c>
      <c r="N827" s="216">
        <v>400.2</v>
      </c>
      <c r="O827" s="71">
        <v>410.5</v>
      </c>
      <c r="P827" s="72">
        <v>420.4</v>
      </c>
    </row>
    <row r="828" spans="1:17">
      <c r="A828" s="295"/>
      <c r="B828" s="289"/>
      <c r="C828" s="296"/>
      <c r="D828" s="66" t="s">
        <v>417</v>
      </c>
      <c r="G828" t="s">
        <v>181</v>
      </c>
      <c r="H828" s="65">
        <v>44561</v>
      </c>
      <c r="K828" s="71">
        <v>996.6600000000002</v>
      </c>
      <c r="L828" s="72">
        <v>996.6600000000002</v>
      </c>
      <c r="M828" s="71">
        <v>996.6600000000002</v>
      </c>
      <c r="N828" s="216">
        <v>996.6600000000002</v>
      </c>
      <c r="O828" s="71">
        <v>1021.05</v>
      </c>
      <c r="P828" s="72">
        <v>749.7</v>
      </c>
    </row>
    <row r="829" spans="1:17">
      <c r="A829" s="295"/>
      <c r="B829" s="293"/>
      <c r="C829" s="296"/>
      <c r="D829" s="66" t="s">
        <v>418</v>
      </c>
      <c r="H829" s="65"/>
      <c r="K829" s="71"/>
      <c r="L829" s="72"/>
      <c r="M829" s="71"/>
      <c r="N829" s="216"/>
      <c r="O829" s="71"/>
      <c r="P829" s="72"/>
    </row>
    <row r="830" spans="1:17">
      <c r="A830" s="295" t="s">
        <v>211</v>
      </c>
      <c r="B830" s="292" t="s">
        <v>212</v>
      </c>
      <c r="C830" s="296" t="s">
        <v>213</v>
      </c>
      <c r="D830" s="66" t="s">
        <v>411</v>
      </c>
      <c r="G830" t="s">
        <v>429</v>
      </c>
      <c r="H830" s="65">
        <v>44561</v>
      </c>
      <c r="K830" s="71"/>
      <c r="L830" s="72"/>
      <c r="M830" s="71"/>
      <c r="N830" s="216"/>
      <c r="O830" s="71"/>
      <c r="P830" s="72"/>
    </row>
    <row r="831" spans="1:17">
      <c r="A831" s="295"/>
      <c r="B831" s="289"/>
      <c r="C831" s="296"/>
      <c r="D831" s="66" t="s">
        <v>412</v>
      </c>
      <c r="E831" t="s">
        <v>413</v>
      </c>
      <c r="G831" t="s">
        <v>429</v>
      </c>
      <c r="H831" s="65">
        <v>44561</v>
      </c>
      <c r="K831" s="71"/>
      <c r="L831" s="72"/>
      <c r="M831" s="71"/>
      <c r="N831" s="216"/>
      <c r="O831" s="71"/>
      <c r="P831" s="72"/>
    </row>
    <row r="832" spans="1:17">
      <c r="A832" s="295"/>
      <c r="B832" s="289"/>
      <c r="C832" s="296"/>
      <c r="D832" s="66" t="s">
        <v>414</v>
      </c>
      <c r="E832" t="s">
        <v>413</v>
      </c>
      <c r="G832" t="s">
        <v>429</v>
      </c>
      <c r="H832" s="65">
        <v>44561</v>
      </c>
      <c r="K832" s="71"/>
      <c r="L832" s="72">
        <v>56.5</v>
      </c>
      <c r="M832" s="71">
        <v>50.1</v>
      </c>
      <c r="N832" s="216">
        <v>53.8</v>
      </c>
      <c r="O832" s="71">
        <v>48.3</v>
      </c>
      <c r="P832" s="72">
        <v>45.2</v>
      </c>
    </row>
    <row r="833" spans="1:16">
      <c r="A833" s="295"/>
      <c r="B833" s="289"/>
      <c r="C833" s="296"/>
      <c r="D833" s="66" t="s">
        <v>415</v>
      </c>
      <c r="E833" t="s">
        <v>416</v>
      </c>
      <c r="G833" t="s">
        <v>429</v>
      </c>
      <c r="H833" s="65">
        <v>44561</v>
      </c>
      <c r="K833" s="71"/>
      <c r="L833" s="84">
        <f>L834*431.87/1000000</f>
        <v>275.09193912063131</v>
      </c>
      <c r="M833" s="84">
        <f>M834*431.87/1000000</f>
        <v>291.59955525606466</v>
      </c>
      <c r="N833" s="216">
        <f>N834*431.87/1000000</f>
        <v>359.66882352941178</v>
      </c>
      <c r="O833" s="84">
        <f>O834*431.87/1000000</f>
        <v>316.52990895295898</v>
      </c>
      <c r="P833" s="84">
        <f>P834*431.87/1000000</f>
        <v>407.52659707724428</v>
      </c>
    </row>
    <row r="834" spans="1:16">
      <c r="A834" s="295"/>
      <c r="B834" s="289"/>
      <c r="C834" s="296"/>
      <c r="D834" s="66" t="s">
        <v>417</v>
      </c>
      <c r="G834" t="s">
        <v>215</v>
      </c>
      <c r="H834" s="65">
        <v>44561</v>
      </c>
      <c r="K834" s="71"/>
      <c r="L834" s="72">
        <v>636978.57948139799</v>
      </c>
      <c r="M834" s="71">
        <v>675202.15633423172</v>
      </c>
      <c r="N834" s="216">
        <v>832817.33746130043</v>
      </c>
      <c r="O834" s="71">
        <v>732928.67981790588</v>
      </c>
      <c r="P834" s="72">
        <v>943632.56784968683</v>
      </c>
    </row>
    <row r="835" spans="1:16">
      <c r="A835" s="295"/>
      <c r="B835" s="293"/>
      <c r="C835" s="296"/>
      <c r="D835" s="66" t="s">
        <v>418</v>
      </c>
      <c r="H835" s="65"/>
      <c r="K835" s="71"/>
      <c r="L835" s="72"/>
      <c r="M835" s="71"/>
      <c r="N835" s="216"/>
      <c r="O835" s="71"/>
      <c r="P835" s="72"/>
    </row>
    <row r="836" spans="1:16">
      <c r="A836" s="295" t="s">
        <v>216</v>
      </c>
      <c r="B836" s="292" t="s">
        <v>217</v>
      </c>
      <c r="C836" s="296" t="s">
        <v>218</v>
      </c>
      <c r="D836" s="66" t="s">
        <v>411</v>
      </c>
      <c r="G836" t="s">
        <v>429</v>
      </c>
      <c r="H836" s="65">
        <v>44561</v>
      </c>
      <c r="K836" s="71">
        <v>2.21654399278684</v>
      </c>
      <c r="L836" s="72">
        <v>2.25119156640157</v>
      </c>
      <c r="M836" s="71">
        <v>2.4511497723448499</v>
      </c>
      <c r="N836" s="216">
        <v>2.4417731948327601</v>
      </c>
      <c r="O836" s="71">
        <v>2.4929495902512899</v>
      </c>
      <c r="P836" s="72"/>
    </row>
    <row r="837" spans="1:16">
      <c r="A837" s="295"/>
      <c r="B837" s="289"/>
      <c r="C837" s="296"/>
      <c r="D837" s="66" t="s">
        <v>412</v>
      </c>
      <c r="E837" t="s">
        <v>413</v>
      </c>
      <c r="G837" t="s">
        <v>429</v>
      </c>
      <c r="H837" s="65">
        <v>44561</v>
      </c>
      <c r="K837" s="71">
        <v>0</v>
      </c>
      <c r="L837" s="72">
        <v>0</v>
      </c>
      <c r="M837" s="71">
        <v>0</v>
      </c>
      <c r="N837" s="216">
        <v>0</v>
      </c>
      <c r="O837" s="71">
        <v>0</v>
      </c>
      <c r="P837" s="72"/>
    </row>
    <row r="838" spans="1:16">
      <c r="A838" s="295"/>
      <c r="B838" s="289"/>
      <c r="C838" s="296"/>
      <c r="D838" s="66" t="s">
        <v>414</v>
      </c>
      <c r="E838" t="s">
        <v>413</v>
      </c>
      <c r="G838" t="s">
        <v>429</v>
      </c>
      <c r="H838" s="65">
        <v>44561</v>
      </c>
      <c r="K838" s="71">
        <v>2.21654399278684</v>
      </c>
      <c r="L838" s="72">
        <v>2.25119156640157</v>
      </c>
      <c r="M838" s="71">
        <v>2.4511497723448499</v>
      </c>
      <c r="N838" s="216">
        <v>2.4417731948327601</v>
      </c>
      <c r="O838" s="71">
        <v>2.4929495902512899</v>
      </c>
      <c r="P838" s="72"/>
    </row>
    <row r="839" spans="1:16">
      <c r="A839" s="295"/>
      <c r="B839" s="289"/>
      <c r="C839" s="296"/>
      <c r="D839" s="66" t="s">
        <v>415</v>
      </c>
      <c r="E839" t="s">
        <v>416</v>
      </c>
      <c r="G839" t="s">
        <v>429</v>
      </c>
      <c r="H839" s="65">
        <v>44561</v>
      </c>
      <c r="K839" s="71"/>
      <c r="L839" s="72"/>
      <c r="M839" s="71"/>
      <c r="N839" s="216"/>
      <c r="O839" s="71"/>
      <c r="P839" s="72"/>
    </row>
    <row r="840" spans="1:16">
      <c r="A840" s="295"/>
      <c r="B840" s="289"/>
      <c r="C840" s="296"/>
      <c r="D840" s="66" t="s">
        <v>417</v>
      </c>
      <c r="G840" t="s">
        <v>62</v>
      </c>
      <c r="H840" s="65">
        <v>44561</v>
      </c>
      <c r="K840" s="71">
        <v>32.993291999999997</v>
      </c>
      <c r="L840" s="72">
        <v>34.490223999999998</v>
      </c>
      <c r="M840" s="71">
        <v>32.281219999999998</v>
      </c>
      <c r="N840" s="216">
        <v>33.513361000000003</v>
      </c>
      <c r="O840" s="71">
        <v>28.915493999999999</v>
      </c>
      <c r="P840" s="72"/>
    </row>
    <row r="841" spans="1:16">
      <c r="A841" s="295"/>
      <c r="B841" s="293"/>
      <c r="C841" s="296"/>
      <c r="D841" s="66" t="s">
        <v>418</v>
      </c>
      <c r="H841" s="65"/>
      <c r="K841" s="71"/>
      <c r="L841" s="72"/>
      <c r="M841" s="71"/>
      <c r="N841" s="216"/>
      <c r="O841" s="71"/>
      <c r="P841" s="72"/>
    </row>
    <row r="842" spans="1:16">
      <c r="A842" s="295" t="s">
        <v>216</v>
      </c>
      <c r="B842" s="292" t="s">
        <v>217</v>
      </c>
      <c r="C842" s="296" t="s">
        <v>218</v>
      </c>
      <c r="D842" s="66" t="s">
        <v>411</v>
      </c>
      <c r="F842" t="s">
        <v>576</v>
      </c>
      <c r="G842" t="s">
        <v>428</v>
      </c>
      <c r="H842" s="65">
        <v>44743</v>
      </c>
      <c r="K842" s="71"/>
      <c r="L842" s="72">
        <f>2292218</f>
        <v>2292218</v>
      </c>
      <c r="M842" s="71">
        <f>2512130</f>
        <v>2512130</v>
      </c>
      <c r="N842" s="216">
        <f>2484127</f>
        <v>2484127</v>
      </c>
      <c r="O842" s="71">
        <f>2551853</f>
        <v>2551853</v>
      </c>
      <c r="P842" s="72">
        <f>2485379</f>
        <v>2485379</v>
      </c>
    </row>
    <row r="843" spans="1:16">
      <c r="A843" s="295"/>
      <c r="B843" s="289"/>
      <c r="C843" s="296"/>
      <c r="D843" s="66" t="s">
        <v>494</v>
      </c>
      <c r="F843" t="s">
        <v>595</v>
      </c>
      <c r="G843" t="s">
        <v>428</v>
      </c>
      <c r="H843" s="65">
        <v>44743</v>
      </c>
      <c r="K843" s="71"/>
      <c r="L843" s="72">
        <f>6520676</f>
        <v>6520676</v>
      </c>
      <c r="M843" s="71">
        <f>4889538</f>
        <v>4889538</v>
      </c>
      <c r="N843" s="216">
        <f>43665</f>
        <v>43665</v>
      </c>
      <c r="O843" s="71">
        <f>2601009</f>
        <v>2601009</v>
      </c>
      <c r="P843" s="72">
        <f>1477808</f>
        <v>1477808</v>
      </c>
    </row>
    <row r="844" spans="1:16">
      <c r="A844" s="295"/>
      <c r="B844" s="289"/>
      <c r="C844" s="296"/>
      <c r="D844" s="66" t="s">
        <v>415</v>
      </c>
      <c r="E844" t="s">
        <v>416</v>
      </c>
      <c r="G844" t="s">
        <v>428</v>
      </c>
      <c r="H844" s="65">
        <v>44743</v>
      </c>
      <c r="K844" s="71"/>
      <c r="L844" s="72"/>
      <c r="M844" s="71"/>
      <c r="N844" s="216"/>
      <c r="O844" s="71"/>
      <c r="P844" s="72"/>
    </row>
    <row r="845" spans="1:16">
      <c r="A845" s="295"/>
      <c r="B845" s="289"/>
      <c r="C845" s="296"/>
      <c r="D845" s="66" t="s">
        <v>417</v>
      </c>
      <c r="E845" t="s">
        <v>449</v>
      </c>
      <c r="G845" t="s">
        <v>79</v>
      </c>
      <c r="H845" s="65">
        <v>44743</v>
      </c>
      <c r="K845" s="71"/>
      <c r="L845" s="72">
        <f>34861494</f>
        <v>34861494</v>
      </c>
      <c r="M845" s="71">
        <f>32723899</f>
        <v>32723899</v>
      </c>
      <c r="N845" s="216">
        <f>33849390</f>
        <v>33849390</v>
      </c>
      <c r="O845" s="71">
        <f>29325778</f>
        <v>29325778</v>
      </c>
      <c r="P845" s="72">
        <f>27286927</f>
        <v>27286927</v>
      </c>
    </row>
    <row r="846" spans="1:16">
      <c r="A846" s="295"/>
      <c r="B846" s="289"/>
      <c r="C846" s="296"/>
      <c r="D846" s="66" t="s">
        <v>449</v>
      </c>
      <c r="E846" t="s">
        <v>462</v>
      </c>
      <c r="G846" t="s">
        <v>79</v>
      </c>
      <c r="H846" s="65">
        <v>44743</v>
      </c>
      <c r="K846" s="71"/>
      <c r="L846" s="72">
        <v>0</v>
      </c>
      <c r="M846" s="71">
        <v>0</v>
      </c>
      <c r="N846" s="216">
        <v>0</v>
      </c>
      <c r="O846" s="71">
        <v>0</v>
      </c>
      <c r="P846" s="72">
        <v>0</v>
      </c>
    </row>
    <row r="847" spans="1:16">
      <c r="A847" s="295"/>
      <c r="B847" s="289"/>
      <c r="C847" s="296"/>
      <c r="D847" s="66" t="s">
        <v>449</v>
      </c>
      <c r="E847" t="s">
        <v>463</v>
      </c>
      <c r="G847" t="s">
        <v>79</v>
      </c>
      <c r="H847" s="65">
        <v>44743</v>
      </c>
      <c r="K847" s="71"/>
      <c r="L847" s="72">
        <f>5712489</f>
        <v>5712489</v>
      </c>
      <c r="M847" s="71">
        <f>6332313</f>
        <v>6332313</v>
      </c>
      <c r="N847" s="216">
        <f>6320299</f>
        <v>6320299</v>
      </c>
      <c r="O847" s="71">
        <f>6393192</f>
        <v>6393192</v>
      </c>
      <c r="P847" s="72">
        <f>6171690</f>
        <v>6171690</v>
      </c>
    </row>
    <row r="848" spans="1:16">
      <c r="A848" s="295"/>
      <c r="B848" s="289"/>
      <c r="C848" s="296"/>
      <c r="D848" s="66" t="s">
        <v>449</v>
      </c>
      <c r="E848" t="s">
        <v>464</v>
      </c>
      <c r="G848" t="s">
        <v>79</v>
      </c>
      <c r="H848" s="65">
        <v>44743</v>
      </c>
      <c r="K848" s="71"/>
      <c r="L848" s="72">
        <f>17951387</f>
        <v>17951387</v>
      </c>
      <c r="M848" s="71">
        <f>18267795</f>
        <v>18267795</v>
      </c>
      <c r="N848" s="216">
        <f>16195079</f>
        <v>16195079</v>
      </c>
      <c r="O848" s="71">
        <f>16310328</f>
        <v>16310328</v>
      </c>
      <c r="P848" s="72">
        <f>16474378</f>
        <v>16474378</v>
      </c>
    </row>
    <row r="849" spans="1:16">
      <c r="A849" s="295"/>
      <c r="B849" s="289"/>
      <c r="C849" s="296"/>
      <c r="D849" s="66" t="s">
        <v>449</v>
      </c>
      <c r="E849" t="s">
        <v>488</v>
      </c>
      <c r="G849" t="s">
        <v>79</v>
      </c>
      <c r="H849" s="65">
        <v>44743</v>
      </c>
      <c r="K849" s="71"/>
      <c r="L849" s="72">
        <v>0</v>
      </c>
      <c r="M849" s="71">
        <v>0</v>
      </c>
      <c r="N849" s="216">
        <v>0</v>
      </c>
      <c r="O849" s="71">
        <v>0</v>
      </c>
      <c r="P849" s="72">
        <v>0</v>
      </c>
    </row>
    <row r="850" spans="1:16">
      <c r="A850" s="295"/>
      <c r="B850" s="289"/>
      <c r="C850" s="296"/>
      <c r="D850" s="66" t="s">
        <v>449</v>
      </c>
      <c r="E850" t="s">
        <v>471</v>
      </c>
      <c r="G850" t="s">
        <v>79</v>
      </c>
      <c r="H850" s="65">
        <v>44743</v>
      </c>
      <c r="K850" s="71"/>
      <c r="L850" s="72">
        <f>11197618</f>
        <v>11197618</v>
      </c>
      <c r="M850" s="71">
        <f>8123791</f>
        <v>8123791</v>
      </c>
      <c r="N850" s="216">
        <f>11334012</f>
        <v>11334012</v>
      </c>
      <c r="O850" s="71">
        <f>6622259</f>
        <v>6622259</v>
      </c>
      <c r="P850" s="72">
        <f>4640859</f>
        <v>4640859</v>
      </c>
    </row>
    <row r="851" spans="1:16">
      <c r="A851" s="295"/>
      <c r="B851" s="289"/>
      <c r="C851" s="296"/>
      <c r="D851" s="66" t="s">
        <v>449</v>
      </c>
      <c r="E851" t="s">
        <v>489</v>
      </c>
      <c r="G851" t="s">
        <v>79</v>
      </c>
      <c r="H851" s="65">
        <v>44743</v>
      </c>
      <c r="K851" s="71"/>
      <c r="L851" s="72">
        <v>0</v>
      </c>
      <c r="M851" s="71">
        <v>0</v>
      </c>
      <c r="N851" s="216">
        <v>0</v>
      </c>
      <c r="O851" s="71">
        <v>0</v>
      </c>
      <c r="P851" s="72">
        <v>0</v>
      </c>
    </row>
    <row r="852" spans="1:16">
      <c r="A852" s="295"/>
      <c r="B852" s="289"/>
      <c r="C852" s="296"/>
      <c r="D852" s="66" t="s">
        <v>449</v>
      </c>
      <c r="E852" t="s">
        <v>490</v>
      </c>
      <c r="G852" t="s">
        <v>79</v>
      </c>
      <c r="H852" s="65">
        <v>44743</v>
      </c>
      <c r="K852" s="71"/>
      <c r="L852" s="72">
        <v>0</v>
      </c>
      <c r="M852" s="71">
        <v>0</v>
      </c>
      <c r="N852" s="216">
        <v>0</v>
      </c>
      <c r="O852" s="71">
        <v>0</v>
      </c>
      <c r="P852" s="72">
        <v>0</v>
      </c>
    </row>
    <row r="853" spans="1:16">
      <c r="A853" s="295"/>
      <c r="B853" s="289"/>
      <c r="C853" s="296"/>
      <c r="D853" s="66" t="s">
        <v>449</v>
      </c>
      <c r="E853" t="s">
        <v>466</v>
      </c>
      <c r="G853" t="s">
        <v>79</v>
      </c>
      <c r="H853" s="65">
        <v>44743</v>
      </c>
      <c r="K853" s="71"/>
      <c r="L853" s="72">
        <f>10899671</f>
        <v>10899671</v>
      </c>
      <c r="M853" s="71">
        <v>7813589</v>
      </c>
      <c r="N853" s="216">
        <v>11051282</v>
      </c>
      <c r="O853" s="71">
        <v>6345383</v>
      </c>
      <c r="P853" s="72">
        <v>4394891</v>
      </c>
    </row>
    <row r="854" spans="1:16">
      <c r="A854" s="295"/>
      <c r="B854" s="289"/>
      <c r="C854" s="296"/>
      <c r="D854" s="66" t="s">
        <v>449</v>
      </c>
      <c r="E854" t="s">
        <v>468</v>
      </c>
      <c r="G854" t="s">
        <v>79</v>
      </c>
      <c r="H854" s="65">
        <v>44743</v>
      </c>
      <c r="K854" s="71"/>
      <c r="L854" s="72">
        <f>297947</f>
        <v>297947</v>
      </c>
      <c r="M854" s="71">
        <f>310202</f>
        <v>310202</v>
      </c>
      <c r="N854" s="216">
        <f>282730</f>
        <v>282730</v>
      </c>
      <c r="O854" s="71">
        <f>276876</f>
        <v>276876</v>
      </c>
      <c r="P854" s="72">
        <f>245968</f>
        <v>245968</v>
      </c>
    </row>
    <row r="855" spans="1:16">
      <c r="A855" s="295"/>
      <c r="B855" s="289"/>
      <c r="C855" s="296"/>
      <c r="D855" s="66" t="s">
        <v>449</v>
      </c>
      <c r="E855" t="s">
        <v>469</v>
      </c>
      <c r="G855" t="s">
        <v>79</v>
      </c>
      <c r="H855" s="65">
        <v>44743</v>
      </c>
      <c r="K855" s="71"/>
      <c r="L855" s="72">
        <v>0</v>
      </c>
      <c r="M855" s="71">
        <v>0</v>
      </c>
      <c r="N855" s="216">
        <v>0</v>
      </c>
      <c r="O855" s="71">
        <v>0</v>
      </c>
      <c r="P855" s="72">
        <v>0</v>
      </c>
    </row>
    <row r="856" spans="1:16">
      <c r="A856" s="295"/>
      <c r="B856" s="289"/>
      <c r="C856" s="296"/>
      <c r="D856" s="66" t="s">
        <v>449</v>
      </c>
      <c r="E856" t="s">
        <v>470</v>
      </c>
      <c r="G856" t="s">
        <v>79</v>
      </c>
      <c r="H856" s="65">
        <v>44743</v>
      </c>
      <c r="K856" s="71"/>
      <c r="L856" s="72" t="s">
        <v>495</v>
      </c>
      <c r="M856" s="72" t="s">
        <v>495</v>
      </c>
      <c r="N856" s="216" t="s">
        <v>495</v>
      </c>
      <c r="O856" s="72" t="s">
        <v>495</v>
      </c>
      <c r="P856" s="72" t="s">
        <v>495</v>
      </c>
    </row>
    <row r="857" spans="1:16">
      <c r="A857" s="295"/>
      <c r="B857" s="293"/>
      <c r="C857" s="296"/>
      <c r="D857" s="66" t="s">
        <v>418</v>
      </c>
      <c r="H857" s="65"/>
      <c r="K857" s="71"/>
      <c r="L857" s="72"/>
      <c r="M857" s="71"/>
      <c r="N857" s="216"/>
      <c r="O857" s="71"/>
      <c r="P857" s="72" t="s">
        <v>496</v>
      </c>
    </row>
    <row r="858" spans="1:16">
      <c r="A858" s="295" t="s">
        <v>219</v>
      </c>
      <c r="B858" s="292" t="s">
        <v>220</v>
      </c>
      <c r="C858" s="296" t="s">
        <v>221</v>
      </c>
      <c r="D858" s="66" t="s">
        <v>411</v>
      </c>
      <c r="G858" t="s">
        <v>428</v>
      </c>
      <c r="H858" s="65">
        <v>44561</v>
      </c>
      <c r="K858" s="71"/>
      <c r="L858" s="72"/>
      <c r="M858" s="86">
        <v>5510923</v>
      </c>
      <c r="N858" s="239">
        <v>5571587</v>
      </c>
      <c r="O858" s="86">
        <v>5381589</v>
      </c>
      <c r="P858" s="85">
        <v>5423861</v>
      </c>
    </row>
    <row r="859" spans="1:16">
      <c r="A859" s="295"/>
      <c r="B859" s="289"/>
      <c r="C859" s="296"/>
      <c r="D859" s="66" t="s">
        <v>412</v>
      </c>
      <c r="E859" t="s">
        <v>413</v>
      </c>
      <c r="G859" t="s">
        <v>428</v>
      </c>
      <c r="H859" s="65">
        <v>44561</v>
      </c>
      <c r="K859" s="71"/>
      <c r="L859" s="72"/>
      <c r="M859" s="71">
        <v>0</v>
      </c>
      <c r="N859" s="216">
        <v>0</v>
      </c>
      <c r="O859" s="71">
        <v>0</v>
      </c>
      <c r="P859" s="72">
        <v>0</v>
      </c>
    </row>
    <row r="860" spans="1:16">
      <c r="A860" s="295"/>
      <c r="B860" s="289"/>
      <c r="C860" s="296"/>
      <c r="D860" s="66" t="s">
        <v>415</v>
      </c>
      <c r="E860" t="s">
        <v>416</v>
      </c>
      <c r="G860" t="s">
        <v>428</v>
      </c>
      <c r="H860" s="65">
        <v>44561</v>
      </c>
      <c r="K860" s="71"/>
      <c r="L860" s="72"/>
      <c r="M860" s="71"/>
      <c r="N860" s="216"/>
      <c r="O860" s="71"/>
      <c r="P860" s="72"/>
    </row>
    <row r="861" spans="1:16">
      <c r="A861" s="295"/>
      <c r="B861" s="289"/>
      <c r="C861" s="296"/>
      <c r="D861" s="66" t="s">
        <v>417</v>
      </c>
      <c r="G861" t="s">
        <v>79</v>
      </c>
      <c r="H861" s="65">
        <v>44561</v>
      </c>
      <c r="K861" s="71"/>
      <c r="L861" s="72"/>
      <c r="M861" s="86">
        <v>11177523</v>
      </c>
      <c r="N861" s="239">
        <v>12279388</v>
      </c>
      <c r="O861" s="86">
        <v>12363763</v>
      </c>
      <c r="P861" s="85">
        <v>14315320</v>
      </c>
    </row>
    <row r="862" spans="1:16">
      <c r="A862" s="295"/>
      <c r="B862" s="293"/>
      <c r="C862" s="296"/>
      <c r="D862" s="66" t="s">
        <v>473</v>
      </c>
      <c r="H862" s="65"/>
      <c r="K862" s="71"/>
      <c r="L862" s="72"/>
      <c r="M862" s="71"/>
      <c r="N862" s="216"/>
      <c r="O862" s="71"/>
      <c r="P862" s="74" t="s">
        <v>1115</v>
      </c>
    </row>
    <row r="863" spans="1:16">
      <c r="A863" s="295" t="s">
        <v>222</v>
      </c>
      <c r="B863" s="292" t="s">
        <v>223</v>
      </c>
      <c r="C863" s="296" t="s">
        <v>224</v>
      </c>
      <c r="D863" s="66" t="s">
        <v>411</v>
      </c>
      <c r="G863" t="s">
        <v>428</v>
      </c>
      <c r="H863" s="65">
        <v>44561</v>
      </c>
      <c r="K863" s="71">
        <v>81309800</v>
      </c>
      <c r="L863" s="72">
        <v>75633360</v>
      </c>
      <c r="M863" s="71">
        <v>77391479</v>
      </c>
      <c r="N863" s="216">
        <v>79447924</v>
      </c>
      <c r="O863" s="71">
        <v>75069656</v>
      </c>
      <c r="P863" s="72"/>
    </row>
    <row r="864" spans="1:16">
      <c r="A864" s="295"/>
      <c r="B864" s="289"/>
      <c r="C864" s="296"/>
      <c r="D864" s="66" t="s">
        <v>412</v>
      </c>
      <c r="E864" t="s">
        <v>413</v>
      </c>
      <c r="G864" t="s">
        <v>428</v>
      </c>
      <c r="H864" s="65">
        <v>44561</v>
      </c>
      <c r="K864" s="71">
        <v>3715700</v>
      </c>
      <c r="L864" s="72">
        <v>1107681</v>
      </c>
      <c r="M864" s="71">
        <v>1106964</v>
      </c>
      <c r="N864" s="216">
        <v>815966</v>
      </c>
      <c r="O864" s="71">
        <v>580226</v>
      </c>
      <c r="P864" s="72"/>
    </row>
    <row r="865" spans="1:16">
      <c r="A865" s="295"/>
      <c r="B865" s="289"/>
      <c r="C865" s="296"/>
      <c r="D865" s="66" t="s">
        <v>414</v>
      </c>
      <c r="E865" t="s">
        <v>413</v>
      </c>
      <c r="G865" t="s">
        <v>428</v>
      </c>
      <c r="H865" s="65">
        <v>44561</v>
      </c>
      <c r="K865" s="71">
        <v>85025500</v>
      </c>
      <c r="L865" s="72">
        <v>76741041</v>
      </c>
      <c r="M865" s="71">
        <v>78498443</v>
      </c>
      <c r="N865" s="216">
        <v>80263890</v>
      </c>
      <c r="O865" s="71">
        <v>75649882</v>
      </c>
      <c r="P865" s="72"/>
    </row>
    <row r="866" spans="1:16">
      <c r="A866" s="295"/>
      <c r="B866" s="289"/>
      <c r="C866" s="296"/>
      <c r="D866" s="66" t="s">
        <v>415</v>
      </c>
      <c r="E866" t="s">
        <v>416</v>
      </c>
      <c r="G866" t="s">
        <v>428</v>
      </c>
      <c r="H866" s="65">
        <v>44561</v>
      </c>
      <c r="K866" s="71">
        <v>18044000</v>
      </c>
      <c r="L866" s="72">
        <v>18044000</v>
      </c>
      <c r="M866" s="71">
        <v>18903000</v>
      </c>
      <c r="N866" s="216">
        <v>13139000</v>
      </c>
      <c r="O866" s="71">
        <v>11951000</v>
      </c>
      <c r="P866" s="72"/>
    </row>
    <row r="867" spans="1:16">
      <c r="A867" s="295"/>
      <c r="B867" s="289"/>
      <c r="C867" s="296"/>
      <c r="D867" s="66" t="s">
        <v>417</v>
      </c>
      <c r="G867" t="s">
        <v>96</v>
      </c>
      <c r="H867" s="65">
        <v>44561</v>
      </c>
      <c r="K867" s="71">
        <v>42199000</v>
      </c>
      <c r="L867" s="72">
        <v>37207000</v>
      </c>
      <c r="M867" s="71">
        <v>37735000</v>
      </c>
      <c r="N867" s="216">
        <v>38007000</v>
      </c>
      <c r="O867" s="71">
        <v>35935000</v>
      </c>
      <c r="P867" s="72"/>
    </row>
    <row r="868" spans="1:16">
      <c r="A868" s="295"/>
      <c r="B868" s="293"/>
      <c r="C868" s="296"/>
      <c r="D868" s="66" t="s">
        <v>418</v>
      </c>
      <c r="H868" s="65"/>
      <c r="K868" s="71"/>
      <c r="L868" s="72"/>
      <c r="M868" s="71"/>
      <c r="N868" s="216"/>
      <c r="O868" s="71"/>
      <c r="P868" s="72"/>
    </row>
    <row r="869" spans="1:16">
      <c r="A869" s="295" t="s">
        <v>222</v>
      </c>
      <c r="B869" s="292" t="s">
        <v>223</v>
      </c>
      <c r="C869" s="296" t="s">
        <v>224</v>
      </c>
      <c r="D869" s="66" t="s">
        <v>411</v>
      </c>
      <c r="G869" t="s">
        <v>428</v>
      </c>
      <c r="H869" s="65">
        <v>44804</v>
      </c>
      <c r="K869" s="71"/>
      <c r="L869" s="72"/>
      <c r="M869" s="71">
        <v>78498443</v>
      </c>
      <c r="N869" s="216">
        <v>80263890</v>
      </c>
      <c r="O869" s="71">
        <v>75649882</v>
      </c>
      <c r="P869" s="72">
        <v>78490205</v>
      </c>
    </row>
    <row r="870" spans="1:16">
      <c r="A870" s="295"/>
      <c r="B870" s="289"/>
      <c r="C870" s="296"/>
      <c r="D870" s="66" t="s">
        <v>577</v>
      </c>
      <c r="G870" t="s">
        <v>608</v>
      </c>
      <c r="H870" s="65">
        <v>44804</v>
      </c>
      <c r="K870" s="71"/>
      <c r="L870" s="72"/>
      <c r="M870" s="71">
        <v>2.08</v>
      </c>
      <c r="N870" s="216">
        <v>2.11</v>
      </c>
      <c r="O870" s="71">
        <v>2.11</v>
      </c>
      <c r="P870" s="72">
        <v>2.0499999999999998</v>
      </c>
    </row>
    <row r="871" spans="1:16">
      <c r="A871" s="295"/>
      <c r="B871" s="289"/>
      <c r="C871" s="296"/>
      <c r="D871" s="66" t="s">
        <v>412</v>
      </c>
      <c r="E871" t="s">
        <v>413</v>
      </c>
      <c r="G871" t="s">
        <v>428</v>
      </c>
      <c r="H871" s="65">
        <v>44804</v>
      </c>
      <c r="K871" s="71"/>
      <c r="L871" s="72"/>
      <c r="M871" s="71">
        <v>1106964</v>
      </c>
      <c r="N871" s="216">
        <v>815966</v>
      </c>
      <c r="O871" s="71">
        <v>580226</v>
      </c>
      <c r="P871" s="72">
        <v>1389117</v>
      </c>
    </row>
    <row r="872" spans="1:16">
      <c r="A872" s="295"/>
      <c r="B872" s="289"/>
      <c r="C872" s="296"/>
      <c r="D872" s="66" t="s">
        <v>415</v>
      </c>
      <c r="E872" t="s">
        <v>416</v>
      </c>
      <c r="G872" t="s">
        <v>428</v>
      </c>
      <c r="H872" s="65">
        <v>44804</v>
      </c>
      <c r="K872" s="71"/>
      <c r="L872" s="72"/>
      <c r="M872" s="71">
        <v>18903000</v>
      </c>
      <c r="N872" s="216">
        <v>13139000</v>
      </c>
      <c r="O872" s="71">
        <v>11951000</v>
      </c>
      <c r="P872" s="72">
        <v>12872905</v>
      </c>
    </row>
    <row r="873" spans="1:16">
      <c r="A873" s="295"/>
      <c r="B873" s="289"/>
      <c r="C873" s="296"/>
      <c r="D873" s="66" t="s">
        <v>415</v>
      </c>
      <c r="E873" t="s">
        <v>499</v>
      </c>
      <c r="G873" t="s">
        <v>428</v>
      </c>
      <c r="H873" s="65">
        <v>44804</v>
      </c>
      <c r="K873" s="71"/>
      <c r="L873" s="72"/>
      <c r="M873" s="71">
        <v>986</v>
      </c>
      <c r="N873" s="216">
        <v>936</v>
      </c>
      <c r="O873" s="71">
        <v>903</v>
      </c>
      <c r="P873" s="72">
        <v>1606</v>
      </c>
    </row>
    <row r="874" spans="1:16">
      <c r="A874" s="295"/>
      <c r="B874" s="289"/>
      <c r="C874" s="296"/>
      <c r="D874" s="66" t="s">
        <v>415</v>
      </c>
      <c r="E874" t="s">
        <v>458</v>
      </c>
      <c r="G874" t="s">
        <v>428</v>
      </c>
      <c r="H874" s="65">
        <v>44804</v>
      </c>
      <c r="K874" s="71"/>
      <c r="L874" s="72"/>
      <c r="M874" s="71">
        <v>7</v>
      </c>
      <c r="N874" s="216">
        <v>5</v>
      </c>
      <c r="O874" s="71">
        <v>6</v>
      </c>
      <c r="P874" s="72">
        <v>9</v>
      </c>
    </row>
    <row r="875" spans="1:16">
      <c r="A875" s="295"/>
      <c r="B875" s="289"/>
      <c r="C875" s="296"/>
      <c r="D875" s="66" t="s">
        <v>415</v>
      </c>
      <c r="E875" t="s">
        <v>459</v>
      </c>
      <c r="G875" t="s">
        <v>428</v>
      </c>
      <c r="H875" s="65">
        <v>44804</v>
      </c>
      <c r="K875" s="71"/>
      <c r="L875" s="72"/>
      <c r="M875" s="71">
        <v>0.6</v>
      </c>
      <c r="N875" s="216">
        <v>0.8</v>
      </c>
      <c r="O875" s="71">
        <v>0.4</v>
      </c>
      <c r="P875" s="72">
        <v>0.2</v>
      </c>
    </row>
    <row r="876" spans="1:16">
      <c r="A876" s="295"/>
      <c r="B876" s="289"/>
      <c r="C876" s="296"/>
      <c r="D876" s="66" t="s">
        <v>415</v>
      </c>
      <c r="E876" t="s">
        <v>497</v>
      </c>
      <c r="G876" t="s">
        <v>428</v>
      </c>
      <c r="H876" s="65">
        <v>44804</v>
      </c>
      <c r="K876" s="71"/>
      <c r="L876" s="72"/>
      <c r="M876" s="71">
        <v>2997</v>
      </c>
      <c r="N876" s="216">
        <v>3287</v>
      </c>
      <c r="O876" s="71">
        <v>3332</v>
      </c>
      <c r="P876" s="72">
        <v>3423</v>
      </c>
    </row>
    <row r="877" spans="1:16">
      <c r="A877" s="295"/>
      <c r="B877" s="289"/>
      <c r="C877" s="296"/>
      <c r="D877" s="66" t="s">
        <v>415</v>
      </c>
      <c r="E877" t="s">
        <v>607</v>
      </c>
      <c r="G877" t="s">
        <v>428</v>
      </c>
      <c r="H877" s="65">
        <v>44804</v>
      </c>
      <c r="K877" s="71"/>
      <c r="L877" s="72"/>
      <c r="M877" s="71">
        <v>2180</v>
      </c>
      <c r="N877" s="216">
        <v>2184</v>
      </c>
      <c r="O877" s="71">
        <v>2014</v>
      </c>
      <c r="P877" s="72">
        <v>2087</v>
      </c>
    </row>
    <row r="878" spans="1:16">
      <c r="A878" s="295"/>
      <c r="B878" s="289"/>
      <c r="C878" s="296"/>
      <c r="D878" s="66" t="s">
        <v>415</v>
      </c>
      <c r="E878" t="s">
        <v>501</v>
      </c>
      <c r="G878" t="s">
        <v>428</v>
      </c>
      <c r="H878" s="65">
        <v>44804</v>
      </c>
      <c r="K878" s="71"/>
      <c r="L878" s="72"/>
      <c r="M878" s="71">
        <v>12733</v>
      </c>
      <c r="N878" s="216">
        <v>6725</v>
      </c>
      <c r="O878" s="71">
        <v>5696</v>
      </c>
      <c r="P878" s="72">
        <v>5748</v>
      </c>
    </row>
    <row r="879" spans="1:16">
      <c r="A879" s="295"/>
      <c r="B879" s="289"/>
      <c r="C879" s="296"/>
      <c r="D879" s="66" t="s">
        <v>417</v>
      </c>
      <c r="G879" t="s">
        <v>505</v>
      </c>
      <c r="H879" s="65">
        <v>44804</v>
      </c>
      <c r="K879" s="71"/>
      <c r="L879" s="72"/>
      <c r="M879" s="71">
        <v>37735</v>
      </c>
      <c r="N879" s="216">
        <v>38007</v>
      </c>
      <c r="O879" s="71">
        <v>35935</v>
      </c>
      <c r="P879" s="72">
        <v>38263</v>
      </c>
    </row>
    <row r="880" spans="1:16">
      <c r="A880" s="295"/>
      <c r="B880" s="293"/>
      <c r="C880" s="296"/>
      <c r="D880" s="66" t="s">
        <v>418</v>
      </c>
      <c r="H880" s="65">
        <v>44804</v>
      </c>
      <c r="K880" s="71"/>
      <c r="L880" s="72"/>
      <c r="M880" s="71"/>
      <c r="N880" s="216"/>
      <c r="O880" s="71"/>
      <c r="P880" s="74" t="s">
        <v>606</v>
      </c>
    </row>
    <row r="881" spans="1:16">
      <c r="A881" s="295" t="s">
        <v>226</v>
      </c>
      <c r="B881" s="292" t="s">
        <v>227</v>
      </c>
      <c r="C881" s="296" t="s">
        <v>228</v>
      </c>
      <c r="D881" s="66" t="s">
        <v>411</v>
      </c>
      <c r="G881" t="s">
        <v>429</v>
      </c>
      <c r="H881" s="65">
        <v>44561</v>
      </c>
      <c r="K881" s="71">
        <v>30.0884872251346</v>
      </c>
      <c r="L881" s="72">
        <v>30.248371457395901</v>
      </c>
      <c r="M881" s="71">
        <v>31.6114690424515</v>
      </c>
      <c r="N881" s="216">
        <v>28.7789153183409</v>
      </c>
      <c r="O881" s="71">
        <v>26.356336337583201</v>
      </c>
      <c r="P881" s="72"/>
    </row>
    <row r="882" spans="1:16">
      <c r="A882" s="295"/>
      <c r="B882" s="289"/>
      <c r="C882" s="296"/>
      <c r="D882" s="66" t="s">
        <v>412</v>
      </c>
      <c r="E882" t="s">
        <v>413</v>
      </c>
      <c r="G882" t="s">
        <v>429</v>
      </c>
      <c r="H882" s="65">
        <v>44561</v>
      </c>
      <c r="K882" s="71">
        <v>0</v>
      </c>
      <c r="L882" s="72">
        <v>0</v>
      </c>
      <c r="M882" s="71">
        <v>0</v>
      </c>
      <c r="N882" s="216">
        <v>0</v>
      </c>
      <c r="O882" s="71">
        <v>0</v>
      </c>
      <c r="P882" s="72"/>
    </row>
    <row r="883" spans="1:16">
      <c r="A883" s="295"/>
      <c r="B883" s="289"/>
      <c r="C883" s="296"/>
      <c r="D883" s="66" t="s">
        <v>414</v>
      </c>
      <c r="E883" t="s">
        <v>413</v>
      </c>
      <c r="G883" t="s">
        <v>429</v>
      </c>
      <c r="H883" s="65">
        <v>44561</v>
      </c>
      <c r="K883" s="71">
        <v>30.0884872251346</v>
      </c>
      <c r="L883" s="72">
        <v>30.248371457395901</v>
      </c>
      <c r="M883" s="71">
        <v>31.6114690424515</v>
      </c>
      <c r="N883" s="216">
        <v>28.7789153183409</v>
      </c>
      <c r="O883" s="71">
        <v>26.356336337583201</v>
      </c>
      <c r="P883" s="72"/>
    </row>
    <row r="884" spans="1:16">
      <c r="A884" s="295"/>
      <c r="B884" s="289"/>
      <c r="C884" s="296"/>
      <c r="D884" s="66" t="s">
        <v>415</v>
      </c>
      <c r="E884" t="s">
        <v>416</v>
      </c>
      <c r="G884" t="s">
        <v>429</v>
      </c>
      <c r="H884" s="65">
        <v>44561</v>
      </c>
      <c r="K884" s="71"/>
      <c r="L884" s="72"/>
      <c r="M884" s="71"/>
      <c r="N884" s="216"/>
      <c r="O884" s="71"/>
      <c r="P884" s="72"/>
    </row>
    <row r="885" spans="1:16">
      <c r="A885" s="295"/>
      <c r="B885" s="289"/>
      <c r="C885" s="296"/>
      <c r="D885" s="66" t="s">
        <v>417</v>
      </c>
      <c r="G885" t="s">
        <v>62</v>
      </c>
      <c r="H885" s="65">
        <v>44561</v>
      </c>
      <c r="K885" s="71">
        <v>34.6132211708955</v>
      </c>
      <c r="L885" s="72">
        <v>33.532868484328297</v>
      </c>
      <c r="M885" s="71">
        <v>35.571970040298503</v>
      </c>
      <c r="N885" s="216">
        <v>33.152931723134301</v>
      </c>
      <c r="O885" s="71">
        <v>30.552479561194001</v>
      </c>
      <c r="P885" s="72"/>
    </row>
    <row r="886" spans="1:16">
      <c r="A886" s="295"/>
      <c r="B886" s="293"/>
      <c r="C886" s="296"/>
      <c r="D886" s="66" t="s">
        <v>418</v>
      </c>
      <c r="H886" s="65"/>
      <c r="K886" s="71"/>
      <c r="L886" s="72"/>
      <c r="M886" s="71"/>
      <c r="N886" s="216"/>
      <c r="O886" s="71"/>
      <c r="P886" s="72"/>
    </row>
    <row r="887" spans="1:16">
      <c r="A887" s="295" t="s">
        <v>226</v>
      </c>
      <c r="B887" s="292" t="s">
        <v>227</v>
      </c>
      <c r="C887" s="296" t="s">
        <v>228</v>
      </c>
      <c r="D887" s="66" t="s">
        <v>575</v>
      </c>
      <c r="H887" s="65">
        <v>44561</v>
      </c>
      <c r="I887" s="90">
        <v>2010</v>
      </c>
      <c r="K887" s="71"/>
      <c r="L887" s="72"/>
      <c r="M887" s="71"/>
      <c r="N887" s="216"/>
      <c r="O887" s="71"/>
      <c r="P887" s="72"/>
    </row>
    <row r="888" spans="1:16">
      <c r="A888" s="295"/>
      <c r="B888" s="289"/>
      <c r="C888" s="296"/>
      <c r="D888" s="66" t="s">
        <v>411</v>
      </c>
      <c r="E888" t="s">
        <v>449</v>
      </c>
      <c r="G888" t="s">
        <v>428</v>
      </c>
      <c r="H888" s="65">
        <v>44561</v>
      </c>
      <c r="I888" s="90">
        <v>60736086</v>
      </c>
      <c r="K888" s="71"/>
      <c r="L888" s="72">
        <v>28407677</v>
      </c>
      <c r="M888" s="71">
        <v>29480129</v>
      </c>
      <c r="N888" s="216">
        <v>26740576</v>
      </c>
      <c r="O888" s="71">
        <v>24971324</v>
      </c>
      <c r="P888" s="72">
        <v>26369339</v>
      </c>
    </row>
    <row r="889" spans="1:16">
      <c r="A889" s="295"/>
      <c r="B889" s="289"/>
      <c r="C889" s="296"/>
      <c r="D889" s="66" t="s">
        <v>411</v>
      </c>
      <c r="E889" t="s">
        <v>450</v>
      </c>
      <c r="G889" t="s">
        <v>428</v>
      </c>
      <c r="H889" s="65">
        <v>44561</v>
      </c>
      <c r="I889" s="90">
        <v>48343</v>
      </c>
      <c r="K889" s="71"/>
      <c r="L889" s="72">
        <v>47630</v>
      </c>
      <c r="M889" s="71">
        <v>43256</v>
      </c>
      <c r="N889" s="216">
        <v>46646</v>
      </c>
      <c r="O889" s="71">
        <v>45524</v>
      </c>
      <c r="P889" s="72">
        <v>24982</v>
      </c>
    </row>
    <row r="890" spans="1:16">
      <c r="A890" s="295"/>
      <c r="B890" s="289"/>
      <c r="C890" s="296"/>
      <c r="D890" s="66" t="s">
        <v>411</v>
      </c>
      <c r="E890" t="s">
        <v>451</v>
      </c>
      <c r="G890" t="s">
        <v>428</v>
      </c>
      <c r="H890" s="65">
        <v>44561</v>
      </c>
      <c r="I890" s="90">
        <v>2515</v>
      </c>
      <c r="K890" s="71"/>
      <c r="L890" s="72">
        <v>8984</v>
      </c>
      <c r="M890" s="71">
        <v>1097</v>
      </c>
      <c r="N890" s="216">
        <v>4056</v>
      </c>
      <c r="O890" s="71">
        <v>2297</v>
      </c>
      <c r="P890" s="72">
        <v>4411</v>
      </c>
    </row>
    <row r="891" spans="1:16">
      <c r="A891" s="295"/>
      <c r="B891" s="289"/>
      <c r="C891" s="296"/>
      <c r="D891" s="66" t="s">
        <v>411</v>
      </c>
      <c r="E891" t="s">
        <v>452</v>
      </c>
      <c r="G891" t="s">
        <v>428</v>
      </c>
      <c r="H891" s="65">
        <v>44561</v>
      </c>
      <c r="I891" s="90">
        <v>4893</v>
      </c>
      <c r="K891" s="71"/>
      <c r="L891" s="72">
        <v>4893</v>
      </c>
      <c r="M891" s="71">
        <v>6459</v>
      </c>
      <c r="N891" s="216">
        <v>5898</v>
      </c>
      <c r="O891" s="71">
        <v>5157</v>
      </c>
      <c r="P891" s="72">
        <v>5696</v>
      </c>
    </row>
    <row r="892" spans="1:16">
      <c r="A892" s="295"/>
      <c r="B892" s="289"/>
      <c r="C892" s="296"/>
      <c r="D892" s="66" t="s">
        <v>411</v>
      </c>
      <c r="E892" t="s">
        <v>453</v>
      </c>
      <c r="G892" t="s">
        <v>428</v>
      </c>
      <c r="H892" s="65">
        <v>44561</v>
      </c>
      <c r="I892" s="90">
        <v>111727</v>
      </c>
      <c r="K892" s="71"/>
      <c r="L892" s="72">
        <v>90107</v>
      </c>
      <c r="M892" s="71">
        <v>49513</v>
      </c>
      <c r="N892" s="216">
        <v>88669</v>
      </c>
      <c r="O892" s="71">
        <v>43616</v>
      </c>
      <c r="P892" s="72">
        <v>10436</v>
      </c>
    </row>
    <row r="893" spans="1:16">
      <c r="A893" s="295"/>
      <c r="B893" s="289"/>
      <c r="C893" s="296"/>
      <c r="D893" s="66" t="s">
        <v>412</v>
      </c>
      <c r="E893" t="s">
        <v>454</v>
      </c>
      <c r="G893" t="s">
        <v>428</v>
      </c>
      <c r="H893" s="65">
        <v>44561</v>
      </c>
      <c r="I893" s="90">
        <v>89732</v>
      </c>
      <c r="K893" s="71"/>
      <c r="L893" s="72">
        <v>69781</v>
      </c>
      <c r="M893" s="71">
        <v>67813</v>
      </c>
      <c r="N893" s="216">
        <v>30646</v>
      </c>
      <c r="O893" s="71">
        <v>25712</v>
      </c>
      <c r="P893" s="72">
        <v>18626</v>
      </c>
    </row>
    <row r="894" spans="1:16">
      <c r="A894" s="295"/>
      <c r="B894" s="289"/>
      <c r="C894" s="296"/>
      <c r="D894" s="66" t="s">
        <v>412</v>
      </c>
      <c r="E894" t="s">
        <v>455</v>
      </c>
      <c r="G894" t="s">
        <v>428</v>
      </c>
      <c r="H894" s="65">
        <v>44561</v>
      </c>
      <c r="I894" s="90">
        <v>18250</v>
      </c>
      <c r="K894" s="71"/>
      <c r="L894" s="72">
        <v>18311</v>
      </c>
      <c r="M894" s="71">
        <v>20058</v>
      </c>
      <c r="N894" s="216">
        <v>17914</v>
      </c>
      <c r="O894" s="71">
        <v>16294</v>
      </c>
      <c r="P894" s="72">
        <v>13573</v>
      </c>
    </row>
    <row r="895" spans="1:16">
      <c r="A895" s="295"/>
      <c r="B895" s="289"/>
      <c r="C895" s="296"/>
      <c r="D895" s="66" t="s">
        <v>1071</v>
      </c>
      <c r="E895">
        <v>3</v>
      </c>
      <c r="F895" t="s">
        <v>649</v>
      </c>
      <c r="G895" t="s">
        <v>428</v>
      </c>
      <c r="H895" s="65">
        <v>44561</v>
      </c>
      <c r="I895" s="90">
        <v>1597157</v>
      </c>
      <c r="K895" s="71"/>
      <c r="L895" s="72">
        <v>470010</v>
      </c>
      <c r="M895" s="71">
        <v>241199</v>
      </c>
      <c r="N895" s="216">
        <v>532952</v>
      </c>
      <c r="O895" s="71">
        <v>541242</v>
      </c>
      <c r="P895" s="72">
        <v>219132</v>
      </c>
    </row>
    <row r="896" spans="1:16">
      <c r="A896" s="295"/>
      <c r="B896" s="289"/>
      <c r="C896" s="296"/>
      <c r="D896" s="66" t="s">
        <v>411</v>
      </c>
      <c r="E896" t="s">
        <v>456</v>
      </c>
      <c r="G896" t="s">
        <v>428</v>
      </c>
      <c r="H896" s="65">
        <v>44561</v>
      </c>
      <c r="K896" s="71"/>
      <c r="L896" s="72">
        <v>28132</v>
      </c>
      <c r="M896" s="71">
        <v>29040</v>
      </c>
      <c r="N896" s="216">
        <v>27909</v>
      </c>
      <c r="O896" s="71">
        <v>22204</v>
      </c>
      <c r="P896" s="72">
        <v>22118</v>
      </c>
    </row>
    <row r="897" spans="1:16">
      <c r="A897" s="295"/>
      <c r="B897" s="289"/>
      <c r="C897" s="296"/>
      <c r="D897" s="66" t="s">
        <v>1071</v>
      </c>
      <c r="E897">
        <v>3</v>
      </c>
      <c r="F897" t="s">
        <v>650</v>
      </c>
      <c r="G897" t="s">
        <v>428</v>
      </c>
      <c r="H897" s="65">
        <v>44561</v>
      </c>
      <c r="I897" s="90">
        <v>7263132</v>
      </c>
      <c r="K897" s="71"/>
      <c r="L897" s="72">
        <v>4110251</v>
      </c>
      <c r="M897" s="71">
        <v>4415253</v>
      </c>
      <c r="N897" s="216">
        <v>4383993</v>
      </c>
      <c r="O897" s="71">
        <v>4132207</v>
      </c>
      <c r="P897" s="72">
        <v>4056857</v>
      </c>
    </row>
    <row r="898" spans="1:16">
      <c r="A898" s="295"/>
      <c r="B898" s="289"/>
      <c r="C898" s="296"/>
      <c r="D898" s="66" t="s">
        <v>1072</v>
      </c>
      <c r="E898" t="s">
        <v>457</v>
      </c>
      <c r="G898" t="s">
        <v>428</v>
      </c>
      <c r="H898" s="65">
        <v>44561</v>
      </c>
      <c r="I898" s="90">
        <v>2389400</v>
      </c>
      <c r="K898" s="71"/>
      <c r="L898" s="72">
        <v>2034408</v>
      </c>
      <c r="M898" s="71">
        <v>2267656</v>
      </c>
      <c r="N898" s="216">
        <v>2230727</v>
      </c>
      <c r="O898" s="71">
        <v>2002542</v>
      </c>
      <c r="P898" s="72">
        <v>2059996</v>
      </c>
    </row>
    <row r="899" spans="1:16">
      <c r="A899" s="295"/>
      <c r="B899" s="289"/>
      <c r="C899" s="296"/>
      <c r="D899" s="66" t="s">
        <v>415</v>
      </c>
      <c r="E899" t="s">
        <v>458</v>
      </c>
      <c r="G899" t="s">
        <v>428</v>
      </c>
      <c r="H899" s="65">
        <v>44561</v>
      </c>
      <c r="K899" s="71"/>
      <c r="L899" s="72"/>
      <c r="M899" s="71"/>
      <c r="N899" s="216">
        <v>15654</v>
      </c>
      <c r="O899" s="71">
        <v>11158</v>
      </c>
      <c r="P899" s="72">
        <v>9113</v>
      </c>
    </row>
    <row r="900" spans="1:16">
      <c r="A900" s="295"/>
      <c r="B900" s="289"/>
      <c r="C900" s="296"/>
      <c r="D900" s="66" t="s">
        <v>415</v>
      </c>
      <c r="E900" t="s">
        <v>459</v>
      </c>
      <c r="G900" t="s">
        <v>428</v>
      </c>
      <c r="H900" s="65">
        <v>44561</v>
      </c>
      <c r="K900" s="71"/>
      <c r="L900" s="72"/>
      <c r="M900" s="71"/>
      <c r="N900" s="216">
        <v>1824</v>
      </c>
      <c r="O900" s="71">
        <v>613</v>
      </c>
      <c r="P900" s="72">
        <v>623</v>
      </c>
    </row>
    <row r="901" spans="1:16">
      <c r="A901" s="295"/>
      <c r="B901" s="289"/>
      <c r="C901" s="296"/>
      <c r="D901" s="66" t="s">
        <v>417</v>
      </c>
      <c r="E901" t="s">
        <v>576</v>
      </c>
      <c r="F901" t="s">
        <v>576</v>
      </c>
      <c r="G901" t="s">
        <v>79</v>
      </c>
      <c r="H901" s="65">
        <v>44561</v>
      </c>
      <c r="I901" s="104">
        <v>35000000</v>
      </c>
      <c r="K901" s="71"/>
      <c r="L901" s="72">
        <v>32704089</v>
      </c>
      <c r="M901" s="71">
        <v>34546832</v>
      </c>
      <c r="N901" s="216">
        <v>32282872</v>
      </c>
      <c r="O901" s="71">
        <v>29916634</v>
      </c>
      <c r="P901" s="72">
        <v>31336074</v>
      </c>
    </row>
    <row r="902" spans="1:16">
      <c r="A902" s="295"/>
      <c r="B902" s="289"/>
      <c r="C902" s="296"/>
      <c r="D902" s="66" t="s">
        <v>594</v>
      </c>
      <c r="E902" t="s">
        <v>484</v>
      </c>
      <c r="F902" t="s">
        <v>649</v>
      </c>
      <c r="G902" t="s">
        <v>79</v>
      </c>
      <c r="H902" s="65">
        <v>44561</v>
      </c>
      <c r="I902" s="90">
        <v>1906442</v>
      </c>
      <c r="K902" s="71"/>
      <c r="L902" s="72">
        <v>530829</v>
      </c>
      <c r="M902" s="71">
        <v>273821</v>
      </c>
      <c r="N902" s="216">
        <v>594506</v>
      </c>
      <c r="O902" s="71">
        <v>624561</v>
      </c>
      <c r="P902" s="72">
        <v>243132</v>
      </c>
    </row>
    <row r="903" spans="1:16">
      <c r="A903" s="295"/>
      <c r="B903" s="289"/>
      <c r="C903" s="296"/>
      <c r="D903" s="66" t="s">
        <v>594</v>
      </c>
      <c r="E903" t="s">
        <v>484</v>
      </c>
      <c r="F903" t="s">
        <v>650</v>
      </c>
      <c r="G903" t="s">
        <v>79</v>
      </c>
      <c r="H903" s="65">
        <v>44561</v>
      </c>
      <c r="I903" s="90">
        <v>15980340</v>
      </c>
      <c r="K903" s="71"/>
      <c r="L903" s="72">
        <v>9134536</v>
      </c>
      <c r="M903" s="71">
        <v>10263461</v>
      </c>
      <c r="N903" s="216">
        <v>10884062</v>
      </c>
      <c r="O903" s="71">
        <v>10705000</v>
      </c>
      <c r="P903" s="72">
        <v>11307000</v>
      </c>
    </row>
    <row r="904" spans="1:16">
      <c r="A904" s="295"/>
      <c r="B904" s="289"/>
      <c r="C904" s="296"/>
      <c r="D904" s="66" t="s">
        <v>587</v>
      </c>
      <c r="G904" t="s">
        <v>617</v>
      </c>
      <c r="H904" s="65">
        <v>44561</v>
      </c>
      <c r="I904" s="90">
        <v>44546</v>
      </c>
      <c r="K904" s="71"/>
      <c r="L904" s="72">
        <v>40658</v>
      </c>
      <c r="M904" s="71">
        <v>46474</v>
      </c>
      <c r="N904" s="216">
        <v>45182</v>
      </c>
      <c r="O904" s="71">
        <v>41589</v>
      </c>
      <c r="P904" s="72">
        <v>43273</v>
      </c>
    </row>
    <row r="905" spans="1:16">
      <c r="A905" s="295"/>
      <c r="B905" s="293"/>
      <c r="C905" s="296"/>
      <c r="D905" s="66" t="s">
        <v>418</v>
      </c>
      <c r="H905" s="65"/>
      <c r="K905" s="71"/>
      <c r="L905" s="72"/>
      <c r="M905" s="71"/>
      <c r="N905" s="216"/>
      <c r="O905" s="71"/>
      <c r="P905" s="93" t="s">
        <v>651</v>
      </c>
    </row>
    <row r="906" spans="1:16">
      <c r="A906" s="295" t="s">
        <v>229</v>
      </c>
      <c r="B906" s="292" t="s">
        <v>230</v>
      </c>
      <c r="C906" s="296" t="s">
        <v>231</v>
      </c>
      <c r="D906" s="66" t="s">
        <v>411</v>
      </c>
      <c r="G906" t="s">
        <v>429</v>
      </c>
      <c r="H906" s="65">
        <v>44561</v>
      </c>
      <c r="K906" s="71">
        <v>10.1264200928455</v>
      </c>
      <c r="L906" s="72">
        <v>11.1203926606529</v>
      </c>
      <c r="M906" s="71">
        <v>11.1870425101908</v>
      </c>
      <c r="N906" s="216">
        <v>10.549571530444201</v>
      </c>
      <c r="O906" s="71">
        <v>10.831472549502299</v>
      </c>
      <c r="P906" s="72"/>
    </row>
    <row r="907" spans="1:16">
      <c r="A907" s="295"/>
      <c r="B907" s="289"/>
      <c r="C907" s="296"/>
      <c r="D907" s="66" t="s">
        <v>412</v>
      </c>
      <c r="E907" t="s">
        <v>413</v>
      </c>
      <c r="G907" t="s">
        <v>429</v>
      </c>
      <c r="H907" s="65">
        <v>44561</v>
      </c>
      <c r="K907" s="71">
        <v>0</v>
      </c>
      <c r="L907" s="72">
        <v>0</v>
      </c>
      <c r="M907" s="71">
        <v>0</v>
      </c>
      <c r="N907" s="216">
        <v>0</v>
      </c>
      <c r="O907" s="71">
        <v>0</v>
      </c>
      <c r="P907" s="72"/>
    </row>
    <row r="908" spans="1:16">
      <c r="A908" s="295"/>
      <c r="B908" s="289"/>
      <c r="C908" s="296"/>
      <c r="D908" s="66" t="s">
        <v>414</v>
      </c>
      <c r="E908" t="s">
        <v>413</v>
      </c>
      <c r="G908" t="s">
        <v>429</v>
      </c>
      <c r="H908" s="65">
        <v>44561</v>
      </c>
      <c r="K908" s="71">
        <v>10.1264200928455</v>
      </c>
      <c r="L908" s="72">
        <v>11.1203926606529</v>
      </c>
      <c r="M908" s="71">
        <v>11.1870425101908</v>
      </c>
      <c r="N908" s="216">
        <v>10.549571530444201</v>
      </c>
      <c r="O908" s="71">
        <v>10.831472549502299</v>
      </c>
      <c r="P908" s="72"/>
    </row>
    <row r="909" spans="1:16">
      <c r="A909" s="295"/>
      <c r="B909" s="289"/>
      <c r="C909" s="296"/>
      <c r="D909" s="66" t="s">
        <v>415</v>
      </c>
      <c r="E909" t="s">
        <v>416</v>
      </c>
      <c r="G909" t="s">
        <v>429</v>
      </c>
      <c r="H909" s="65">
        <v>44561</v>
      </c>
      <c r="K909" s="71"/>
      <c r="L909" s="72"/>
      <c r="M909" s="71"/>
      <c r="N909" s="216"/>
      <c r="O909" s="71"/>
      <c r="P909" s="72"/>
    </row>
    <row r="910" spans="1:16">
      <c r="A910" s="295"/>
      <c r="B910" s="289"/>
      <c r="C910" s="296"/>
      <c r="D910" s="66" t="s">
        <v>417</v>
      </c>
      <c r="G910" t="s">
        <v>62</v>
      </c>
      <c r="H910" s="65">
        <v>44561</v>
      </c>
      <c r="K910" s="71">
        <v>24.816709093617501</v>
      </c>
      <c r="L910" s="72">
        <v>25.543286224276802</v>
      </c>
      <c r="M910" s="71">
        <v>25.3295254644724</v>
      </c>
      <c r="N910" s="216">
        <v>25.6144668764736</v>
      </c>
      <c r="O910" s="71">
        <v>26.617025473167001</v>
      </c>
      <c r="P910" s="72"/>
    </row>
    <row r="911" spans="1:16">
      <c r="A911" s="295"/>
      <c r="B911" s="293"/>
      <c r="C911" s="296"/>
      <c r="D911" s="66" t="s">
        <v>418</v>
      </c>
      <c r="H911" s="65"/>
      <c r="K911" s="71"/>
      <c r="L911" s="72"/>
      <c r="M911" s="71"/>
      <c r="N911" s="216"/>
      <c r="O911" s="71"/>
      <c r="P911" s="72"/>
    </row>
    <row r="912" spans="1:16">
      <c r="A912" s="295" t="s">
        <v>232</v>
      </c>
      <c r="B912" s="292" t="s">
        <v>233</v>
      </c>
      <c r="C912" s="296" t="s">
        <v>234</v>
      </c>
      <c r="D912" s="66" t="s">
        <v>411</v>
      </c>
      <c r="G912" t="s">
        <v>429</v>
      </c>
      <c r="H912" s="65">
        <v>44561</v>
      </c>
      <c r="K912" s="71">
        <v>5.9896601061833996</v>
      </c>
      <c r="L912" s="72">
        <v>5.9839268728476602</v>
      </c>
      <c r="M912" s="71">
        <v>6.0355401320321702</v>
      </c>
      <c r="N912" s="216">
        <v>7.6219275866474101</v>
      </c>
      <c r="O912" s="71">
        <v>6.2495578398509801</v>
      </c>
      <c r="P912" s="72"/>
    </row>
    <row r="913" spans="1:16">
      <c r="A913" s="295"/>
      <c r="B913" s="289"/>
      <c r="C913" s="296"/>
      <c r="D913" s="66" t="s">
        <v>412</v>
      </c>
      <c r="E913" t="s">
        <v>413</v>
      </c>
      <c r="G913" t="s">
        <v>429</v>
      </c>
      <c r="H913" s="65">
        <v>44561</v>
      </c>
      <c r="K913" s="71">
        <v>0</v>
      </c>
      <c r="L913" s="72">
        <v>0</v>
      </c>
      <c r="M913" s="71">
        <v>0</v>
      </c>
      <c r="N913" s="216">
        <v>0</v>
      </c>
      <c r="O913" s="71">
        <v>0</v>
      </c>
      <c r="P913" s="72"/>
    </row>
    <row r="914" spans="1:16">
      <c r="A914" s="295"/>
      <c r="B914" s="289"/>
      <c r="C914" s="296"/>
      <c r="D914" s="66" t="s">
        <v>414</v>
      </c>
      <c r="E914" t="s">
        <v>413</v>
      </c>
      <c r="G914" t="s">
        <v>429</v>
      </c>
      <c r="H914" s="65">
        <v>44561</v>
      </c>
      <c r="K914" s="71">
        <v>5.9896601061833996</v>
      </c>
      <c r="L914" s="72">
        <v>5.9839268728476602</v>
      </c>
      <c r="M914" s="71">
        <v>6.0355401320321702</v>
      </c>
      <c r="N914" s="216">
        <v>7.6219275866474101</v>
      </c>
      <c r="O914" s="71">
        <v>6.2495578398509801</v>
      </c>
      <c r="P914" s="72"/>
    </row>
    <row r="915" spans="1:16">
      <c r="A915" s="295"/>
      <c r="B915" s="289"/>
      <c r="C915" s="296"/>
      <c r="D915" s="66" t="s">
        <v>415</v>
      </c>
      <c r="E915" t="s">
        <v>416</v>
      </c>
      <c r="G915" t="s">
        <v>429</v>
      </c>
      <c r="H915" s="65">
        <v>44561</v>
      </c>
      <c r="K915" s="71"/>
      <c r="L915" s="72"/>
      <c r="M915" s="71"/>
      <c r="N915" s="216"/>
      <c r="O915" s="71"/>
      <c r="P915" s="72"/>
    </row>
    <row r="916" spans="1:16">
      <c r="A916" s="295"/>
      <c r="B916" s="289"/>
      <c r="C916" s="296"/>
      <c r="D916" s="66" t="s">
        <v>417</v>
      </c>
      <c r="G916" t="s">
        <v>62</v>
      </c>
      <c r="H916" s="65">
        <v>44561</v>
      </c>
      <c r="K916" s="71">
        <v>13.0388771586</v>
      </c>
      <c r="L916" s="72">
        <v>13.1581340554</v>
      </c>
      <c r="M916" s="71">
        <v>13.925387108697</v>
      </c>
      <c r="N916" s="216">
        <v>15.800690788500001</v>
      </c>
      <c r="O916" s="71">
        <v>14.4241320008</v>
      </c>
      <c r="P916" s="72"/>
    </row>
    <row r="917" spans="1:16">
      <c r="A917" s="295"/>
      <c r="B917" s="293"/>
      <c r="C917" s="296"/>
      <c r="D917" s="66" t="s">
        <v>418</v>
      </c>
      <c r="H917" s="65"/>
      <c r="K917" s="71"/>
      <c r="L917" s="72"/>
      <c r="M917" s="71"/>
      <c r="N917" s="216"/>
      <c r="O917" s="71"/>
      <c r="P917" s="72"/>
    </row>
    <row r="918" spans="1:16">
      <c r="A918" s="295" t="s">
        <v>235</v>
      </c>
      <c r="B918" s="292" t="s">
        <v>236</v>
      </c>
      <c r="C918" s="296" t="s">
        <v>237</v>
      </c>
      <c r="D918" s="66" t="s">
        <v>411</v>
      </c>
      <c r="G918" t="s">
        <v>429</v>
      </c>
      <c r="H918" s="65">
        <v>44561</v>
      </c>
      <c r="K918" s="71">
        <v>11.7569055157382</v>
      </c>
      <c r="L918" s="72">
        <v>10.497003363215899</v>
      </c>
      <c r="M918" s="71">
        <v>11.8664996455886</v>
      </c>
      <c r="N918" s="216">
        <v>11.5717537423113</v>
      </c>
      <c r="O918" s="71">
        <v>8.2013432159027992</v>
      </c>
      <c r="P918" s="72"/>
    </row>
    <row r="919" spans="1:16">
      <c r="A919" s="295"/>
      <c r="B919" s="289"/>
      <c r="C919" s="296"/>
      <c r="D919" s="66" t="s">
        <v>412</v>
      </c>
      <c r="E919" t="s">
        <v>413</v>
      </c>
      <c r="G919" t="s">
        <v>429</v>
      </c>
      <c r="H919" s="65">
        <v>44561</v>
      </c>
      <c r="K919" s="71">
        <v>0</v>
      </c>
      <c r="L919" s="72">
        <v>0</v>
      </c>
      <c r="M919" s="71">
        <v>0</v>
      </c>
      <c r="N919" s="216">
        <v>0</v>
      </c>
      <c r="O919" s="71">
        <v>0</v>
      </c>
      <c r="P919" s="72"/>
    </row>
    <row r="920" spans="1:16">
      <c r="A920" s="295"/>
      <c r="B920" s="289"/>
      <c r="C920" s="296"/>
      <c r="D920" s="66" t="s">
        <v>414</v>
      </c>
      <c r="E920" t="s">
        <v>413</v>
      </c>
      <c r="G920" t="s">
        <v>429</v>
      </c>
      <c r="H920" s="65">
        <v>44561</v>
      </c>
      <c r="K920" s="71">
        <v>11.7569055157382</v>
      </c>
      <c r="L920" s="72">
        <v>10.497003363215899</v>
      </c>
      <c r="M920" s="71">
        <v>11.8664996455886</v>
      </c>
      <c r="N920" s="216">
        <v>11.5717537423113</v>
      </c>
      <c r="O920" s="71">
        <v>8.2013432159027992</v>
      </c>
      <c r="P920" s="72"/>
    </row>
    <row r="921" spans="1:16">
      <c r="A921" s="295"/>
      <c r="B921" s="289"/>
      <c r="C921" s="296"/>
      <c r="D921" s="66" t="s">
        <v>415</v>
      </c>
      <c r="E921" t="s">
        <v>416</v>
      </c>
      <c r="G921" t="s">
        <v>429</v>
      </c>
      <c r="H921" s="65">
        <v>44561</v>
      </c>
      <c r="K921" s="71"/>
      <c r="L921" s="72"/>
      <c r="M921" s="71"/>
      <c r="N921" s="216"/>
      <c r="O921" s="71"/>
      <c r="P921" s="72"/>
    </row>
    <row r="922" spans="1:16">
      <c r="A922" s="295"/>
      <c r="B922" s="289"/>
      <c r="C922" s="296"/>
      <c r="D922" s="66" t="s">
        <v>417</v>
      </c>
      <c r="G922" t="s">
        <v>62</v>
      </c>
      <c r="H922" s="65">
        <v>44561</v>
      </c>
      <c r="K922" s="71">
        <v>51.638514609600001</v>
      </c>
      <c r="L922" s="72">
        <v>51.196017137600002</v>
      </c>
      <c r="M922" s="71">
        <v>53.823207085</v>
      </c>
      <c r="N922" s="216">
        <v>53.4572160069999</v>
      </c>
      <c r="O922" s="71">
        <v>49.809330486083802</v>
      </c>
      <c r="P922" s="72"/>
    </row>
    <row r="923" spans="1:16">
      <c r="A923" s="295"/>
      <c r="B923" s="293"/>
      <c r="C923" s="296"/>
      <c r="D923" s="66" t="s">
        <v>418</v>
      </c>
      <c r="H923" s="65"/>
      <c r="K923" s="71"/>
      <c r="L923" s="72"/>
      <c r="M923" s="71"/>
      <c r="N923" s="216"/>
      <c r="O923" s="71"/>
      <c r="P923" s="72"/>
    </row>
    <row r="924" spans="1:16">
      <c r="A924" s="295" t="s">
        <v>520</v>
      </c>
      <c r="B924" s="292" t="s">
        <v>521</v>
      </c>
      <c r="C924" s="296" t="s">
        <v>522</v>
      </c>
      <c r="D924" s="66" t="s">
        <v>411</v>
      </c>
      <c r="G924" t="s">
        <v>429</v>
      </c>
      <c r="H924" s="65">
        <v>44196</v>
      </c>
      <c r="K924" s="71"/>
      <c r="L924" s="72"/>
      <c r="M924" s="71"/>
      <c r="N924" s="216">
        <v>91.7</v>
      </c>
      <c r="O924" s="71">
        <v>70.400000000000006</v>
      </c>
      <c r="P924" s="72"/>
    </row>
    <row r="925" spans="1:16">
      <c r="A925" s="295"/>
      <c r="B925" s="289"/>
      <c r="C925" s="296"/>
      <c r="D925" s="66" t="s">
        <v>412</v>
      </c>
      <c r="E925" t="s">
        <v>413</v>
      </c>
      <c r="G925" t="s">
        <v>429</v>
      </c>
      <c r="H925" s="65">
        <v>44196</v>
      </c>
      <c r="K925" s="71"/>
      <c r="L925" s="72"/>
      <c r="M925" s="71"/>
      <c r="N925" s="216">
        <v>4.72</v>
      </c>
      <c r="O925" s="71">
        <v>2.6</v>
      </c>
      <c r="P925" s="72"/>
    </row>
    <row r="926" spans="1:16">
      <c r="A926" s="295"/>
      <c r="B926" s="289"/>
      <c r="C926" s="296"/>
      <c r="D926" s="66" t="s">
        <v>600</v>
      </c>
      <c r="E926" t="s">
        <v>413</v>
      </c>
      <c r="G926" t="s">
        <v>430</v>
      </c>
      <c r="H926" s="65">
        <v>44196</v>
      </c>
      <c r="K926" s="71"/>
      <c r="L926" s="72"/>
      <c r="M926" s="71"/>
      <c r="N926" s="216">
        <v>0.56899999999999995</v>
      </c>
      <c r="O926" s="71">
        <v>0.497</v>
      </c>
      <c r="P926" s="72"/>
    </row>
    <row r="927" spans="1:16">
      <c r="A927" s="295"/>
      <c r="B927" s="289"/>
      <c r="C927" s="296"/>
      <c r="D927" s="66" t="s">
        <v>415</v>
      </c>
      <c r="E927">
        <v>1</v>
      </c>
      <c r="G927" t="s">
        <v>429</v>
      </c>
      <c r="H927" s="65">
        <v>44196</v>
      </c>
      <c r="K927" s="71"/>
      <c r="L927" s="72"/>
      <c r="M927" s="71"/>
      <c r="N927" s="216"/>
      <c r="O927" s="71">
        <v>0.7</v>
      </c>
      <c r="P927" s="72"/>
    </row>
    <row r="928" spans="1:16">
      <c r="A928" s="295"/>
      <c r="B928" s="289"/>
      <c r="C928" s="296"/>
      <c r="D928" s="66" t="s">
        <v>415</v>
      </c>
      <c r="E928">
        <v>2</v>
      </c>
      <c r="G928" t="s">
        <v>429</v>
      </c>
      <c r="H928" s="65">
        <v>44196</v>
      </c>
      <c r="K928" s="71"/>
      <c r="L928" s="72"/>
      <c r="M928" s="71"/>
      <c r="N928" s="216"/>
      <c r="O928" s="71">
        <v>0.6</v>
      </c>
      <c r="P928" s="72"/>
    </row>
    <row r="929" spans="1:16">
      <c r="A929" s="295"/>
      <c r="B929" s="289"/>
      <c r="C929" s="296"/>
      <c r="D929" s="66" t="s">
        <v>415</v>
      </c>
      <c r="E929">
        <v>3</v>
      </c>
      <c r="G929" t="s">
        <v>429</v>
      </c>
      <c r="H929" s="65">
        <v>44196</v>
      </c>
      <c r="K929" s="71"/>
      <c r="L929" s="72"/>
      <c r="M929" s="71"/>
      <c r="N929" s="216"/>
      <c r="O929" s="71">
        <v>5.5</v>
      </c>
      <c r="P929" s="72"/>
    </row>
    <row r="930" spans="1:16">
      <c r="A930" s="295"/>
      <c r="B930" s="289"/>
      <c r="C930" s="296"/>
      <c r="D930" s="66" t="s">
        <v>415</v>
      </c>
      <c r="E930">
        <v>4</v>
      </c>
      <c r="G930" t="s">
        <v>429</v>
      </c>
      <c r="H930" s="65">
        <v>44196</v>
      </c>
      <c r="K930" s="71"/>
      <c r="L930" s="72"/>
      <c r="M930" s="71"/>
      <c r="N930" s="216"/>
      <c r="O930" s="71">
        <v>0.3</v>
      </c>
      <c r="P930" s="72"/>
    </row>
    <row r="931" spans="1:16">
      <c r="A931" s="295"/>
      <c r="B931" s="289"/>
      <c r="C931" s="296"/>
      <c r="D931" s="66" t="s">
        <v>415</v>
      </c>
      <c r="E931">
        <v>5</v>
      </c>
      <c r="G931" t="s">
        <v>429</v>
      </c>
      <c r="H931" s="65">
        <v>44196</v>
      </c>
      <c r="K931" s="71"/>
      <c r="L931" s="72"/>
      <c r="M931" s="71"/>
      <c r="N931" s="216"/>
      <c r="O931" s="71">
        <v>0.1</v>
      </c>
      <c r="P931" s="72"/>
    </row>
    <row r="932" spans="1:16">
      <c r="A932" s="295"/>
      <c r="B932" s="289"/>
      <c r="C932" s="296"/>
      <c r="D932" s="66" t="s">
        <v>415</v>
      </c>
      <c r="E932">
        <v>6</v>
      </c>
      <c r="G932" t="s">
        <v>429</v>
      </c>
      <c r="H932" s="65">
        <v>44196</v>
      </c>
      <c r="K932" s="71"/>
      <c r="L932" s="72"/>
      <c r="M932" s="71"/>
      <c r="N932" s="216"/>
      <c r="O932" s="71">
        <v>0.09</v>
      </c>
      <c r="P932" s="72"/>
    </row>
    <row r="933" spans="1:16">
      <c r="A933" s="295"/>
      <c r="B933" s="289"/>
      <c r="C933" s="296"/>
      <c r="D933" s="66" t="s">
        <v>415</v>
      </c>
      <c r="E933">
        <v>7</v>
      </c>
      <c r="G933" t="s">
        <v>429</v>
      </c>
      <c r="H933" s="65">
        <v>44196</v>
      </c>
      <c r="K933" s="71"/>
      <c r="L933" s="72"/>
      <c r="M933" s="71"/>
      <c r="N933" s="216"/>
      <c r="O933" s="71">
        <v>0.09</v>
      </c>
      <c r="P933" s="72"/>
    </row>
    <row r="934" spans="1:16">
      <c r="A934" s="295"/>
      <c r="B934" s="289"/>
      <c r="C934" s="296"/>
      <c r="D934" s="66" t="s">
        <v>415</v>
      </c>
      <c r="E934">
        <v>9</v>
      </c>
      <c r="G934" t="s">
        <v>429</v>
      </c>
      <c r="H934" s="65">
        <v>44196</v>
      </c>
      <c r="K934" s="71"/>
      <c r="L934" s="72"/>
      <c r="M934" s="71"/>
      <c r="N934" s="216"/>
      <c r="O934" s="71">
        <v>0.09</v>
      </c>
      <c r="P934" s="72"/>
    </row>
    <row r="935" spans="1:16">
      <c r="A935" s="295"/>
      <c r="B935" s="289"/>
      <c r="C935" s="296"/>
      <c r="D935" s="66" t="s">
        <v>415</v>
      </c>
      <c r="E935">
        <v>10</v>
      </c>
      <c r="G935" t="s">
        <v>429</v>
      </c>
      <c r="H935" s="65">
        <v>44196</v>
      </c>
      <c r="K935" s="71"/>
      <c r="L935" s="72"/>
      <c r="M935" s="71"/>
      <c r="N935" s="216"/>
      <c r="O935" s="71">
        <v>0.1</v>
      </c>
      <c r="P935" s="72"/>
    </row>
    <row r="936" spans="1:16">
      <c r="A936" s="295"/>
      <c r="B936" s="289"/>
      <c r="C936" s="296"/>
      <c r="D936" s="66" t="s">
        <v>415</v>
      </c>
      <c r="E936">
        <v>11</v>
      </c>
      <c r="G936" t="s">
        <v>429</v>
      </c>
      <c r="H936" s="65">
        <v>44196</v>
      </c>
      <c r="K936" s="71"/>
      <c r="L936" s="72"/>
      <c r="M936" s="71"/>
      <c r="N936" s="216"/>
      <c r="O936" s="71">
        <v>11.7</v>
      </c>
      <c r="P936" s="72"/>
    </row>
    <row r="937" spans="1:16">
      <c r="A937" s="295"/>
      <c r="B937" s="289"/>
      <c r="C937" s="296"/>
      <c r="D937" s="66" t="s">
        <v>415</v>
      </c>
      <c r="E937" t="s">
        <v>416</v>
      </c>
      <c r="G937" t="s">
        <v>429</v>
      </c>
      <c r="H937" s="65">
        <v>44196</v>
      </c>
      <c r="K937" s="71"/>
      <c r="L937" s="72"/>
      <c r="M937" s="71"/>
      <c r="N937" s="216">
        <v>187.2</v>
      </c>
      <c r="O937" s="71">
        <v>18.899999999999999</v>
      </c>
      <c r="P937" s="72"/>
    </row>
    <row r="938" spans="1:16">
      <c r="A938" s="295"/>
      <c r="B938" s="289"/>
      <c r="C938" s="296"/>
      <c r="D938" s="66" t="s">
        <v>417</v>
      </c>
      <c r="G938" t="s">
        <v>62</v>
      </c>
      <c r="H938" s="65">
        <v>44196</v>
      </c>
      <c r="K938" s="71"/>
      <c r="L938" s="72"/>
      <c r="M938" s="71"/>
      <c r="N938" s="216">
        <f>(N924+N925)/N926</f>
        <v>169.45518453427067</v>
      </c>
      <c r="O938" s="71">
        <v>146.755</v>
      </c>
      <c r="P938" s="72"/>
    </row>
    <row r="939" spans="1:16">
      <c r="A939" s="295"/>
      <c r="B939" s="293"/>
      <c r="C939" s="296"/>
      <c r="D939" s="66" t="s">
        <v>418</v>
      </c>
      <c r="H939" s="65">
        <v>44196</v>
      </c>
      <c r="K939" s="71"/>
      <c r="L939" s="72"/>
      <c r="M939" s="71"/>
      <c r="N939" s="216"/>
      <c r="O939" s="73" t="s">
        <v>533</v>
      </c>
      <c r="P939" s="72"/>
    </row>
    <row r="940" spans="1:16">
      <c r="A940" s="295" t="s">
        <v>520</v>
      </c>
      <c r="B940" s="292" t="s">
        <v>521</v>
      </c>
      <c r="C940" s="296" t="s">
        <v>522</v>
      </c>
      <c r="D940" s="66" t="s">
        <v>411</v>
      </c>
      <c r="G940" t="s">
        <v>429</v>
      </c>
      <c r="H940" s="65">
        <v>44561</v>
      </c>
      <c r="K940" s="71"/>
      <c r="L940" s="72"/>
      <c r="M940" s="71"/>
      <c r="N940" s="216">
        <v>91.7</v>
      </c>
      <c r="O940" s="71">
        <v>70.2</v>
      </c>
      <c r="P940" s="72">
        <v>86.9</v>
      </c>
    </row>
    <row r="941" spans="1:16">
      <c r="A941" s="295"/>
      <c r="B941" s="289"/>
      <c r="C941" s="296"/>
      <c r="D941" s="66" t="s">
        <v>412</v>
      </c>
      <c r="E941" t="s">
        <v>413</v>
      </c>
      <c r="G941" t="s">
        <v>429</v>
      </c>
      <c r="H941" s="65">
        <v>44561</v>
      </c>
      <c r="K941" s="71"/>
      <c r="L941" s="72"/>
      <c r="M941" s="71"/>
      <c r="N941" s="216">
        <v>4.72</v>
      </c>
      <c r="O941" s="71">
        <v>3.1</v>
      </c>
      <c r="P941" s="72">
        <v>2.7</v>
      </c>
    </row>
    <row r="942" spans="1:16">
      <c r="A942" s="295"/>
      <c r="B942" s="289"/>
      <c r="C942" s="296"/>
      <c r="D942" s="66" t="s">
        <v>600</v>
      </c>
      <c r="E942" t="s">
        <v>413</v>
      </c>
      <c r="G942" t="s">
        <v>430</v>
      </c>
      <c r="H942" s="65">
        <v>44561</v>
      </c>
      <c r="K942" s="71"/>
      <c r="L942" s="72"/>
      <c r="M942" s="71"/>
      <c r="N942" s="216">
        <v>0.59899999999999998</v>
      </c>
      <c r="O942" s="71">
        <v>0.53800000000000003</v>
      </c>
      <c r="P942" s="72">
        <v>0.499</v>
      </c>
    </row>
    <row r="943" spans="1:16">
      <c r="A943" s="295"/>
      <c r="B943" s="289"/>
      <c r="C943" s="296"/>
      <c r="D943" s="66" t="s">
        <v>415</v>
      </c>
      <c r="E943">
        <v>1</v>
      </c>
      <c r="G943" t="s">
        <v>429</v>
      </c>
      <c r="H943" s="65">
        <v>44561</v>
      </c>
      <c r="K943" s="71"/>
      <c r="L943" s="72"/>
      <c r="M943" s="71"/>
      <c r="N943" s="216">
        <v>1</v>
      </c>
      <c r="O943" s="71">
        <v>0.7</v>
      </c>
      <c r="P943" s="72">
        <v>0.9</v>
      </c>
    </row>
    <row r="944" spans="1:16">
      <c r="A944" s="295"/>
      <c r="B944" s="289"/>
      <c r="C944" s="296"/>
      <c r="D944" s="66" t="s">
        <v>415</v>
      </c>
      <c r="E944">
        <v>2</v>
      </c>
      <c r="G944" t="s">
        <v>429</v>
      </c>
      <c r="H944" s="65">
        <v>44561</v>
      </c>
      <c r="K944" s="71"/>
      <c r="L944" s="72"/>
      <c r="M944" s="71"/>
      <c r="N944" s="216">
        <v>0.4</v>
      </c>
      <c r="O944" s="71">
        <v>0.8</v>
      </c>
      <c r="P944" s="72">
        <v>1.4</v>
      </c>
    </row>
    <row r="945" spans="1:16">
      <c r="A945" s="295"/>
      <c r="B945" s="289"/>
      <c r="C945" s="296"/>
      <c r="D945" s="66" t="s">
        <v>415</v>
      </c>
      <c r="E945">
        <v>3</v>
      </c>
      <c r="G945" t="s">
        <v>429</v>
      </c>
      <c r="H945" s="65">
        <v>44561</v>
      </c>
      <c r="K945" s="71"/>
      <c r="L945" s="72"/>
      <c r="M945" s="71"/>
      <c r="N945" s="216">
        <v>5.5</v>
      </c>
      <c r="O945" s="71">
        <v>5.5</v>
      </c>
      <c r="P945" s="72">
        <v>6.5</v>
      </c>
    </row>
    <row r="946" spans="1:16">
      <c r="A946" s="295"/>
      <c r="B946" s="289"/>
      <c r="C946" s="296"/>
      <c r="D946" s="66" t="s">
        <v>415</v>
      </c>
      <c r="E946">
        <v>4</v>
      </c>
      <c r="G946" t="s">
        <v>429</v>
      </c>
      <c r="H946" s="65">
        <v>44561</v>
      </c>
      <c r="K946" s="71"/>
      <c r="L946" s="72"/>
      <c r="M946" s="71"/>
      <c r="N946" s="216">
        <v>0.7</v>
      </c>
      <c r="O946" s="71">
        <v>0.3</v>
      </c>
      <c r="P946" s="72">
        <v>0.3</v>
      </c>
    </row>
    <row r="947" spans="1:16">
      <c r="A947" s="295"/>
      <c r="B947" s="289"/>
      <c r="C947" s="296"/>
      <c r="D947" s="66" t="s">
        <v>415</v>
      </c>
      <c r="E947">
        <v>5</v>
      </c>
      <c r="G947" t="s">
        <v>429</v>
      </c>
      <c r="H947" s="65">
        <v>44561</v>
      </c>
      <c r="K947" s="71"/>
      <c r="L947" s="72"/>
      <c r="M947" s="71"/>
      <c r="N947" s="216">
        <v>0.09</v>
      </c>
      <c r="O947" s="71">
        <v>0.1</v>
      </c>
      <c r="P947" s="72">
        <v>0.1</v>
      </c>
    </row>
    <row r="948" spans="1:16">
      <c r="A948" s="295"/>
      <c r="B948" s="289"/>
      <c r="C948" s="296"/>
      <c r="D948" s="66" t="s">
        <v>415</v>
      </c>
      <c r="E948">
        <v>6</v>
      </c>
      <c r="G948" t="s">
        <v>429</v>
      </c>
      <c r="H948" s="65">
        <v>44561</v>
      </c>
      <c r="K948" s="71"/>
      <c r="L948" s="72"/>
      <c r="M948" s="71"/>
      <c r="N948" s="216">
        <v>0.09</v>
      </c>
      <c r="O948" s="71">
        <v>0.09</v>
      </c>
      <c r="P948" s="72">
        <v>0.09</v>
      </c>
    </row>
    <row r="949" spans="1:16">
      <c r="A949" s="295"/>
      <c r="B949" s="289"/>
      <c r="C949" s="296"/>
      <c r="D949" s="66" t="s">
        <v>415</v>
      </c>
      <c r="E949">
        <v>7</v>
      </c>
      <c r="G949" t="s">
        <v>429</v>
      </c>
      <c r="H949" s="65">
        <v>44561</v>
      </c>
      <c r="K949" s="71"/>
      <c r="L949" s="72"/>
      <c r="M949" s="71"/>
      <c r="N949" s="216">
        <v>0.2</v>
      </c>
      <c r="O949" s="71">
        <v>0.09</v>
      </c>
      <c r="P949" s="72">
        <v>0.09</v>
      </c>
    </row>
    <row r="950" spans="1:16">
      <c r="A950" s="295"/>
      <c r="B950" s="289"/>
      <c r="C950" s="296"/>
      <c r="D950" s="66" t="s">
        <v>415</v>
      </c>
      <c r="E950">
        <v>9</v>
      </c>
      <c r="G950" t="s">
        <v>429</v>
      </c>
      <c r="H950" s="65">
        <v>44561</v>
      </c>
      <c r="K950" s="71"/>
      <c r="L950" s="72"/>
      <c r="M950" s="71"/>
      <c r="N950" s="216">
        <v>0.09</v>
      </c>
      <c r="O950" s="71">
        <v>0.09</v>
      </c>
      <c r="P950" s="72">
        <v>0.09</v>
      </c>
    </row>
    <row r="951" spans="1:16">
      <c r="A951" s="295"/>
      <c r="B951" s="289"/>
      <c r="C951" s="296"/>
      <c r="D951" s="66" t="s">
        <v>415</v>
      </c>
      <c r="E951">
        <v>10</v>
      </c>
      <c r="G951" t="s">
        <v>429</v>
      </c>
      <c r="H951" s="65">
        <v>44561</v>
      </c>
      <c r="K951" s="71"/>
      <c r="L951" s="72"/>
      <c r="M951" s="71"/>
      <c r="N951" s="216">
        <v>0.2</v>
      </c>
      <c r="O951" s="71">
        <v>0.1</v>
      </c>
      <c r="P951" s="72">
        <v>0.1</v>
      </c>
    </row>
    <row r="952" spans="1:16">
      <c r="A952" s="295"/>
      <c r="B952" s="289"/>
      <c r="C952" s="296"/>
      <c r="D952" s="66" t="s">
        <v>415</v>
      </c>
      <c r="E952">
        <v>11</v>
      </c>
      <c r="G952" t="s">
        <v>429</v>
      </c>
      <c r="H952" s="65">
        <v>44561</v>
      </c>
      <c r="K952" s="71"/>
      <c r="L952" s="72"/>
      <c r="M952" s="71"/>
      <c r="N952" s="216">
        <v>14.4</v>
      </c>
      <c r="O952" s="71">
        <v>12.5</v>
      </c>
      <c r="P952" s="72">
        <v>13.4</v>
      </c>
    </row>
    <row r="953" spans="1:16">
      <c r="A953" s="295"/>
      <c r="B953" s="289"/>
      <c r="C953" s="296"/>
      <c r="D953" s="66" t="s">
        <v>415</v>
      </c>
      <c r="E953" t="s">
        <v>416</v>
      </c>
      <c r="G953" t="s">
        <v>429</v>
      </c>
      <c r="H953" s="65">
        <v>44561</v>
      </c>
      <c r="K953" s="71"/>
      <c r="L953" s="72"/>
      <c r="M953" s="71"/>
      <c r="N953" s="216">
        <v>22.3</v>
      </c>
      <c r="O953" s="71">
        <v>19.899999999999999</v>
      </c>
      <c r="P953" s="72">
        <v>22.7</v>
      </c>
    </row>
    <row r="954" spans="1:16">
      <c r="A954" s="295"/>
      <c r="B954" s="289"/>
      <c r="C954" s="296"/>
      <c r="D954" s="66" t="s">
        <v>417</v>
      </c>
      <c r="G954" t="s">
        <v>62</v>
      </c>
      <c r="H954" s="65">
        <v>44561</v>
      </c>
      <c r="K954" s="71"/>
      <c r="L954" s="72"/>
      <c r="M954" s="71"/>
      <c r="N954" s="216">
        <f>(N940+N941)/N942</f>
        <v>160.96828046744577</v>
      </c>
      <c r="O954" s="71">
        <v>146.755</v>
      </c>
      <c r="P954" s="72">
        <v>166.56</v>
      </c>
    </row>
    <row r="955" spans="1:16">
      <c r="A955" s="295"/>
      <c r="B955" s="293"/>
      <c r="C955" s="296"/>
      <c r="D955" s="66" t="s">
        <v>418</v>
      </c>
      <c r="H955" s="65">
        <v>44561</v>
      </c>
      <c r="K955" s="71"/>
      <c r="L955" s="72"/>
      <c r="M955" s="71"/>
      <c r="N955" s="216"/>
      <c r="O955" s="71"/>
      <c r="P955" s="74" t="s">
        <v>532</v>
      </c>
    </row>
    <row r="956" spans="1:16">
      <c r="A956" s="295" t="s">
        <v>238</v>
      </c>
      <c r="B956" s="292" t="s">
        <v>239</v>
      </c>
      <c r="C956" s="296" t="s">
        <v>240</v>
      </c>
      <c r="D956" s="66" t="s">
        <v>411</v>
      </c>
      <c r="G956" t="s">
        <v>429</v>
      </c>
      <c r="H956" s="65">
        <v>44561</v>
      </c>
      <c r="K956" s="71"/>
      <c r="L956" s="72"/>
      <c r="M956" s="71">
        <v>54.210290827740486</v>
      </c>
      <c r="N956" s="216">
        <v>52</v>
      </c>
      <c r="O956" s="71">
        <v>50.2</v>
      </c>
      <c r="P956" s="72">
        <v>52.3</v>
      </c>
    </row>
    <row r="957" spans="1:16">
      <c r="A957" s="295"/>
      <c r="B957" s="289"/>
      <c r="C957" s="296"/>
      <c r="D957" s="66" t="s">
        <v>412</v>
      </c>
      <c r="E957" t="s">
        <v>413</v>
      </c>
      <c r="G957" t="s">
        <v>429</v>
      </c>
      <c r="H957" s="65">
        <v>44561</v>
      </c>
      <c r="K957" s="71"/>
      <c r="L957" s="72"/>
      <c r="M957" s="71">
        <v>19</v>
      </c>
      <c r="N957" s="216">
        <v>19</v>
      </c>
      <c r="O957" s="71">
        <v>18.100000000000001</v>
      </c>
      <c r="P957" s="72">
        <v>15.5</v>
      </c>
    </row>
    <row r="958" spans="1:16">
      <c r="A958" s="295"/>
      <c r="B958" s="289"/>
      <c r="C958" s="296"/>
      <c r="D958" s="66" t="s">
        <v>414</v>
      </c>
      <c r="E958" t="s">
        <v>413</v>
      </c>
      <c r="G958" t="s">
        <v>429</v>
      </c>
      <c r="H958" s="65">
        <v>44561</v>
      </c>
      <c r="K958" s="71"/>
      <c r="L958" s="72"/>
      <c r="M958" s="71">
        <v>73.210290827740494</v>
      </c>
      <c r="N958" s="216">
        <v>71</v>
      </c>
      <c r="O958" s="71">
        <v>68.300000000000011</v>
      </c>
      <c r="P958" s="72">
        <v>67.8</v>
      </c>
    </row>
    <row r="959" spans="1:16">
      <c r="A959" s="295"/>
      <c r="B959" s="289"/>
      <c r="C959" s="296"/>
      <c r="D959" s="66" t="s">
        <v>415</v>
      </c>
      <c r="E959" t="s">
        <v>416</v>
      </c>
      <c r="G959" t="s">
        <v>429</v>
      </c>
      <c r="H959" s="65">
        <v>44561</v>
      </c>
      <c r="K959" s="71"/>
      <c r="L959" s="72"/>
      <c r="M959" s="71">
        <v>2134.52</v>
      </c>
      <c r="N959" s="216">
        <v>2071.7399999999998</v>
      </c>
      <c r="O959" s="71">
        <v>1946.18</v>
      </c>
      <c r="P959" s="72">
        <v>1930.4849999999999</v>
      </c>
    </row>
    <row r="960" spans="1:16">
      <c r="A960" s="295"/>
      <c r="B960" s="289"/>
      <c r="C960" s="296"/>
      <c r="D960" s="66" t="s">
        <v>417</v>
      </c>
      <c r="G960" t="s">
        <v>181</v>
      </c>
      <c r="H960" s="65">
        <v>44561</v>
      </c>
      <c r="K960" s="71"/>
      <c r="L960" s="72"/>
      <c r="M960" s="71">
        <v>4964</v>
      </c>
      <c r="N960" s="216">
        <v>4818</v>
      </c>
      <c r="O960" s="71">
        <v>4526</v>
      </c>
      <c r="P960" s="72">
        <v>4489.5</v>
      </c>
    </row>
    <row r="961" spans="1:16">
      <c r="A961" s="295"/>
      <c r="B961" s="293"/>
      <c r="C961" s="296"/>
      <c r="D961" s="66" t="s">
        <v>418</v>
      </c>
      <c r="H961" s="65"/>
      <c r="K961" s="71"/>
      <c r="L961" s="72"/>
      <c r="M961" s="71"/>
      <c r="N961" s="216"/>
      <c r="O961" s="71"/>
      <c r="P961" s="72"/>
    </row>
    <row r="962" spans="1:16">
      <c r="A962" s="295" t="s">
        <v>242</v>
      </c>
      <c r="B962" s="292" t="s">
        <v>243</v>
      </c>
      <c r="C962" s="296" t="s">
        <v>244</v>
      </c>
      <c r="D962" s="66" t="s">
        <v>411</v>
      </c>
      <c r="G962" t="s">
        <v>429</v>
      </c>
      <c r="H962" s="65">
        <v>44196</v>
      </c>
      <c r="I962" s="90" t="s">
        <v>970</v>
      </c>
      <c r="K962" s="71">
        <v>0.93325631030505496</v>
      </c>
      <c r="L962" s="72">
        <v>1.0145733542115101</v>
      </c>
      <c r="M962" s="71">
        <v>0.78712423475055404</v>
      </c>
      <c r="N962" s="216">
        <v>0.49535753618873202</v>
      </c>
      <c r="O962" s="71">
        <v>0.81038145236854997</v>
      </c>
      <c r="P962" s="72"/>
    </row>
    <row r="963" spans="1:16">
      <c r="A963" s="295"/>
      <c r="B963" s="289"/>
      <c r="C963" s="296"/>
      <c r="D963" s="66" t="s">
        <v>412</v>
      </c>
      <c r="E963" t="s">
        <v>413</v>
      </c>
      <c r="G963" t="s">
        <v>429</v>
      </c>
      <c r="H963" s="65">
        <v>44196</v>
      </c>
      <c r="I963" s="90" t="s">
        <v>970</v>
      </c>
      <c r="K963" s="71">
        <v>0</v>
      </c>
      <c r="L963" s="72">
        <v>0</v>
      </c>
      <c r="M963" s="71">
        <v>0</v>
      </c>
      <c r="N963" s="216">
        <v>0</v>
      </c>
      <c r="O963" s="71">
        <v>0</v>
      </c>
      <c r="P963" s="72"/>
    </row>
    <row r="964" spans="1:16">
      <c r="A964" s="295"/>
      <c r="B964" s="289"/>
      <c r="C964" s="296"/>
      <c r="D964" s="66" t="s">
        <v>414</v>
      </c>
      <c r="E964" t="s">
        <v>413</v>
      </c>
      <c r="G964" t="s">
        <v>429</v>
      </c>
      <c r="H964" s="65">
        <v>44196</v>
      </c>
      <c r="I964" s="90" t="s">
        <v>970</v>
      </c>
      <c r="K964" s="71">
        <v>0.93325631030505496</v>
      </c>
      <c r="L964" s="72">
        <v>1.0145733542115101</v>
      </c>
      <c r="M964" s="71">
        <v>0.78712423475055404</v>
      </c>
      <c r="N964" s="216">
        <v>0.49535753618873202</v>
      </c>
      <c r="O964" s="71">
        <v>0.81038145236854997</v>
      </c>
      <c r="P964" s="72"/>
    </row>
    <row r="965" spans="1:16">
      <c r="A965" s="295"/>
      <c r="B965" s="289"/>
      <c r="C965" s="296"/>
      <c r="D965" s="66" t="s">
        <v>415</v>
      </c>
      <c r="E965" t="s">
        <v>416</v>
      </c>
      <c r="G965" t="s">
        <v>429</v>
      </c>
      <c r="H965" s="65">
        <v>44196</v>
      </c>
      <c r="I965" s="90" t="s">
        <v>970</v>
      </c>
      <c r="K965" s="71"/>
      <c r="L965" s="72"/>
      <c r="M965" s="71"/>
      <c r="N965" s="216"/>
      <c r="O965" s="71"/>
      <c r="P965" s="72"/>
    </row>
    <row r="966" spans="1:16">
      <c r="A966" s="295"/>
      <c r="B966" s="289"/>
      <c r="C966" s="296"/>
      <c r="D966" s="66" t="s">
        <v>417</v>
      </c>
      <c r="G966" t="s">
        <v>62</v>
      </c>
      <c r="H966" s="65">
        <v>44196</v>
      </c>
      <c r="I966" s="90" t="s">
        <v>970</v>
      </c>
      <c r="K966" s="71">
        <v>2.4300410000000001</v>
      </c>
      <c r="L966" s="72">
        <v>2.6489569999999998</v>
      </c>
      <c r="M966" s="71">
        <v>2.03335</v>
      </c>
      <c r="N966" s="216">
        <v>1.263015</v>
      </c>
      <c r="O966" s="71">
        <v>2.1170110000000002</v>
      </c>
      <c r="P966" s="72"/>
    </row>
    <row r="967" spans="1:16">
      <c r="A967" s="295"/>
      <c r="B967" s="293"/>
      <c r="C967" s="296"/>
      <c r="D967" s="66" t="s">
        <v>418</v>
      </c>
      <c r="H967" s="65"/>
      <c r="I967" s="90" t="s">
        <v>970</v>
      </c>
      <c r="K967" s="71"/>
      <c r="L967" s="72"/>
      <c r="M967" s="71"/>
      <c r="N967" s="216"/>
      <c r="O967" s="71"/>
      <c r="P967" s="72"/>
    </row>
    <row r="968" spans="1:16">
      <c r="A968" s="295" t="s">
        <v>242</v>
      </c>
      <c r="B968" s="292" t="s">
        <v>243</v>
      </c>
      <c r="C968" s="296" t="s">
        <v>244</v>
      </c>
      <c r="D968" s="66" t="s">
        <v>411</v>
      </c>
      <c r="G968" t="s">
        <v>429</v>
      </c>
      <c r="H968" s="65">
        <v>44561</v>
      </c>
      <c r="K968" s="71"/>
      <c r="L968" s="72"/>
      <c r="M968" s="71">
        <v>5.9</v>
      </c>
      <c r="N968" s="216">
        <v>5.5</v>
      </c>
      <c r="O968" s="71">
        <v>6.7</v>
      </c>
      <c r="P968" s="72">
        <v>6.8</v>
      </c>
    </row>
    <row r="969" spans="1:16">
      <c r="A969" s="295"/>
      <c r="B969" s="289"/>
      <c r="C969" s="296"/>
      <c r="D969" s="66" t="s">
        <v>412</v>
      </c>
      <c r="E969" t="s">
        <v>413</v>
      </c>
      <c r="G969" t="s">
        <v>429</v>
      </c>
      <c r="H969" s="65">
        <v>44561</v>
      </c>
      <c r="K969" s="71"/>
      <c r="L969" s="72"/>
      <c r="M969" s="71">
        <v>0.51400000000000001</v>
      </c>
      <c r="N969" s="216">
        <v>0.14599999999999999</v>
      </c>
      <c r="O969" s="71">
        <v>0.151</v>
      </c>
      <c r="P969" s="72">
        <v>0.376</v>
      </c>
    </row>
    <row r="970" spans="1:16">
      <c r="A970" s="295"/>
      <c r="B970" s="289"/>
      <c r="C970" s="296"/>
      <c r="D970" s="66" t="s">
        <v>414</v>
      </c>
      <c r="E970" t="s">
        <v>413</v>
      </c>
      <c r="G970" t="s">
        <v>429</v>
      </c>
      <c r="H970" s="65">
        <v>44561</v>
      </c>
      <c r="K970" s="71"/>
      <c r="L970" s="72"/>
      <c r="M970" s="71">
        <f>SUM(M968:M969)</f>
        <v>6.4140000000000006</v>
      </c>
      <c r="N970" s="216">
        <f t="shared" ref="N970:P970" si="21">SUM(N968:N969)</f>
        <v>5.6459999999999999</v>
      </c>
      <c r="O970" s="71">
        <f t="shared" si="21"/>
        <v>6.851</v>
      </c>
      <c r="P970" s="72">
        <f t="shared" si="21"/>
        <v>7.1760000000000002</v>
      </c>
    </row>
    <row r="971" spans="1:16">
      <c r="A971" s="295"/>
      <c r="B971" s="289"/>
      <c r="C971" s="296"/>
      <c r="D971" s="66" t="s">
        <v>415</v>
      </c>
      <c r="E971">
        <v>11</v>
      </c>
      <c r="G971" t="s">
        <v>429</v>
      </c>
      <c r="H971" s="65">
        <v>44561</v>
      </c>
      <c r="I971" s="90" t="s">
        <v>970</v>
      </c>
      <c r="K971" s="71"/>
      <c r="L971" s="72"/>
      <c r="M971" s="71">
        <v>67.400000000000006</v>
      </c>
      <c r="N971" s="216">
        <v>64.8</v>
      </c>
      <c r="O971" s="71">
        <v>65.3</v>
      </c>
      <c r="P971" s="72">
        <v>66.2</v>
      </c>
    </row>
    <row r="972" spans="1:16">
      <c r="A972" s="295"/>
      <c r="B972" s="289"/>
      <c r="C972" s="296"/>
      <c r="D972" s="66" t="s">
        <v>417</v>
      </c>
      <c r="G972" t="s">
        <v>57</v>
      </c>
      <c r="H972" s="65">
        <v>44561</v>
      </c>
      <c r="K972" s="71"/>
      <c r="L972" s="72"/>
      <c r="M972" s="71">
        <v>148809</v>
      </c>
      <c r="N972" s="216">
        <v>151324</v>
      </c>
      <c r="O972" s="71">
        <v>149037</v>
      </c>
      <c r="P972" s="72">
        <v>152271</v>
      </c>
    </row>
    <row r="973" spans="1:16">
      <c r="A973" s="295"/>
      <c r="B973" s="289"/>
      <c r="C973" s="296"/>
      <c r="D973" s="66" t="s">
        <v>417</v>
      </c>
      <c r="E973" t="s">
        <v>540</v>
      </c>
      <c r="G973" t="s">
        <v>1073</v>
      </c>
      <c r="H973" s="65">
        <v>44561</v>
      </c>
      <c r="I973" s="90" t="s">
        <v>970</v>
      </c>
      <c r="K973" s="71"/>
      <c r="L973" s="72"/>
      <c r="M973" s="71">
        <v>925</v>
      </c>
      <c r="N973" s="216">
        <v>950</v>
      </c>
      <c r="O973" s="71">
        <v>970</v>
      </c>
      <c r="P973" s="72">
        <v>969</v>
      </c>
    </row>
    <row r="974" spans="1:16">
      <c r="A974" s="295"/>
      <c r="B974" s="293"/>
      <c r="C974" s="296"/>
      <c r="D974" s="66" t="s">
        <v>418</v>
      </c>
      <c r="H974" s="65"/>
      <c r="K974" s="71"/>
      <c r="L974" s="72"/>
      <c r="M974" s="71"/>
      <c r="N974" s="216"/>
      <c r="O974" s="71"/>
      <c r="P974" s="72" t="s">
        <v>531</v>
      </c>
    </row>
    <row r="975" spans="1:16">
      <c r="A975" s="295" t="s">
        <v>245</v>
      </c>
      <c r="B975" s="292" t="s">
        <v>246</v>
      </c>
      <c r="C975" s="296" t="s">
        <v>247</v>
      </c>
      <c r="D975" s="66" t="s">
        <v>411</v>
      </c>
      <c r="G975" t="s">
        <v>429</v>
      </c>
      <c r="H975" s="65">
        <v>44561</v>
      </c>
      <c r="K975" s="71">
        <v>68</v>
      </c>
      <c r="L975" s="72">
        <v>73</v>
      </c>
      <c r="M975" s="71">
        <v>71</v>
      </c>
      <c r="N975" s="216">
        <v>70</v>
      </c>
      <c r="O975" s="71">
        <v>63</v>
      </c>
      <c r="P975" s="72">
        <v>60</v>
      </c>
    </row>
    <row r="976" spans="1:16">
      <c r="A976" s="295"/>
      <c r="B976" s="289"/>
      <c r="C976" s="296"/>
      <c r="D976" s="66" t="s">
        <v>412</v>
      </c>
      <c r="E976" t="s">
        <v>413</v>
      </c>
      <c r="G976" t="s">
        <v>429</v>
      </c>
      <c r="H976" s="65">
        <v>44561</v>
      </c>
      <c r="K976" s="71"/>
      <c r="L976" s="72">
        <v>12</v>
      </c>
      <c r="M976" s="71">
        <v>11</v>
      </c>
      <c r="N976" s="216">
        <v>10</v>
      </c>
      <c r="O976" s="71">
        <v>8</v>
      </c>
      <c r="P976" s="72">
        <v>8</v>
      </c>
    </row>
    <row r="977" spans="1:16">
      <c r="A977" s="295"/>
      <c r="B977" s="289"/>
      <c r="C977" s="296"/>
      <c r="D977" s="66" t="s">
        <v>414</v>
      </c>
      <c r="E977" t="s">
        <v>413</v>
      </c>
      <c r="G977" t="s">
        <v>429</v>
      </c>
      <c r="H977" s="65">
        <v>44561</v>
      </c>
      <c r="K977" s="71">
        <v>68</v>
      </c>
      <c r="L977" s="72">
        <v>85</v>
      </c>
      <c r="M977" s="71">
        <v>82</v>
      </c>
      <c r="N977" s="216">
        <v>80</v>
      </c>
      <c r="O977" s="71">
        <v>71</v>
      </c>
      <c r="P977" s="72">
        <v>68</v>
      </c>
    </row>
    <row r="978" spans="1:16">
      <c r="A978" s="295"/>
      <c r="B978" s="289"/>
      <c r="C978" s="296"/>
      <c r="D978" s="66" t="s">
        <v>415</v>
      </c>
      <c r="E978" t="s">
        <v>416</v>
      </c>
      <c r="G978" t="s">
        <v>429</v>
      </c>
      <c r="H978" s="65">
        <v>44561</v>
      </c>
      <c r="K978" s="71">
        <v>2909</v>
      </c>
      <c r="L978" s="72">
        <v>2909</v>
      </c>
      <c r="M978" s="71">
        <v>2988</v>
      </c>
      <c r="N978" s="216">
        <v>2823</v>
      </c>
      <c r="O978" s="71">
        <v>2358</v>
      </c>
      <c r="P978" s="72">
        <v>2309</v>
      </c>
    </row>
    <row r="979" spans="1:16">
      <c r="A979" s="295"/>
      <c r="B979" s="289"/>
      <c r="C979" s="296"/>
      <c r="D979" s="66" t="s">
        <v>417</v>
      </c>
      <c r="G979" t="s">
        <v>248</v>
      </c>
      <c r="H979" s="65">
        <v>44561</v>
      </c>
      <c r="K979" s="71">
        <v>21.44</v>
      </c>
      <c r="L979" s="72">
        <v>21.44</v>
      </c>
      <c r="M979" s="71">
        <v>22</v>
      </c>
      <c r="N979" s="216">
        <v>21.05</v>
      </c>
      <c r="O979" s="71">
        <v>18.399999999999999</v>
      </c>
      <c r="P979" s="72">
        <v>17.89</v>
      </c>
    </row>
    <row r="980" spans="1:16">
      <c r="A980" s="295"/>
      <c r="B980" s="293"/>
      <c r="C980" s="296"/>
      <c r="D980" s="66" t="s">
        <v>418</v>
      </c>
      <c r="H980" s="65"/>
      <c r="K980" s="71"/>
      <c r="L980" s="72"/>
      <c r="M980" s="71"/>
      <c r="N980" s="216"/>
      <c r="O980" s="71"/>
      <c r="P980" s="72"/>
    </row>
    <row r="981" spans="1:16">
      <c r="A981" s="295" t="s">
        <v>249</v>
      </c>
      <c r="B981" s="292" t="s">
        <v>250</v>
      </c>
      <c r="C981" s="296" t="s">
        <v>251</v>
      </c>
      <c r="D981" s="66" t="s">
        <v>411</v>
      </c>
      <c r="G981" t="s">
        <v>429</v>
      </c>
      <c r="H981" s="65">
        <v>44561</v>
      </c>
      <c r="K981" s="71"/>
      <c r="L981" s="72"/>
      <c r="M981" s="71"/>
      <c r="N981" s="216">
        <v>125.68</v>
      </c>
      <c r="O981" s="71">
        <v>128.58000000000001</v>
      </c>
      <c r="P981" s="72">
        <v>148.38</v>
      </c>
    </row>
    <row r="982" spans="1:16">
      <c r="A982" s="295"/>
      <c r="B982" s="289"/>
      <c r="C982" s="296"/>
      <c r="D982" s="66" t="s">
        <v>412</v>
      </c>
      <c r="E982" t="s">
        <v>413</v>
      </c>
      <c r="G982" t="s">
        <v>429</v>
      </c>
      <c r="H982" s="65">
        <v>44561</v>
      </c>
      <c r="K982" s="71"/>
      <c r="L982" s="72"/>
      <c r="M982" s="71"/>
      <c r="N982" s="216">
        <v>45.01</v>
      </c>
      <c r="O982" s="71">
        <v>42.36</v>
      </c>
      <c r="P982" s="72">
        <v>24.18</v>
      </c>
    </row>
    <row r="983" spans="1:16">
      <c r="A983" s="295"/>
      <c r="B983" s="289"/>
      <c r="C983" s="296"/>
      <c r="D983" s="66" t="s">
        <v>414</v>
      </c>
      <c r="E983" t="s">
        <v>413</v>
      </c>
      <c r="G983" t="s">
        <v>429</v>
      </c>
      <c r="H983" s="65">
        <v>44561</v>
      </c>
      <c r="K983" s="71"/>
      <c r="L983" s="72"/>
      <c r="M983" s="71"/>
      <c r="N983" s="216">
        <v>170.69</v>
      </c>
      <c r="O983" s="71">
        <v>170.94</v>
      </c>
      <c r="P983" s="72">
        <v>172.56</v>
      </c>
    </row>
    <row r="984" spans="1:16">
      <c r="A984" s="295"/>
      <c r="B984" s="289"/>
      <c r="C984" s="296"/>
      <c r="D984" s="66" t="s">
        <v>415</v>
      </c>
      <c r="E984" t="s">
        <v>416</v>
      </c>
      <c r="G984" t="s">
        <v>429</v>
      </c>
      <c r="H984" s="65">
        <v>44561</v>
      </c>
      <c r="K984" s="71"/>
      <c r="L984" s="72"/>
      <c r="M984" s="71"/>
      <c r="N984" s="216">
        <v>197.3356</v>
      </c>
      <c r="O984" s="71">
        <v>197.37860000000001</v>
      </c>
      <c r="P984" s="72">
        <v>206.28819999999999</v>
      </c>
    </row>
    <row r="985" spans="1:16">
      <c r="A985" s="295"/>
      <c r="B985" s="289"/>
      <c r="C985" s="296"/>
      <c r="D985" s="66" t="s">
        <v>417</v>
      </c>
      <c r="G985" t="s">
        <v>181</v>
      </c>
      <c r="H985" s="65">
        <v>44561</v>
      </c>
      <c r="K985" s="71"/>
      <c r="L985" s="72"/>
      <c r="M985" s="71"/>
      <c r="N985" s="216">
        <v>458.92</v>
      </c>
      <c r="O985" s="71">
        <v>459.02</v>
      </c>
      <c r="P985" s="72">
        <v>479.74</v>
      </c>
    </row>
    <row r="986" spans="1:16">
      <c r="A986" s="295"/>
      <c r="B986" s="293"/>
      <c r="C986" s="296"/>
      <c r="D986" s="66" t="s">
        <v>418</v>
      </c>
      <c r="H986" s="65"/>
      <c r="K986" s="71"/>
      <c r="L986" s="72"/>
      <c r="M986" s="71"/>
      <c r="N986" s="216"/>
      <c r="O986" s="71"/>
      <c r="P986" s="72"/>
    </row>
    <row r="987" spans="1:16">
      <c r="A987" s="295" t="s">
        <v>253</v>
      </c>
      <c r="B987" s="292" t="s">
        <v>254</v>
      </c>
      <c r="C987" s="296" t="s">
        <v>255</v>
      </c>
      <c r="D987" s="66" t="s">
        <v>411</v>
      </c>
      <c r="G987" t="s">
        <v>428</v>
      </c>
      <c r="H987" s="65">
        <v>44561</v>
      </c>
      <c r="K987" s="71"/>
      <c r="L987" s="72">
        <v>10515907</v>
      </c>
      <c r="M987" s="71">
        <v>10484559</v>
      </c>
      <c r="N987" s="216">
        <v>10117596</v>
      </c>
      <c r="O987" s="71">
        <v>9703851</v>
      </c>
      <c r="P987" s="72">
        <v>8521728.0528707132</v>
      </c>
    </row>
    <row r="988" spans="1:16">
      <c r="A988" s="295"/>
      <c r="B988" s="289"/>
      <c r="C988" s="296"/>
      <c r="D988" s="66" t="s">
        <v>412</v>
      </c>
      <c r="E988" t="s">
        <v>413</v>
      </c>
      <c r="G988" t="s">
        <v>428</v>
      </c>
      <c r="H988" s="65">
        <v>44561</v>
      </c>
      <c r="K988" s="71"/>
      <c r="L988" s="72">
        <v>2387301</v>
      </c>
      <c r="M988" s="71">
        <v>2480244</v>
      </c>
      <c r="N988" s="216">
        <v>2400554</v>
      </c>
      <c r="O988" s="71">
        <v>2389387</v>
      </c>
      <c r="P988" s="72">
        <v>2378271.9471292882</v>
      </c>
    </row>
    <row r="989" spans="1:16">
      <c r="A989" s="295"/>
      <c r="B989" s="289"/>
      <c r="C989" s="296"/>
      <c r="D989" s="66" t="s">
        <v>414</v>
      </c>
      <c r="E989" t="s">
        <v>413</v>
      </c>
      <c r="G989" t="s">
        <v>428</v>
      </c>
      <c r="H989" s="65">
        <v>44561</v>
      </c>
      <c r="K989" s="71"/>
      <c r="L989" s="72">
        <v>12903208</v>
      </c>
      <c r="M989" s="71">
        <v>12964803</v>
      </c>
      <c r="N989" s="216">
        <v>12518150</v>
      </c>
      <c r="O989" s="71">
        <v>12093238</v>
      </c>
      <c r="P989" s="72">
        <v>10900000</v>
      </c>
    </row>
    <row r="990" spans="1:16">
      <c r="A990" s="295"/>
      <c r="B990" s="289"/>
      <c r="C990" s="296"/>
      <c r="D990" s="66" t="s">
        <v>415</v>
      </c>
      <c r="E990" t="s">
        <v>416</v>
      </c>
      <c r="G990" t="s">
        <v>428</v>
      </c>
      <c r="H990" s="65">
        <v>44561</v>
      </c>
      <c r="K990" s="71"/>
      <c r="L990" s="72">
        <v>151800000</v>
      </c>
      <c r="M990" s="71">
        <v>151800000</v>
      </c>
      <c r="N990" s="216">
        <v>151800000</v>
      </c>
      <c r="O990" s="71">
        <v>131470000</v>
      </c>
      <c r="P990" s="72">
        <v>118350000</v>
      </c>
    </row>
    <row r="991" spans="1:16">
      <c r="A991" s="295"/>
      <c r="B991" s="289"/>
      <c r="C991" s="296"/>
      <c r="D991" s="66" t="s">
        <v>417</v>
      </c>
      <c r="G991" t="s">
        <v>256</v>
      </c>
      <c r="H991" s="65">
        <v>44561</v>
      </c>
      <c r="K991" s="71"/>
      <c r="L991" s="72">
        <v>353023255.81395352</v>
      </c>
      <c r="M991" s="71">
        <v>353023255.81395352</v>
      </c>
      <c r="N991" s="216">
        <v>353023255.81395352</v>
      </c>
      <c r="O991" s="71">
        <v>305744186.04651171</v>
      </c>
      <c r="P991" s="72">
        <v>329383720.93023258</v>
      </c>
    </row>
    <row r="992" spans="1:16">
      <c r="A992" s="295"/>
      <c r="B992" s="293"/>
      <c r="C992" s="296"/>
      <c r="D992" s="66" t="s">
        <v>418</v>
      </c>
      <c r="H992" s="65"/>
      <c r="K992" s="71"/>
      <c r="L992" s="72"/>
      <c r="M992" s="71"/>
      <c r="N992" s="216"/>
      <c r="O992" s="71"/>
      <c r="P992" s="72"/>
    </row>
    <row r="993" spans="1:16">
      <c r="A993" s="295" t="s">
        <v>257</v>
      </c>
      <c r="B993" s="292" t="s">
        <v>258</v>
      </c>
      <c r="C993" s="296" t="s">
        <v>259</v>
      </c>
      <c r="D993" s="66" t="s">
        <v>411</v>
      </c>
      <c r="E993" t="s">
        <v>449</v>
      </c>
      <c r="G993" t="s">
        <v>429</v>
      </c>
      <c r="H993" s="65">
        <v>44462</v>
      </c>
      <c r="K993" s="71"/>
      <c r="L993" s="72">
        <v>99.9</v>
      </c>
      <c r="M993" s="71">
        <v>101.2</v>
      </c>
      <c r="N993" s="216">
        <v>86.7</v>
      </c>
      <c r="O993" s="71">
        <v>73.599999999999994</v>
      </c>
      <c r="P993" s="72">
        <v>80.8</v>
      </c>
    </row>
    <row r="994" spans="1:16">
      <c r="A994" s="295"/>
      <c r="B994" s="289"/>
      <c r="C994" s="296"/>
      <c r="D994" s="66" t="s">
        <v>577</v>
      </c>
      <c r="E994" t="s">
        <v>449</v>
      </c>
      <c r="G994" t="s">
        <v>437</v>
      </c>
      <c r="H994" s="65">
        <v>44462</v>
      </c>
      <c r="K994" s="71"/>
      <c r="L994" s="72">
        <v>1124</v>
      </c>
      <c r="M994" s="71">
        <v>1080</v>
      </c>
      <c r="N994" s="216">
        <v>983</v>
      </c>
      <c r="O994" s="71">
        <v>886</v>
      </c>
      <c r="P994" s="72">
        <v>932</v>
      </c>
    </row>
    <row r="995" spans="1:16">
      <c r="A995" s="295"/>
      <c r="B995" s="289"/>
      <c r="C995" s="296"/>
      <c r="D995" s="66" t="s">
        <v>412</v>
      </c>
      <c r="E995" t="s">
        <v>420</v>
      </c>
      <c r="G995" t="s">
        <v>429</v>
      </c>
      <c r="H995" s="65">
        <v>44462</v>
      </c>
      <c r="K995" s="71"/>
      <c r="L995" s="72"/>
      <c r="M995" s="71"/>
      <c r="N995" s="216">
        <v>0.2</v>
      </c>
      <c r="O995" s="71">
        <v>0.2</v>
      </c>
      <c r="P995" s="72">
        <v>0.2</v>
      </c>
    </row>
    <row r="996" spans="1:16">
      <c r="A996" s="295"/>
      <c r="B996" s="289"/>
      <c r="C996" s="296"/>
      <c r="D996" s="66" t="s">
        <v>414</v>
      </c>
      <c r="E996" t="s">
        <v>420</v>
      </c>
      <c r="G996" t="s">
        <v>429</v>
      </c>
      <c r="H996" s="65">
        <v>44462</v>
      </c>
      <c r="K996" s="71"/>
      <c r="L996" s="72">
        <f>L993+L995</f>
        <v>99.9</v>
      </c>
      <c r="M996" s="71">
        <f>M993+M995</f>
        <v>101.2</v>
      </c>
      <c r="N996" s="216">
        <f>N993+N995</f>
        <v>86.9</v>
      </c>
      <c r="O996" s="71">
        <f>O993+O995</f>
        <v>73.8</v>
      </c>
      <c r="P996" s="72">
        <f>P993+P995</f>
        <v>81</v>
      </c>
    </row>
    <row r="997" spans="1:16">
      <c r="A997" s="295"/>
      <c r="B997" s="289"/>
      <c r="C997" s="296"/>
      <c r="D997" s="66" t="s">
        <v>415</v>
      </c>
      <c r="E997" t="s">
        <v>416</v>
      </c>
      <c r="G997" t="s">
        <v>429</v>
      </c>
      <c r="H997" s="65">
        <v>44462</v>
      </c>
      <c r="K997" s="71"/>
      <c r="L997" s="72">
        <v>37</v>
      </c>
      <c r="M997" s="71">
        <v>39.4</v>
      </c>
      <c r="N997" s="216">
        <v>38.799999999999997</v>
      </c>
      <c r="O997" s="71">
        <v>36.6</v>
      </c>
      <c r="P997" s="72">
        <v>34.799999999999997</v>
      </c>
    </row>
    <row r="998" spans="1:16">
      <c r="A998" s="295"/>
      <c r="B998" s="289"/>
      <c r="C998" s="296"/>
      <c r="D998" s="66" t="s">
        <v>417</v>
      </c>
      <c r="G998" t="s">
        <v>62</v>
      </c>
      <c r="H998" s="65">
        <v>44462</v>
      </c>
      <c r="K998" s="71"/>
      <c r="L998" s="72">
        <f>2204.62*L993/L994</f>
        <v>195.94442882562277</v>
      </c>
      <c r="M998" s="71">
        <f t="shared" ref="M998:O998" si="22">2204.62*M993/M994</f>
        <v>206.58105925925926</v>
      </c>
      <c r="N998" s="216">
        <f t="shared" si="22"/>
        <v>194.44613835198373</v>
      </c>
      <c r="O998" s="71">
        <f t="shared" si="22"/>
        <v>183.13773363431147</v>
      </c>
      <c r="P998" s="72">
        <f>2204.62*P993/P994</f>
        <v>191.13014592274675</v>
      </c>
    </row>
    <row r="999" spans="1:16">
      <c r="A999" s="295"/>
      <c r="B999" s="289"/>
      <c r="C999" s="296"/>
      <c r="D999" s="66" t="s">
        <v>473</v>
      </c>
      <c r="H999" s="65"/>
      <c r="K999" s="71"/>
      <c r="L999" s="72"/>
      <c r="M999" s="71"/>
      <c r="N999" s="216"/>
      <c r="O999" s="71"/>
      <c r="P999" s="74" t="s">
        <v>1117</v>
      </c>
    </row>
    <row r="1000" spans="1:16">
      <c r="A1000" s="295"/>
      <c r="B1000" s="293"/>
      <c r="C1000" s="296"/>
      <c r="D1000" s="66" t="s">
        <v>418</v>
      </c>
      <c r="H1000" s="65"/>
      <c r="K1000" s="71"/>
      <c r="L1000" s="72"/>
      <c r="M1000" s="71"/>
      <c r="N1000" s="216"/>
      <c r="O1000" s="71"/>
      <c r="P1000" s="74" t="s">
        <v>1116</v>
      </c>
    </row>
    <row r="1001" spans="1:16">
      <c r="A1001" s="295" t="s">
        <v>260</v>
      </c>
      <c r="B1001" s="292" t="s">
        <v>261</v>
      </c>
      <c r="C1001" s="296" t="s">
        <v>262</v>
      </c>
      <c r="D1001" s="66" t="s">
        <v>411</v>
      </c>
      <c r="G1001" t="s">
        <v>428</v>
      </c>
      <c r="H1001" s="65">
        <v>44561</v>
      </c>
      <c r="K1001" s="71">
        <v>3215942</v>
      </c>
      <c r="L1001" s="72">
        <v>3215942</v>
      </c>
      <c r="M1001" s="71">
        <v>3299883</v>
      </c>
      <c r="N1001" s="216">
        <v>3145097</v>
      </c>
      <c r="O1001" s="71">
        <v>3063829.9454545402</v>
      </c>
      <c r="P1001" s="72"/>
    </row>
    <row r="1002" spans="1:16">
      <c r="A1002" s="295"/>
      <c r="B1002" s="289"/>
      <c r="C1002" s="296"/>
      <c r="D1002" s="66" t="s">
        <v>412</v>
      </c>
      <c r="E1002" t="s">
        <v>413</v>
      </c>
      <c r="G1002" t="s">
        <v>428</v>
      </c>
      <c r="H1002" s="65">
        <v>44561</v>
      </c>
      <c r="K1002" s="71">
        <v>1700245</v>
      </c>
      <c r="L1002" s="72">
        <v>1700245</v>
      </c>
      <c r="M1002" s="71">
        <v>1863045</v>
      </c>
      <c r="N1002" s="216">
        <v>1744669</v>
      </c>
      <c r="O1002" s="71">
        <v>1694260.13636364</v>
      </c>
      <c r="P1002" s="72"/>
    </row>
    <row r="1003" spans="1:16">
      <c r="A1003" s="295"/>
      <c r="B1003" s="289"/>
      <c r="C1003" s="296"/>
      <c r="D1003" s="66" t="s">
        <v>414</v>
      </c>
      <c r="E1003" t="s">
        <v>413</v>
      </c>
      <c r="G1003" t="s">
        <v>428</v>
      </c>
      <c r="H1003" s="65">
        <v>44561</v>
      </c>
      <c r="K1003" s="71">
        <v>4916187</v>
      </c>
      <c r="L1003" s="72">
        <v>4916187</v>
      </c>
      <c r="M1003" s="71">
        <v>5162928</v>
      </c>
      <c r="N1003" s="216">
        <v>4889766</v>
      </c>
      <c r="O1003" s="71">
        <v>4758090.0818181802</v>
      </c>
      <c r="P1003" s="72"/>
    </row>
    <row r="1004" spans="1:16">
      <c r="A1004" s="295"/>
      <c r="B1004" s="289"/>
      <c r="C1004" s="296"/>
      <c r="D1004" s="66" t="s">
        <v>415</v>
      </c>
      <c r="E1004" t="s">
        <v>416</v>
      </c>
      <c r="G1004" t="s">
        <v>428</v>
      </c>
      <c r="H1004" s="65">
        <v>44561</v>
      </c>
      <c r="K1004" s="71"/>
      <c r="L1004" s="72"/>
      <c r="M1004" s="71"/>
      <c r="N1004" s="216"/>
      <c r="O1004" s="71"/>
      <c r="P1004" s="72"/>
    </row>
    <row r="1005" spans="1:16">
      <c r="A1005" s="295"/>
      <c r="B1005" s="289"/>
      <c r="C1005" s="296"/>
      <c r="D1005" s="66" t="s">
        <v>417</v>
      </c>
      <c r="G1005" t="s">
        <v>96</v>
      </c>
      <c r="H1005" s="65">
        <v>44561</v>
      </c>
      <c r="K1005" s="71">
        <v>8529969</v>
      </c>
      <c r="L1005" s="72">
        <v>8529969</v>
      </c>
      <c r="M1005" s="71">
        <v>9074135</v>
      </c>
      <c r="N1005" s="216">
        <v>8793160</v>
      </c>
      <c r="O1005" s="71">
        <v>8925057.4000000004</v>
      </c>
      <c r="P1005" s="72"/>
    </row>
    <row r="1006" spans="1:16">
      <c r="A1006" s="295"/>
      <c r="B1006" s="293"/>
      <c r="C1006" s="296"/>
      <c r="D1006" s="66" t="s">
        <v>418</v>
      </c>
      <c r="H1006" s="65"/>
      <c r="K1006" s="71"/>
      <c r="L1006" s="72"/>
      <c r="M1006" s="71"/>
      <c r="N1006" s="216"/>
      <c r="O1006" s="71"/>
      <c r="P1006" s="72"/>
    </row>
    <row r="1007" spans="1:16">
      <c r="A1007" s="295" t="s">
        <v>260</v>
      </c>
      <c r="B1007" s="292" t="s">
        <v>261</v>
      </c>
      <c r="C1007" s="296" t="s">
        <v>262</v>
      </c>
      <c r="D1007" s="66" t="s">
        <v>411</v>
      </c>
      <c r="G1007" t="s">
        <v>428</v>
      </c>
      <c r="H1007" s="65">
        <v>44834</v>
      </c>
      <c r="K1007" s="71"/>
      <c r="L1007" s="72"/>
      <c r="M1007" s="71"/>
      <c r="N1007" s="216">
        <v>1758419</v>
      </c>
      <c r="O1007" s="71">
        <v>1752210</v>
      </c>
      <c r="P1007" s="72">
        <v>1860789</v>
      </c>
    </row>
    <row r="1008" spans="1:16">
      <c r="A1008" s="295"/>
      <c r="B1008" s="289"/>
      <c r="C1008" s="296"/>
      <c r="D1008" s="66" t="s">
        <v>412</v>
      </c>
      <c r="E1008" t="s">
        <v>413</v>
      </c>
      <c r="G1008" t="s">
        <v>428</v>
      </c>
      <c r="H1008" s="65">
        <v>44834</v>
      </c>
      <c r="K1008" s="71"/>
      <c r="L1008" s="72"/>
      <c r="M1008" s="71"/>
      <c r="N1008" s="216">
        <v>2371818</v>
      </c>
      <c r="O1008" s="71">
        <v>1951165</v>
      </c>
      <c r="P1008" s="72">
        <v>1964822</v>
      </c>
    </row>
    <row r="1009" spans="1:17">
      <c r="A1009" s="295"/>
      <c r="B1009" s="289"/>
      <c r="C1009" s="296"/>
      <c r="D1009" s="66" t="s">
        <v>914</v>
      </c>
      <c r="E1009" t="s">
        <v>413</v>
      </c>
      <c r="G1009" t="s">
        <v>428</v>
      </c>
      <c r="H1009" s="65">
        <v>44834</v>
      </c>
      <c r="K1009" s="71"/>
      <c r="L1009" s="72"/>
      <c r="M1009" s="71"/>
      <c r="N1009" s="216">
        <f>SUM(N1007:N1008)</f>
        <v>4130237</v>
      </c>
      <c r="O1009" s="71">
        <f t="shared" ref="O1009:P1009" si="23">SUM(O1007:O1008)</f>
        <v>3703375</v>
      </c>
      <c r="P1009" s="72">
        <f t="shared" si="23"/>
        <v>3825611</v>
      </c>
    </row>
    <row r="1010" spans="1:17">
      <c r="A1010" s="295"/>
      <c r="B1010" s="289"/>
      <c r="C1010" s="296"/>
      <c r="D1010" s="66" t="s">
        <v>1119</v>
      </c>
      <c r="G1010" t="s">
        <v>608</v>
      </c>
      <c r="H1010" s="65">
        <v>44834</v>
      </c>
      <c r="K1010" s="71"/>
      <c r="L1010" s="72"/>
      <c r="M1010" s="71"/>
      <c r="N1010" s="216">
        <v>0.47</v>
      </c>
      <c r="O1010" s="71">
        <v>0.42899999999999999</v>
      </c>
      <c r="P1010" s="72">
        <v>0.42</v>
      </c>
    </row>
    <row r="1011" spans="1:17">
      <c r="A1011" s="295"/>
      <c r="B1011" s="289"/>
      <c r="C1011" s="296"/>
      <c r="D1011" s="66" t="s">
        <v>415</v>
      </c>
      <c r="E1011" t="s">
        <v>416</v>
      </c>
      <c r="G1011" t="s">
        <v>428</v>
      </c>
      <c r="H1011" s="65">
        <v>44834</v>
      </c>
      <c r="K1011" s="71"/>
      <c r="L1011" s="72"/>
      <c r="M1011" s="71"/>
      <c r="N1011" s="216">
        <f>O1011+200000</f>
        <v>3785360</v>
      </c>
      <c r="O1011" s="71">
        <v>3585360</v>
      </c>
      <c r="P1011" s="72">
        <v>3514343</v>
      </c>
    </row>
    <row r="1012" spans="1:17">
      <c r="A1012" s="295"/>
      <c r="B1012" s="289"/>
      <c r="C1012" s="296"/>
      <c r="D1012" s="66" t="s">
        <v>417</v>
      </c>
      <c r="G1012" t="s">
        <v>96</v>
      </c>
      <c r="H1012" s="65">
        <v>44834</v>
      </c>
      <c r="K1012" s="71"/>
      <c r="L1012" s="72"/>
      <c r="M1012" s="71"/>
      <c r="N1012" s="216">
        <f>N1009/N1010</f>
        <v>8787738.2978723403</v>
      </c>
      <c r="O1012" s="71">
        <f t="shared" ref="O1012:P1012" si="24">O1009/O1010</f>
        <v>8632575.7575757578</v>
      </c>
      <c r="P1012" s="72">
        <f t="shared" si="24"/>
        <v>9108597.6190476194</v>
      </c>
    </row>
    <row r="1013" spans="1:17">
      <c r="A1013" s="295"/>
      <c r="B1013" s="293"/>
      <c r="C1013" s="296"/>
      <c r="D1013" s="66" t="s">
        <v>418</v>
      </c>
      <c r="H1013" s="65"/>
      <c r="K1013" s="71"/>
      <c r="L1013" s="72"/>
      <c r="M1013" s="71"/>
      <c r="N1013" s="216"/>
      <c r="O1013" s="71"/>
      <c r="P1013" s="74" t="s">
        <v>1118</v>
      </c>
    </row>
    <row r="1014" spans="1:17">
      <c r="A1014" s="295" t="s">
        <v>263</v>
      </c>
      <c r="B1014" s="292" t="s">
        <v>264</v>
      </c>
      <c r="C1014" s="296" t="s">
        <v>265</v>
      </c>
      <c r="D1014" s="66" t="s">
        <v>411</v>
      </c>
      <c r="E1014" t="s">
        <v>539</v>
      </c>
      <c r="F1014" t="s">
        <v>54</v>
      </c>
      <c r="G1014" t="s">
        <v>427</v>
      </c>
      <c r="H1014" s="65">
        <v>44719</v>
      </c>
      <c r="K1014" s="71"/>
      <c r="L1014" s="72">
        <v>3800</v>
      </c>
      <c r="M1014" s="71">
        <v>3015</v>
      </c>
      <c r="N1014" s="216">
        <v>2025</v>
      </c>
      <c r="O1014" s="71">
        <v>1853</v>
      </c>
      <c r="P1014" s="72">
        <v>2189</v>
      </c>
    </row>
    <row r="1015" spans="1:17">
      <c r="A1015" s="295"/>
      <c r="B1015" s="289"/>
      <c r="C1015" s="296"/>
      <c r="D1015" s="66" t="s">
        <v>411</v>
      </c>
      <c r="E1015" t="s">
        <v>1099</v>
      </c>
      <c r="F1015" t="s">
        <v>54</v>
      </c>
      <c r="G1015" t="s">
        <v>427</v>
      </c>
      <c r="H1015" s="65">
        <v>44719</v>
      </c>
      <c r="K1015" s="71"/>
      <c r="L1015" s="72">
        <v>8700</v>
      </c>
      <c r="M1015" s="71">
        <v>10699</v>
      </c>
      <c r="N1015" s="216">
        <v>14202</v>
      </c>
      <c r="O1015" s="71">
        <v>14551</v>
      </c>
      <c r="P1015" s="72">
        <v>17132</v>
      </c>
    </row>
    <row r="1016" spans="1:17">
      <c r="A1016" s="295"/>
      <c r="B1016" s="289"/>
      <c r="C1016" s="296"/>
      <c r="D1016" s="66" t="s">
        <v>411</v>
      </c>
      <c r="E1016" t="s">
        <v>465</v>
      </c>
      <c r="F1016" t="s">
        <v>54</v>
      </c>
      <c r="G1016" t="s">
        <v>427</v>
      </c>
      <c r="H1016" s="65">
        <v>44719</v>
      </c>
      <c r="K1016" s="71"/>
      <c r="L1016" s="72">
        <v>0</v>
      </c>
      <c r="M1016" s="71">
        <v>1</v>
      </c>
      <c r="N1016" s="216">
        <v>0</v>
      </c>
      <c r="O1016" s="71">
        <v>0</v>
      </c>
      <c r="P1016" s="72">
        <v>0</v>
      </c>
    </row>
    <row r="1017" spans="1:17">
      <c r="A1017" s="295"/>
      <c r="B1017" s="289"/>
      <c r="C1017" s="296"/>
      <c r="D1017" s="66" t="s">
        <v>412</v>
      </c>
      <c r="E1017" t="s">
        <v>539</v>
      </c>
      <c r="F1017" t="s">
        <v>54</v>
      </c>
      <c r="G1017" t="s">
        <v>427</v>
      </c>
      <c r="H1017" s="65">
        <v>44719</v>
      </c>
      <c r="K1017" s="71"/>
      <c r="L1017" s="72">
        <v>9</v>
      </c>
      <c r="M1017" s="71">
        <v>40</v>
      </c>
      <c r="N1017" s="216">
        <v>94</v>
      </c>
      <c r="O1017" s="71">
        <v>131</v>
      </c>
      <c r="P1017" s="72">
        <v>145</v>
      </c>
    </row>
    <row r="1018" spans="1:17">
      <c r="A1018" s="295"/>
      <c r="B1018" s="289"/>
      <c r="C1018" s="296"/>
      <c r="D1018" s="66" t="s">
        <v>412</v>
      </c>
      <c r="E1018" t="s">
        <v>1099</v>
      </c>
      <c r="F1018" t="s">
        <v>54</v>
      </c>
      <c r="G1018" t="s">
        <v>427</v>
      </c>
      <c r="H1018" s="65">
        <v>44719</v>
      </c>
      <c r="K1018" s="71"/>
      <c r="L1018" s="72">
        <v>335</v>
      </c>
      <c r="M1018" s="71">
        <v>430</v>
      </c>
      <c r="N1018" s="216">
        <v>313</v>
      </c>
      <c r="O1018" s="71">
        <v>333</v>
      </c>
      <c r="P1018" s="72">
        <v>277</v>
      </c>
    </row>
    <row r="1019" spans="1:17">
      <c r="A1019" s="295"/>
      <c r="B1019" s="289"/>
      <c r="C1019" s="296"/>
      <c r="D1019" s="66" t="s">
        <v>412</v>
      </c>
      <c r="E1019" t="s">
        <v>465</v>
      </c>
      <c r="F1019" t="s">
        <v>54</v>
      </c>
      <c r="G1019" t="s">
        <v>427</v>
      </c>
      <c r="H1019" s="65">
        <v>44719</v>
      </c>
      <c r="K1019" s="71"/>
      <c r="L1019" s="72"/>
      <c r="M1019" s="71">
        <v>1874</v>
      </c>
      <c r="N1019" s="216">
        <v>1660</v>
      </c>
      <c r="O1019" s="71">
        <v>1485</v>
      </c>
      <c r="P1019" s="72">
        <v>1659</v>
      </c>
    </row>
    <row r="1020" spans="1:17" s="45" customFormat="1">
      <c r="A1020" s="295"/>
      <c r="B1020" s="289"/>
      <c r="C1020" s="296"/>
      <c r="D1020" s="75" t="s">
        <v>914</v>
      </c>
      <c r="E1020" t="s">
        <v>539</v>
      </c>
      <c r="F1020" t="s">
        <v>54</v>
      </c>
      <c r="G1020" t="s">
        <v>427</v>
      </c>
      <c r="H1020" s="65">
        <v>44719</v>
      </c>
      <c r="I1020" s="104"/>
      <c r="K1020" s="84"/>
      <c r="L1020" s="84">
        <f t="shared" ref="L1020" si="25">L1014+L1017</f>
        <v>3809</v>
      </c>
      <c r="M1020" s="84">
        <f t="shared" ref="M1020" si="26">M1014+M1017</f>
        <v>3055</v>
      </c>
      <c r="N1020" s="216">
        <f t="shared" ref="N1020:O1020" si="27">N1014+N1017</f>
        <v>2119</v>
      </c>
      <c r="O1020" s="84">
        <f t="shared" si="27"/>
        <v>1984</v>
      </c>
      <c r="P1020" s="84">
        <f>P1014+P1017</f>
        <v>2334</v>
      </c>
      <c r="Q1020" s="71"/>
    </row>
    <row r="1021" spans="1:17" s="45" customFormat="1">
      <c r="A1021" s="295"/>
      <c r="B1021" s="289"/>
      <c r="C1021" s="296"/>
      <c r="D1021" s="75" t="s">
        <v>914</v>
      </c>
      <c r="E1021" t="s">
        <v>1099</v>
      </c>
      <c r="F1021" t="s">
        <v>54</v>
      </c>
      <c r="G1021" t="s">
        <v>427</v>
      </c>
      <c r="H1021" s="65">
        <v>44719</v>
      </c>
      <c r="I1021" s="104"/>
      <c r="K1021" s="84"/>
      <c r="L1021" s="84">
        <f t="shared" ref="L1021" si="28">L1015+L1018</f>
        <v>9035</v>
      </c>
      <c r="M1021" s="84">
        <f t="shared" ref="M1021" si="29">M1015+M1018</f>
        <v>11129</v>
      </c>
      <c r="N1021" s="216">
        <f t="shared" ref="N1021:P1021" si="30">N1015+N1018</f>
        <v>14515</v>
      </c>
      <c r="O1021" s="84">
        <f t="shared" si="30"/>
        <v>14884</v>
      </c>
      <c r="P1021" s="84">
        <f t="shared" si="30"/>
        <v>17409</v>
      </c>
      <c r="Q1021" s="71"/>
    </row>
    <row r="1022" spans="1:17" s="45" customFormat="1">
      <c r="A1022" s="295"/>
      <c r="B1022" s="289"/>
      <c r="C1022" s="296"/>
      <c r="D1022" s="75" t="s">
        <v>914</v>
      </c>
      <c r="E1022" t="s">
        <v>465</v>
      </c>
      <c r="F1022" t="s">
        <v>54</v>
      </c>
      <c r="G1022" t="s">
        <v>427</v>
      </c>
      <c r="H1022" s="65">
        <v>44719</v>
      </c>
      <c r="I1022" s="104"/>
      <c r="K1022" s="84"/>
      <c r="L1022" s="84"/>
      <c r="M1022" s="84">
        <f t="shared" ref="M1022" si="31">M1016+M1019</f>
        <v>1875</v>
      </c>
      <c r="N1022" s="216">
        <f t="shared" ref="N1022:P1022" si="32">N1016+N1019</f>
        <v>1660</v>
      </c>
      <c r="O1022" s="84">
        <f t="shared" si="32"/>
        <v>1485</v>
      </c>
      <c r="P1022" s="84">
        <f t="shared" si="32"/>
        <v>1659</v>
      </c>
      <c r="Q1022" s="71"/>
    </row>
    <row r="1023" spans="1:17">
      <c r="A1023" s="295"/>
      <c r="B1023" s="289"/>
      <c r="C1023" s="296"/>
      <c r="D1023" s="66" t="s">
        <v>415</v>
      </c>
      <c r="E1023" t="s">
        <v>539</v>
      </c>
      <c r="F1023" t="s">
        <v>54</v>
      </c>
      <c r="G1023" t="s">
        <v>427</v>
      </c>
      <c r="H1023" s="65">
        <v>44719</v>
      </c>
      <c r="K1023" s="71"/>
      <c r="L1023" s="72"/>
      <c r="M1023" s="71">
        <v>2985</v>
      </c>
      <c r="N1023" s="216">
        <v>3062</v>
      </c>
      <c r="O1023" s="71">
        <v>2598</v>
      </c>
      <c r="P1023" s="72">
        <v>3115</v>
      </c>
    </row>
    <row r="1024" spans="1:17" s="45" customFormat="1">
      <c r="A1024" s="295"/>
      <c r="B1024" s="289"/>
      <c r="C1024" s="296"/>
      <c r="D1024" s="75" t="s">
        <v>415</v>
      </c>
      <c r="E1024" s="45" t="s">
        <v>1099</v>
      </c>
      <c r="F1024" t="s">
        <v>54</v>
      </c>
      <c r="G1024" s="45" t="s">
        <v>427</v>
      </c>
      <c r="H1024" s="120">
        <v>44719</v>
      </c>
      <c r="I1024" s="104"/>
      <c r="K1024" s="84"/>
      <c r="L1024" s="84"/>
      <c r="M1024" s="84"/>
      <c r="N1024" s="216">
        <f>N1027*54.87</f>
        <v>819373.71</v>
      </c>
      <c r="O1024" s="84">
        <f>O1027*54.87</f>
        <v>805711.08</v>
      </c>
      <c r="P1024" s="84">
        <f>P1027*54.87</f>
        <v>938057.5199999999</v>
      </c>
      <c r="Q1024" s="71"/>
    </row>
    <row r="1025" spans="1:17" s="45" customFormat="1">
      <c r="A1025" s="295"/>
      <c r="B1025" s="289"/>
      <c r="C1025" s="296"/>
      <c r="D1025" s="75" t="s">
        <v>415</v>
      </c>
      <c r="E1025" s="45" t="s">
        <v>465</v>
      </c>
      <c r="F1025" t="s">
        <v>54</v>
      </c>
      <c r="G1025" s="45" t="s">
        <v>427</v>
      </c>
      <c r="H1025" s="120">
        <v>44719</v>
      </c>
      <c r="I1025" s="104"/>
      <c r="K1025" s="84"/>
      <c r="L1025" s="84"/>
      <c r="M1025" s="84"/>
      <c r="N1025" s="216">
        <f>N1028*252.56</f>
        <v>109358.48</v>
      </c>
      <c r="O1025" s="84">
        <f>O1028*252.56</f>
        <v>103297.04000000001</v>
      </c>
      <c r="P1025" s="84">
        <f>P1028*252.56</f>
        <v>99003.520000000004</v>
      </c>
      <c r="Q1025" s="71"/>
    </row>
    <row r="1026" spans="1:17">
      <c r="A1026" s="295"/>
      <c r="B1026" s="289"/>
      <c r="C1026" s="296"/>
      <c r="D1026" s="66" t="s">
        <v>417</v>
      </c>
      <c r="E1026" t="s">
        <v>539</v>
      </c>
      <c r="F1026" t="s">
        <v>54</v>
      </c>
      <c r="G1026" t="s">
        <v>79</v>
      </c>
      <c r="H1026" s="65">
        <v>44719</v>
      </c>
      <c r="K1026" s="71"/>
      <c r="L1026" s="72"/>
      <c r="M1026" s="71">
        <v>29003004</v>
      </c>
      <c r="N1026" s="216">
        <v>25888462</v>
      </c>
      <c r="O1026" s="71">
        <v>24060721</v>
      </c>
      <c r="P1026" s="72">
        <v>24283977</v>
      </c>
    </row>
    <row r="1027" spans="1:17">
      <c r="A1027" s="295"/>
      <c r="B1027" s="289"/>
      <c r="C1027" s="296"/>
      <c r="D1027" s="66" t="s">
        <v>417</v>
      </c>
      <c r="E1027" t="s">
        <v>1099</v>
      </c>
      <c r="F1027" t="s">
        <v>54</v>
      </c>
      <c r="G1027" t="s">
        <v>1094</v>
      </c>
      <c r="H1027" s="65">
        <v>44719</v>
      </c>
      <c r="K1027" s="71"/>
      <c r="L1027" s="72"/>
      <c r="M1027" s="71"/>
      <c r="N1027" s="216">
        <v>14933</v>
      </c>
      <c r="O1027" s="71">
        <v>14684</v>
      </c>
      <c r="P1027" s="72">
        <v>17096</v>
      </c>
    </row>
    <row r="1028" spans="1:17">
      <c r="A1028" s="295"/>
      <c r="B1028" s="289"/>
      <c r="C1028" s="296"/>
      <c r="D1028" s="66" t="s">
        <v>417</v>
      </c>
      <c r="E1028" t="s">
        <v>465</v>
      </c>
      <c r="F1028" t="s">
        <v>54</v>
      </c>
      <c r="G1028" t="s">
        <v>1095</v>
      </c>
      <c r="H1028" s="65">
        <v>44719</v>
      </c>
      <c r="K1028" s="71"/>
      <c r="L1028" s="72"/>
      <c r="M1028" s="71"/>
      <c r="N1028" s="216">
        <v>433</v>
      </c>
      <c r="O1028" s="71">
        <v>409</v>
      </c>
      <c r="P1028" s="72">
        <v>392</v>
      </c>
    </row>
    <row r="1029" spans="1:17">
      <c r="A1029" s="295"/>
      <c r="B1029" s="293"/>
      <c r="C1029" s="296"/>
      <c r="D1029" s="66" t="s">
        <v>418</v>
      </c>
      <c r="H1029" s="65"/>
      <c r="K1029" s="71"/>
      <c r="L1029" s="72"/>
      <c r="M1029" s="71"/>
      <c r="N1029" s="216"/>
      <c r="O1029" s="71"/>
      <c r="P1029" s="74" t="s">
        <v>1205</v>
      </c>
    </row>
    <row r="1030" spans="1:17">
      <c r="A1030" s="295" t="s">
        <v>266</v>
      </c>
      <c r="B1030" s="292" t="s">
        <v>267</v>
      </c>
      <c r="C1030" s="296" t="s">
        <v>268</v>
      </c>
      <c r="D1030" s="66" t="s">
        <v>411</v>
      </c>
      <c r="G1030" t="s">
        <v>428</v>
      </c>
      <c r="H1030" s="65">
        <v>44561</v>
      </c>
      <c r="K1030" s="71">
        <v>2000000</v>
      </c>
      <c r="L1030" s="72">
        <v>2000000</v>
      </c>
      <c r="M1030" s="71">
        <v>2000000</v>
      </c>
      <c r="N1030" s="216">
        <v>1800000</v>
      </c>
      <c r="O1030" s="71">
        <v>1100000</v>
      </c>
      <c r="P1030" s="72">
        <v>1900000</v>
      </c>
    </row>
    <row r="1031" spans="1:17">
      <c r="A1031" s="295"/>
      <c r="B1031" s="289"/>
      <c r="C1031" s="296"/>
      <c r="D1031" s="66" t="s">
        <v>412</v>
      </c>
      <c r="E1031" t="s">
        <v>413</v>
      </c>
      <c r="G1031" t="s">
        <v>428</v>
      </c>
      <c r="H1031" s="65">
        <v>44561</v>
      </c>
      <c r="K1031" s="71">
        <v>1000000</v>
      </c>
      <c r="L1031" s="72">
        <v>1000000</v>
      </c>
      <c r="M1031" s="71">
        <v>1000000</v>
      </c>
      <c r="N1031" s="216">
        <v>800000</v>
      </c>
      <c r="O1031" s="71">
        <v>400000</v>
      </c>
      <c r="P1031" s="72">
        <v>800000</v>
      </c>
    </row>
    <row r="1032" spans="1:17">
      <c r="A1032" s="295"/>
      <c r="B1032" s="289"/>
      <c r="C1032" s="296"/>
      <c r="D1032" s="66" t="s">
        <v>414</v>
      </c>
      <c r="E1032" t="s">
        <v>413</v>
      </c>
      <c r="G1032" t="s">
        <v>428</v>
      </c>
      <c r="H1032" s="65">
        <v>44561</v>
      </c>
      <c r="K1032" s="71">
        <v>3000000</v>
      </c>
      <c r="L1032" s="72">
        <v>3000000</v>
      </c>
      <c r="M1032" s="71">
        <v>3000000</v>
      </c>
      <c r="N1032" s="216">
        <v>2600000</v>
      </c>
      <c r="O1032" s="71">
        <v>1500000</v>
      </c>
      <c r="P1032" s="72">
        <f>SUM(P1030:P1031)</f>
        <v>2700000</v>
      </c>
    </row>
    <row r="1033" spans="1:17">
      <c r="A1033" s="295"/>
      <c r="B1033" s="289"/>
      <c r="C1033" s="296"/>
      <c r="D1033" s="66" t="s">
        <v>415</v>
      </c>
      <c r="E1033" t="s">
        <v>416</v>
      </c>
      <c r="G1033" t="s">
        <v>428</v>
      </c>
      <c r="H1033" s="65">
        <v>44561</v>
      </c>
      <c r="K1033" s="71">
        <v>3200000</v>
      </c>
      <c r="L1033" s="72">
        <v>3200000</v>
      </c>
      <c r="M1033" s="71">
        <v>3200000</v>
      </c>
      <c r="N1033" s="216">
        <v>2300000</v>
      </c>
      <c r="O1033" s="71">
        <v>1300000</v>
      </c>
      <c r="P1033" s="72">
        <v>1700000</v>
      </c>
    </row>
    <row r="1034" spans="1:17">
      <c r="A1034" s="295"/>
      <c r="B1034" s="289"/>
      <c r="C1034" s="296"/>
      <c r="D1034" s="66" t="s">
        <v>417</v>
      </c>
      <c r="G1034" t="s">
        <v>96</v>
      </c>
      <c r="H1034" s="65">
        <v>44561</v>
      </c>
      <c r="K1034" s="71">
        <v>2900000</v>
      </c>
      <c r="L1034" s="72">
        <v>2900000</v>
      </c>
      <c r="M1034" s="71">
        <v>2900000</v>
      </c>
      <c r="N1034" s="216">
        <v>2900000</v>
      </c>
      <c r="O1034" s="71">
        <v>1800000</v>
      </c>
      <c r="P1034" s="72">
        <v>3300000</v>
      </c>
    </row>
    <row r="1035" spans="1:17">
      <c r="A1035" s="295"/>
      <c r="B1035" s="293"/>
      <c r="C1035" s="296"/>
      <c r="D1035" s="66" t="s">
        <v>418</v>
      </c>
      <c r="H1035" s="65"/>
      <c r="K1035" s="71"/>
      <c r="L1035" s="72"/>
      <c r="M1035" s="71"/>
      <c r="N1035" s="216"/>
      <c r="O1035" s="71"/>
      <c r="P1035" s="74" t="s">
        <v>1120</v>
      </c>
    </row>
    <row r="1036" spans="1:17">
      <c r="A1036" s="295" t="s">
        <v>270</v>
      </c>
      <c r="B1036" s="292" t="s">
        <v>271</v>
      </c>
      <c r="C1036" s="296" t="s">
        <v>272</v>
      </c>
      <c r="D1036" s="66" t="s">
        <v>411</v>
      </c>
      <c r="G1036" t="s">
        <v>427</v>
      </c>
      <c r="H1036" s="65">
        <v>44561</v>
      </c>
      <c r="K1036" s="71"/>
      <c r="L1036" s="72"/>
      <c r="M1036" s="71">
        <v>81604</v>
      </c>
      <c r="N1036" s="216">
        <v>191</v>
      </c>
      <c r="O1036" s="71">
        <v>190</v>
      </c>
      <c r="P1036" s="72">
        <v>192</v>
      </c>
    </row>
    <row r="1037" spans="1:17">
      <c r="A1037" s="295"/>
      <c r="B1037" s="289"/>
      <c r="C1037" s="296"/>
      <c r="D1037" s="66" t="s">
        <v>412</v>
      </c>
      <c r="E1037" t="s">
        <v>413</v>
      </c>
      <c r="G1037" t="s">
        <v>427</v>
      </c>
      <c r="H1037" s="65">
        <v>44561</v>
      </c>
      <c r="K1037" s="71"/>
      <c r="L1037" s="72"/>
      <c r="M1037" s="71">
        <v>532</v>
      </c>
      <c r="N1037" s="216">
        <v>5886</v>
      </c>
      <c r="O1037" s="71">
        <v>5205</v>
      </c>
      <c r="P1037" s="72">
        <v>6108</v>
      </c>
    </row>
    <row r="1038" spans="1:17">
      <c r="A1038" s="295"/>
      <c r="B1038" s="289"/>
      <c r="C1038" s="296"/>
      <c r="D1038" s="66" t="s">
        <v>414</v>
      </c>
      <c r="E1038" t="s">
        <v>413</v>
      </c>
      <c r="G1038" t="s">
        <v>427</v>
      </c>
      <c r="H1038" s="65">
        <v>44561</v>
      </c>
      <c r="K1038" s="71"/>
      <c r="L1038" s="72"/>
      <c r="M1038" s="71">
        <v>82136</v>
      </c>
      <c r="N1038" s="216">
        <v>6077</v>
      </c>
      <c r="O1038" s="71">
        <v>5395</v>
      </c>
      <c r="P1038" s="72">
        <v>6300</v>
      </c>
    </row>
    <row r="1039" spans="1:17">
      <c r="A1039" s="295"/>
      <c r="B1039" s="289"/>
      <c r="C1039" s="296"/>
      <c r="D1039" s="66" t="s">
        <v>415</v>
      </c>
      <c r="E1039" t="s">
        <v>416</v>
      </c>
      <c r="G1039" t="s">
        <v>427</v>
      </c>
      <c r="H1039" s="65">
        <v>44561</v>
      </c>
      <c r="K1039" s="71"/>
      <c r="L1039" s="72"/>
      <c r="M1039" s="71">
        <v>42355</v>
      </c>
      <c r="N1039" s="216">
        <v>121446</v>
      </c>
      <c r="O1039" s="71">
        <v>110119</v>
      </c>
      <c r="P1039" s="72">
        <v>102137</v>
      </c>
    </row>
    <row r="1040" spans="1:17">
      <c r="A1040" s="295"/>
      <c r="B1040" s="289"/>
      <c r="C1040" s="296"/>
      <c r="D1040" s="66" t="s">
        <v>417</v>
      </c>
      <c r="G1040" t="s">
        <v>57</v>
      </c>
      <c r="H1040" s="65">
        <v>44561</v>
      </c>
      <c r="K1040" s="71"/>
      <c r="L1040" s="72"/>
      <c r="M1040" s="71">
        <v>230306</v>
      </c>
      <c r="N1040" s="216">
        <v>222277</v>
      </c>
      <c r="O1040" s="71">
        <v>204484</v>
      </c>
      <c r="P1040" s="72">
        <v>233812</v>
      </c>
    </row>
    <row r="1041" spans="1:16">
      <c r="A1041" s="295"/>
      <c r="B1041" s="293"/>
      <c r="C1041" s="296"/>
      <c r="D1041" s="66" t="s">
        <v>418</v>
      </c>
      <c r="H1041" s="65"/>
      <c r="K1041" s="71"/>
      <c r="L1041" s="72"/>
      <c r="M1041" s="71"/>
      <c r="N1041" s="216"/>
      <c r="O1041" s="71"/>
      <c r="P1041" s="72"/>
    </row>
    <row r="1042" spans="1:16">
      <c r="A1042" s="295" t="s">
        <v>523</v>
      </c>
      <c r="B1042" s="292" t="s">
        <v>525</v>
      </c>
      <c r="C1042" s="296" t="s">
        <v>524</v>
      </c>
      <c r="D1042" s="66" t="s">
        <v>534</v>
      </c>
      <c r="H1042" s="65">
        <v>44651</v>
      </c>
      <c r="I1042" s="90">
        <v>2015</v>
      </c>
      <c r="K1042" s="71"/>
      <c r="L1042" s="72"/>
      <c r="M1042" s="71"/>
      <c r="N1042" s="216"/>
      <c r="O1042" s="71"/>
      <c r="P1042" s="72"/>
    </row>
    <row r="1043" spans="1:16">
      <c r="A1043" s="295"/>
      <c r="B1043" s="289"/>
      <c r="C1043" s="296"/>
      <c r="D1043" s="66" t="s">
        <v>411</v>
      </c>
      <c r="F1043" t="s">
        <v>535</v>
      </c>
      <c r="G1043" t="s">
        <v>429</v>
      </c>
      <c r="H1043" s="65">
        <v>44651</v>
      </c>
      <c r="I1043" s="90">
        <v>42</v>
      </c>
      <c r="K1043" s="71"/>
      <c r="L1043" s="72"/>
      <c r="M1043" s="71"/>
      <c r="N1043" s="216">
        <v>41</v>
      </c>
      <c r="O1043" s="71">
        <v>38</v>
      </c>
      <c r="P1043" s="72">
        <v>34</v>
      </c>
    </row>
    <row r="1044" spans="1:16">
      <c r="A1044" s="295"/>
      <c r="B1044" s="289"/>
      <c r="C1044" s="296"/>
      <c r="D1044" s="66" t="s">
        <v>411</v>
      </c>
      <c r="F1044" t="s">
        <v>54</v>
      </c>
      <c r="G1044" t="s">
        <v>429</v>
      </c>
      <c r="H1044" s="65">
        <v>44651</v>
      </c>
      <c r="I1044" s="90">
        <v>50</v>
      </c>
      <c r="K1044" s="71"/>
      <c r="L1044" s="72"/>
      <c r="M1044" s="71"/>
      <c r="N1044" s="216">
        <v>55</v>
      </c>
      <c r="O1044" s="71">
        <v>52</v>
      </c>
      <c r="P1044" s="72">
        <v>49</v>
      </c>
    </row>
    <row r="1045" spans="1:16">
      <c r="A1045" s="295"/>
      <c r="B1045" s="289"/>
      <c r="C1045" s="296"/>
      <c r="D1045" s="66" t="s">
        <v>412</v>
      </c>
      <c r="F1045" t="s">
        <v>535</v>
      </c>
      <c r="G1045" t="s">
        <v>429</v>
      </c>
      <c r="H1045" s="65">
        <v>44651</v>
      </c>
      <c r="I1045" s="90">
        <v>4</v>
      </c>
      <c r="K1045" s="71"/>
      <c r="L1045" s="72"/>
      <c r="M1045" s="71"/>
      <c r="N1045" s="216">
        <v>4</v>
      </c>
      <c r="O1045" s="71">
        <v>3</v>
      </c>
      <c r="P1045" s="72">
        <v>2</v>
      </c>
    </row>
    <row r="1046" spans="1:16">
      <c r="A1046" s="295"/>
      <c r="B1046" s="289"/>
      <c r="C1046" s="296"/>
      <c r="D1046" s="66" t="s">
        <v>414</v>
      </c>
      <c r="F1046" t="s">
        <v>535</v>
      </c>
      <c r="G1046" t="s">
        <v>429</v>
      </c>
      <c r="H1046" s="65">
        <v>44651</v>
      </c>
      <c r="I1046" s="90">
        <v>46</v>
      </c>
      <c r="K1046" s="71"/>
      <c r="L1046" s="72"/>
      <c r="M1046" s="71"/>
      <c r="N1046" s="216">
        <v>44</v>
      </c>
      <c r="O1046" s="71">
        <v>41</v>
      </c>
      <c r="P1046" s="72">
        <v>37</v>
      </c>
    </row>
    <row r="1047" spans="1:16">
      <c r="A1047" s="295"/>
      <c r="B1047" s="289"/>
      <c r="C1047" s="296"/>
      <c r="D1047" s="66" t="s">
        <v>600</v>
      </c>
      <c r="F1047" t="s">
        <v>535</v>
      </c>
      <c r="G1047" t="s">
        <v>438</v>
      </c>
      <c r="H1047" s="65">
        <v>44651</v>
      </c>
      <c r="I1047" s="90">
        <v>21</v>
      </c>
      <c r="K1047" s="71"/>
      <c r="L1047" s="72"/>
      <c r="M1047" s="71"/>
      <c r="N1047" s="216">
        <v>19</v>
      </c>
      <c r="O1047" s="71">
        <v>18</v>
      </c>
      <c r="P1047" s="72">
        <v>17</v>
      </c>
    </row>
    <row r="1048" spans="1:16">
      <c r="A1048" s="295"/>
      <c r="B1048" s="289"/>
      <c r="C1048" s="296"/>
      <c r="D1048" s="66" t="s">
        <v>415</v>
      </c>
      <c r="E1048">
        <v>11</v>
      </c>
      <c r="F1048" t="s">
        <v>615</v>
      </c>
      <c r="G1048" t="s">
        <v>429</v>
      </c>
      <c r="H1048" s="65">
        <v>44651</v>
      </c>
      <c r="I1048" s="90">
        <v>410</v>
      </c>
      <c r="K1048" s="71"/>
      <c r="L1048" s="72"/>
      <c r="M1048" s="71"/>
      <c r="N1048" s="216">
        <v>410</v>
      </c>
      <c r="O1048" s="71">
        <v>400</v>
      </c>
      <c r="P1048" s="72">
        <v>400</v>
      </c>
    </row>
    <row r="1049" spans="1:16">
      <c r="A1049" s="295"/>
      <c r="B1049" s="289"/>
      <c r="C1049" s="296"/>
      <c r="D1049" s="66" t="s">
        <v>593</v>
      </c>
      <c r="E1049" t="s">
        <v>424</v>
      </c>
      <c r="F1049" t="s">
        <v>535</v>
      </c>
      <c r="G1049" t="s">
        <v>62</v>
      </c>
      <c r="H1049" s="65"/>
      <c r="I1049" s="90">
        <v>153</v>
      </c>
      <c r="K1049" s="71"/>
      <c r="L1049" s="72"/>
      <c r="M1049" s="71"/>
      <c r="N1049" s="216">
        <v>160</v>
      </c>
      <c r="O1049" s="71">
        <v>147</v>
      </c>
      <c r="P1049" s="72">
        <v>148</v>
      </c>
    </row>
    <row r="1050" spans="1:16">
      <c r="A1050" s="295"/>
      <c r="B1050" s="293"/>
      <c r="C1050" s="296"/>
      <c r="D1050" s="66" t="s">
        <v>418</v>
      </c>
      <c r="H1050" s="65">
        <v>44651</v>
      </c>
      <c r="K1050" s="71"/>
      <c r="L1050" s="72"/>
      <c r="M1050" s="71"/>
      <c r="N1050" s="216"/>
      <c r="O1050" s="71"/>
      <c r="P1050" s="74" t="s">
        <v>536</v>
      </c>
    </row>
    <row r="1051" spans="1:16">
      <c r="A1051" s="295" t="s">
        <v>273</v>
      </c>
      <c r="B1051" s="292" t="s">
        <v>274</v>
      </c>
      <c r="C1051" s="296" t="s">
        <v>275</v>
      </c>
      <c r="D1051" s="66" t="s">
        <v>411</v>
      </c>
      <c r="G1051" t="s">
        <v>428</v>
      </c>
      <c r="H1051" s="65">
        <v>44561</v>
      </c>
      <c r="K1051" s="71">
        <v>17744560</v>
      </c>
      <c r="L1051" s="72">
        <v>17744560</v>
      </c>
      <c r="M1051" s="71">
        <v>17744560</v>
      </c>
      <c r="N1051" s="216">
        <v>16682357</v>
      </c>
      <c r="O1051" s="71">
        <v>15257923</v>
      </c>
      <c r="P1051" s="72">
        <v>17200000</v>
      </c>
    </row>
    <row r="1052" spans="1:16">
      <c r="A1052" s="295"/>
      <c r="B1052" s="289"/>
      <c r="C1052" s="296"/>
      <c r="D1052" s="66" t="s">
        <v>412</v>
      </c>
      <c r="E1052" t="s">
        <v>413</v>
      </c>
      <c r="G1052" t="s">
        <v>428</v>
      </c>
      <c r="H1052" s="65">
        <v>44561</v>
      </c>
      <c r="K1052" s="71">
        <v>858941</v>
      </c>
      <c r="L1052" s="72">
        <v>858941</v>
      </c>
      <c r="M1052" s="71">
        <v>858941</v>
      </c>
      <c r="N1052" s="216">
        <v>1141024</v>
      </c>
      <c r="O1052" s="71">
        <v>1154111</v>
      </c>
      <c r="P1052" s="72">
        <v>1200000</v>
      </c>
    </row>
    <row r="1053" spans="1:16">
      <c r="A1053" s="295"/>
      <c r="B1053" s="289"/>
      <c r="C1053" s="296"/>
      <c r="D1053" s="66" t="s">
        <v>414</v>
      </c>
      <c r="E1053" t="s">
        <v>413</v>
      </c>
      <c r="G1053" t="s">
        <v>428</v>
      </c>
      <c r="H1053" s="65">
        <v>44561</v>
      </c>
      <c r="K1053" s="71">
        <v>18603501</v>
      </c>
      <c r="L1053" s="72">
        <v>18603501</v>
      </c>
      <c r="M1053" s="71">
        <v>18603501</v>
      </c>
      <c r="N1053" s="216">
        <v>17823381</v>
      </c>
      <c r="O1053" s="71">
        <v>16412034</v>
      </c>
      <c r="P1053" s="72">
        <f>SUM(P1051:P1052)</f>
        <v>18400000</v>
      </c>
    </row>
    <row r="1054" spans="1:16">
      <c r="A1054" s="295"/>
      <c r="B1054" s="289"/>
      <c r="C1054" s="296"/>
      <c r="D1054" s="66" t="s">
        <v>415</v>
      </c>
      <c r="E1054" t="s">
        <v>416</v>
      </c>
      <c r="G1054" t="s">
        <v>428</v>
      </c>
      <c r="H1054" s="65">
        <v>44561</v>
      </c>
      <c r="K1054" s="71">
        <v>1056210</v>
      </c>
      <c r="L1054" s="72">
        <v>1056210</v>
      </c>
      <c r="M1054" s="71">
        <v>1056210</v>
      </c>
      <c r="N1054" s="216">
        <v>910292</v>
      </c>
      <c r="O1054" s="71">
        <v>767666</v>
      </c>
      <c r="P1054" s="72">
        <v>800000</v>
      </c>
    </row>
    <row r="1055" spans="1:16">
      <c r="A1055" s="295"/>
      <c r="B1055" s="289"/>
      <c r="C1055" s="296"/>
      <c r="D1055" s="66" t="s">
        <v>417</v>
      </c>
      <c r="G1055" t="s">
        <v>96</v>
      </c>
      <c r="H1055" s="65">
        <v>44561</v>
      </c>
      <c r="K1055" s="71">
        <v>10953432.098765399</v>
      </c>
      <c r="L1055" s="72">
        <v>10953432.098765399</v>
      </c>
      <c r="M1055" s="71">
        <v>10953432.098765399</v>
      </c>
      <c r="N1055" s="216">
        <v>10297751.234567899</v>
      </c>
      <c r="O1055" s="71">
        <v>9418470.9876543209</v>
      </c>
      <c r="P1055" s="72">
        <f>P1051/1.62</f>
        <v>10617283.950617284</v>
      </c>
    </row>
    <row r="1056" spans="1:16">
      <c r="A1056" s="295"/>
      <c r="B1056" s="293"/>
      <c r="C1056" s="296"/>
      <c r="D1056" s="66" t="s">
        <v>418</v>
      </c>
      <c r="H1056" s="65"/>
      <c r="K1056" s="71"/>
      <c r="L1056" s="72"/>
      <c r="M1056" s="71"/>
      <c r="N1056" s="216"/>
      <c r="O1056" s="71"/>
      <c r="P1056" s="74" t="s">
        <v>1121</v>
      </c>
    </row>
    <row r="1057" spans="1:16">
      <c r="A1057" s="295" t="s">
        <v>276</v>
      </c>
      <c r="B1057" s="292" t="s">
        <v>277</v>
      </c>
      <c r="C1057" s="296" t="s">
        <v>278</v>
      </c>
      <c r="D1057" s="66" t="s">
        <v>411</v>
      </c>
      <c r="G1057" t="s">
        <v>427</v>
      </c>
      <c r="H1057" s="65">
        <v>44561</v>
      </c>
      <c r="K1057" s="71"/>
      <c r="L1057" s="72">
        <v>20.555555555555561</v>
      </c>
      <c r="M1057" s="71">
        <v>51.388888888888893</v>
      </c>
      <c r="N1057" s="216">
        <v>71.944444444444443</v>
      </c>
      <c r="O1057" s="71">
        <v>102.7777777777778</v>
      </c>
      <c r="P1057" s="72">
        <v>185</v>
      </c>
    </row>
    <row r="1058" spans="1:16">
      <c r="A1058" s="295"/>
      <c r="B1058" s="289"/>
      <c r="C1058" s="296"/>
      <c r="D1058" s="66" t="s">
        <v>412</v>
      </c>
      <c r="E1058" t="s">
        <v>413</v>
      </c>
      <c r="G1058" t="s">
        <v>427</v>
      </c>
      <c r="H1058" s="65">
        <v>44561</v>
      </c>
      <c r="K1058" s="71"/>
      <c r="L1058" s="72">
        <v>44.777777777777779</v>
      </c>
      <c r="M1058" s="71">
        <v>111.9444444444444</v>
      </c>
      <c r="N1058" s="216">
        <v>156.7222222222222</v>
      </c>
      <c r="O1058" s="71">
        <v>223.88888888888891</v>
      </c>
      <c r="P1058" s="72">
        <v>403</v>
      </c>
    </row>
    <row r="1059" spans="1:16">
      <c r="A1059" s="295"/>
      <c r="B1059" s="289"/>
      <c r="C1059" s="296"/>
      <c r="D1059" s="66" t="s">
        <v>414</v>
      </c>
      <c r="E1059" t="s">
        <v>413</v>
      </c>
      <c r="G1059" t="s">
        <v>427</v>
      </c>
      <c r="H1059" s="65">
        <v>44561</v>
      </c>
      <c r="K1059" s="71"/>
      <c r="L1059" s="72">
        <v>65.333333333333343</v>
      </c>
      <c r="M1059" s="71">
        <v>163.33333333333329</v>
      </c>
      <c r="N1059" s="216">
        <v>228.66666666666671</v>
      </c>
      <c r="O1059" s="71">
        <v>326.66666666666657</v>
      </c>
      <c r="P1059" s="72">
        <v>588</v>
      </c>
    </row>
    <row r="1060" spans="1:16">
      <c r="A1060" s="295"/>
      <c r="B1060" s="289"/>
      <c r="C1060" s="296"/>
      <c r="D1060" s="66" t="s">
        <v>415</v>
      </c>
      <c r="E1060" t="s">
        <v>416</v>
      </c>
      <c r="G1060" t="s">
        <v>427</v>
      </c>
      <c r="H1060" s="65">
        <v>44561</v>
      </c>
      <c r="K1060" s="71"/>
      <c r="L1060" s="72">
        <v>217.11111111111109</v>
      </c>
      <c r="M1060" s="71">
        <v>542.77777777777783</v>
      </c>
      <c r="N1060" s="216">
        <v>759.88888888888891</v>
      </c>
      <c r="O1060" s="71">
        <v>1085.5555555555561</v>
      </c>
      <c r="P1060" s="72">
        <v>1954</v>
      </c>
    </row>
    <row r="1061" spans="1:16">
      <c r="A1061" s="295"/>
      <c r="B1061" s="289"/>
      <c r="C1061" s="296"/>
      <c r="D1061" s="66" t="s">
        <v>417</v>
      </c>
      <c r="G1061" t="s">
        <v>85</v>
      </c>
      <c r="H1061" s="65">
        <v>44561</v>
      </c>
      <c r="K1061" s="71"/>
      <c r="L1061" s="72">
        <v>1200</v>
      </c>
      <c r="M1061" s="71">
        <v>4200</v>
      </c>
      <c r="N1061" s="216">
        <v>8400</v>
      </c>
      <c r="O1061" s="71">
        <v>14400</v>
      </c>
      <c r="P1061" s="72">
        <v>25200</v>
      </c>
    </row>
    <row r="1062" spans="1:16">
      <c r="A1062" s="295"/>
      <c r="B1062" s="293"/>
      <c r="C1062" s="296"/>
      <c r="D1062" s="66" t="s">
        <v>418</v>
      </c>
      <c r="H1062" s="65"/>
      <c r="K1062" s="71"/>
      <c r="L1062" s="72"/>
      <c r="M1062" s="71"/>
      <c r="N1062" s="216"/>
      <c r="O1062" s="71"/>
      <c r="P1062" s="72"/>
    </row>
    <row r="1063" spans="1:16">
      <c r="A1063" s="295" t="s">
        <v>279</v>
      </c>
      <c r="B1063" s="292" t="s">
        <v>280</v>
      </c>
      <c r="C1063" s="296" t="s">
        <v>281</v>
      </c>
      <c r="D1063" s="66" t="s">
        <v>411</v>
      </c>
      <c r="G1063" t="s">
        <v>428</v>
      </c>
      <c r="H1063" s="65">
        <v>44561</v>
      </c>
      <c r="K1063" s="71"/>
      <c r="L1063" s="72"/>
      <c r="M1063" s="71"/>
      <c r="N1063" s="216">
        <v>94460</v>
      </c>
      <c r="O1063" s="71">
        <v>109020</v>
      </c>
      <c r="P1063" s="72">
        <v>116050</v>
      </c>
    </row>
    <row r="1064" spans="1:16">
      <c r="A1064" s="295"/>
      <c r="B1064" s="289"/>
      <c r="C1064" s="296"/>
      <c r="D1064" s="66" t="s">
        <v>412</v>
      </c>
      <c r="E1064" t="s">
        <v>413</v>
      </c>
      <c r="G1064" t="s">
        <v>428</v>
      </c>
      <c r="H1064" s="65">
        <v>44561</v>
      </c>
      <c r="K1064" s="71"/>
      <c r="L1064" s="72"/>
      <c r="M1064" s="71"/>
      <c r="N1064" s="216">
        <v>336550</v>
      </c>
      <c r="O1064" s="71">
        <v>352990</v>
      </c>
      <c r="P1064" s="72">
        <v>370090</v>
      </c>
    </row>
    <row r="1065" spans="1:16">
      <c r="A1065" s="295"/>
      <c r="B1065" s="289"/>
      <c r="C1065" s="296"/>
      <c r="D1065" s="66" t="s">
        <v>414</v>
      </c>
      <c r="E1065" t="s">
        <v>413</v>
      </c>
      <c r="G1065" t="s">
        <v>428</v>
      </c>
      <c r="H1065" s="65">
        <v>44561</v>
      </c>
      <c r="K1065" s="71"/>
      <c r="L1065" s="72"/>
      <c r="M1065" s="71"/>
      <c r="N1065" s="216">
        <v>431010</v>
      </c>
      <c r="O1065" s="71">
        <f>SUM(O1063:O1064)</f>
        <v>462010</v>
      </c>
      <c r="P1065" s="72">
        <f>SUM(P1063:P1064)</f>
        <v>486140</v>
      </c>
    </row>
    <row r="1066" spans="1:16">
      <c r="A1066" s="295"/>
      <c r="B1066" s="289"/>
      <c r="C1066" s="296"/>
      <c r="D1066" s="66" t="s">
        <v>415</v>
      </c>
      <c r="E1066" t="s">
        <v>416</v>
      </c>
      <c r="G1066" t="s">
        <v>428</v>
      </c>
      <c r="H1066" s="65">
        <v>44561</v>
      </c>
      <c r="K1066" s="71"/>
      <c r="L1066" s="72"/>
      <c r="M1066" s="71"/>
      <c r="N1066" s="216">
        <v>298526</v>
      </c>
      <c r="O1066" s="71">
        <v>197605</v>
      </c>
      <c r="P1066" s="72"/>
    </row>
    <row r="1067" spans="1:16">
      <c r="A1067" s="295"/>
      <c r="B1067" s="289"/>
      <c r="C1067" s="296"/>
      <c r="D1067" s="66" t="s">
        <v>417</v>
      </c>
      <c r="G1067" t="s">
        <v>96</v>
      </c>
      <c r="H1067" s="65">
        <v>44561</v>
      </c>
      <c r="K1067" s="71"/>
      <c r="L1067" s="72"/>
      <c r="M1067" s="71"/>
      <c r="N1067" s="216">
        <v>898300</v>
      </c>
      <c r="O1067" s="71">
        <v>640400</v>
      </c>
      <c r="P1067" s="72">
        <v>818600</v>
      </c>
    </row>
    <row r="1068" spans="1:16">
      <c r="A1068" s="295"/>
      <c r="B1068" s="293"/>
      <c r="C1068" s="296"/>
      <c r="D1068" s="66" t="s">
        <v>418</v>
      </c>
      <c r="H1068" s="65"/>
      <c r="K1068" s="71"/>
      <c r="L1068" s="72"/>
      <c r="M1068" s="71"/>
      <c r="N1068" s="216"/>
      <c r="O1068" s="71"/>
      <c r="P1068" s="72"/>
    </row>
    <row r="1069" spans="1:16">
      <c r="A1069" s="295" t="s">
        <v>282</v>
      </c>
      <c r="B1069" s="292" t="s">
        <v>283</v>
      </c>
      <c r="C1069" s="296" t="s">
        <v>284</v>
      </c>
      <c r="D1069" s="66" t="s">
        <v>411</v>
      </c>
      <c r="G1069" t="s">
        <v>429</v>
      </c>
      <c r="H1069" s="65">
        <v>44561</v>
      </c>
      <c r="K1069" s="71"/>
      <c r="L1069" s="72"/>
      <c r="M1069" s="71">
        <v>1.92</v>
      </c>
      <c r="N1069" s="216">
        <v>1.9</v>
      </c>
      <c r="O1069" s="71">
        <v>1.64</v>
      </c>
      <c r="P1069" s="72">
        <v>1.69</v>
      </c>
    </row>
    <row r="1070" spans="1:16">
      <c r="A1070" s="295"/>
      <c r="B1070" s="289"/>
      <c r="C1070" s="296"/>
      <c r="D1070" s="66" t="s">
        <v>412</v>
      </c>
      <c r="E1070" t="s">
        <v>413</v>
      </c>
      <c r="G1070" t="s">
        <v>429</v>
      </c>
      <c r="H1070" s="65">
        <v>44561</v>
      </c>
      <c r="K1070" s="71"/>
      <c r="L1070" s="72"/>
      <c r="M1070" s="71">
        <v>4.08</v>
      </c>
      <c r="N1070" s="216">
        <v>3.78</v>
      </c>
      <c r="O1070" s="71">
        <v>3.26</v>
      </c>
      <c r="P1070" s="72">
        <v>3.46</v>
      </c>
    </row>
    <row r="1071" spans="1:16">
      <c r="A1071" s="295"/>
      <c r="B1071" s="289"/>
      <c r="C1071" s="296"/>
      <c r="D1071" s="66" t="s">
        <v>414</v>
      </c>
      <c r="E1071" t="s">
        <v>413</v>
      </c>
      <c r="G1071" t="s">
        <v>429</v>
      </c>
      <c r="H1071" s="65">
        <v>44561</v>
      </c>
      <c r="K1071" s="71"/>
      <c r="L1071" s="72"/>
      <c r="M1071" s="71">
        <v>6</v>
      </c>
      <c r="N1071" s="216">
        <v>5.68</v>
      </c>
      <c r="O1071" s="71">
        <v>4.8999999999999986</v>
      </c>
      <c r="P1071" s="72">
        <v>5.15</v>
      </c>
    </row>
    <row r="1072" spans="1:16">
      <c r="A1072" s="295"/>
      <c r="B1072" s="289"/>
      <c r="C1072" s="296"/>
      <c r="D1072" s="66" t="s">
        <v>415</v>
      </c>
      <c r="E1072" t="s">
        <v>416</v>
      </c>
      <c r="G1072" t="s">
        <v>429</v>
      </c>
      <c r="H1072" s="65">
        <v>44561</v>
      </c>
      <c r="K1072" s="71"/>
      <c r="L1072" s="72"/>
      <c r="M1072" s="71">
        <v>414.91</v>
      </c>
      <c r="N1072" s="216">
        <v>397.94</v>
      </c>
      <c r="O1072" s="71">
        <v>341.35</v>
      </c>
      <c r="P1072" s="72">
        <v>292.80751495200292</v>
      </c>
    </row>
    <row r="1073" spans="1:17">
      <c r="A1073" s="295"/>
      <c r="B1073" s="289"/>
      <c r="C1073" s="296"/>
      <c r="D1073" s="66" t="s">
        <v>417</v>
      </c>
      <c r="G1073" t="s">
        <v>285</v>
      </c>
      <c r="H1073" s="65">
        <v>44561</v>
      </c>
      <c r="K1073" s="71"/>
      <c r="L1073" s="72"/>
      <c r="M1073" s="71">
        <v>2.2128533333333338</v>
      </c>
      <c r="N1073" s="216">
        <v>2.273942857142857</v>
      </c>
      <c r="O1073" s="71">
        <v>2.1006153846153852</v>
      </c>
      <c r="P1073" s="72">
        <v>1.952050099680019</v>
      </c>
    </row>
    <row r="1074" spans="1:17">
      <c r="A1074" s="295"/>
      <c r="B1074" s="293"/>
      <c r="C1074" s="296"/>
      <c r="D1074" s="66" t="s">
        <v>418</v>
      </c>
      <c r="H1074" s="65"/>
      <c r="K1074" s="71"/>
      <c r="L1074" s="72"/>
      <c r="M1074" s="71"/>
      <c r="N1074" s="216"/>
      <c r="O1074" s="71"/>
      <c r="P1074" s="72"/>
    </row>
    <row r="1075" spans="1:17">
      <c r="A1075" s="295" t="s">
        <v>286</v>
      </c>
      <c r="B1075" s="292" t="s">
        <v>287</v>
      </c>
      <c r="C1075" s="296" t="s">
        <v>288</v>
      </c>
      <c r="D1075" s="66" t="s">
        <v>411</v>
      </c>
      <c r="G1075" t="s">
        <v>428</v>
      </c>
      <c r="H1075" s="65">
        <v>44561</v>
      </c>
      <c r="K1075" s="71">
        <v>29000000</v>
      </c>
      <c r="L1075" s="72">
        <v>30000000</v>
      </c>
      <c r="M1075" s="71">
        <v>32500000</v>
      </c>
      <c r="N1075" s="216">
        <v>29500000</v>
      </c>
      <c r="O1075" s="71">
        <v>24500000</v>
      </c>
      <c r="P1075" s="72">
        <f>P1079*1.77</f>
        <v>29010300</v>
      </c>
    </row>
    <row r="1076" spans="1:17">
      <c r="A1076" s="295"/>
      <c r="B1076" s="289"/>
      <c r="C1076" s="296"/>
      <c r="D1076" s="66" t="s">
        <v>412</v>
      </c>
      <c r="E1076" t="s">
        <v>413</v>
      </c>
      <c r="G1076" t="s">
        <v>428</v>
      </c>
      <c r="H1076" s="65">
        <v>44561</v>
      </c>
      <c r="K1076" s="71">
        <v>3200000</v>
      </c>
      <c r="L1076" s="72">
        <v>3300000</v>
      </c>
      <c r="M1076" s="71">
        <v>3300000</v>
      </c>
      <c r="N1076" s="216">
        <v>3200000</v>
      </c>
      <c r="O1076" s="71">
        <v>2000000</v>
      </c>
      <c r="P1076" s="72">
        <f>P1079*0.16</f>
        <v>2622400</v>
      </c>
    </row>
    <row r="1077" spans="1:17">
      <c r="A1077" s="295"/>
      <c r="B1077" s="289"/>
      <c r="C1077" s="296"/>
      <c r="D1077" s="66" t="s">
        <v>414</v>
      </c>
      <c r="E1077" t="s">
        <v>413</v>
      </c>
      <c r="G1077" t="s">
        <v>428</v>
      </c>
      <c r="H1077" s="65">
        <v>44561</v>
      </c>
      <c r="K1077" s="71">
        <v>32200000</v>
      </c>
      <c r="L1077" s="72">
        <v>33300000</v>
      </c>
      <c r="M1077" s="71">
        <v>35800000</v>
      </c>
      <c r="N1077" s="216">
        <v>32700000</v>
      </c>
      <c r="O1077" s="71">
        <v>26500000</v>
      </c>
      <c r="P1077" s="72">
        <f>P1079*1.93</f>
        <v>31632700</v>
      </c>
    </row>
    <row r="1078" spans="1:17">
      <c r="A1078" s="295"/>
      <c r="B1078" s="289"/>
      <c r="C1078" s="296"/>
      <c r="D1078" s="66" t="s">
        <v>415</v>
      </c>
      <c r="E1078" t="s">
        <v>416</v>
      </c>
      <c r="G1078" t="s">
        <v>428</v>
      </c>
      <c r="H1078" s="65">
        <v>44561</v>
      </c>
      <c r="K1078" s="71"/>
      <c r="L1078" s="72"/>
      <c r="M1078" s="71"/>
      <c r="N1078" s="216"/>
      <c r="O1078" s="71"/>
      <c r="P1078" s="72"/>
    </row>
    <row r="1079" spans="1:17">
      <c r="A1079" s="295"/>
      <c r="B1079" s="289"/>
      <c r="C1079" s="296"/>
      <c r="D1079" s="66" t="s">
        <v>417</v>
      </c>
      <c r="G1079" t="s">
        <v>96</v>
      </c>
      <c r="H1079" s="65">
        <v>44561</v>
      </c>
      <c r="K1079" s="71">
        <v>14220000</v>
      </c>
      <c r="L1079" s="72">
        <v>14440000</v>
      </c>
      <c r="M1079" s="71">
        <v>15350000</v>
      </c>
      <c r="N1079" s="216">
        <v>13890000</v>
      </c>
      <c r="O1079" s="71">
        <v>11540000</v>
      </c>
      <c r="P1079" s="72">
        <v>16390000</v>
      </c>
    </row>
    <row r="1080" spans="1:17">
      <c r="A1080" s="295"/>
      <c r="B1080" s="293"/>
      <c r="C1080" s="296"/>
      <c r="D1080" s="66" t="s">
        <v>418</v>
      </c>
      <c r="H1080" s="65"/>
      <c r="K1080" s="71"/>
      <c r="L1080" s="72"/>
      <c r="M1080" s="71"/>
      <c r="N1080" s="216"/>
      <c r="O1080" s="71"/>
      <c r="P1080" s="74" t="s">
        <v>1122</v>
      </c>
    </row>
    <row r="1081" spans="1:17">
      <c r="A1081" s="295" t="s">
        <v>289</v>
      </c>
      <c r="B1081" s="292" t="s">
        <v>290</v>
      </c>
      <c r="C1081" s="296" t="s">
        <v>291</v>
      </c>
      <c r="D1081" s="66" t="s">
        <v>411</v>
      </c>
      <c r="G1081" t="s">
        <v>427</v>
      </c>
      <c r="H1081" s="65">
        <v>44561</v>
      </c>
      <c r="K1081" s="71"/>
      <c r="L1081" s="72"/>
      <c r="M1081" s="71"/>
      <c r="N1081" s="216"/>
      <c r="O1081" s="71">
        <v>654</v>
      </c>
      <c r="P1081" s="72">
        <v>454</v>
      </c>
      <c r="Q1081" s="71">
        <v>585</v>
      </c>
    </row>
    <row r="1082" spans="1:17">
      <c r="A1082" s="295"/>
      <c r="B1082" s="289"/>
      <c r="C1082" s="296"/>
      <c r="D1082" s="66" t="s">
        <v>412</v>
      </c>
      <c r="E1082" t="s">
        <v>413</v>
      </c>
      <c r="G1082" t="s">
        <v>427</v>
      </c>
      <c r="H1082" s="65">
        <v>44561</v>
      </c>
      <c r="K1082" s="71"/>
      <c r="L1082" s="72"/>
      <c r="M1082" s="71"/>
      <c r="N1082" s="216"/>
      <c r="O1082" s="71">
        <v>265</v>
      </c>
      <c r="P1082" s="72">
        <v>255</v>
      </c>
      <c r="Q1082" s="71">
        <v>228</v>
      </c>
    </row>
    <row r="1083" spans="1:17">
      <c r="A1083" s="295"/>
      <c r="B1083" s="289"/>
      <c r="C1083" s="296"/>
      <c r="D1083" s="66" t="s">
        <v>414</v>
      </c>
      <c r="E1083" t="s">
        <v>413</v>
      </c>
      <c r="G1083" t="s">
        <v>427</v>
      </c>
      <c r="H1083" s="65">
        <v>44561</v>
      </c>
      <c r="K1083" s="71"/>
      <c r="L1083" s="72"/>
      <c r="M1083" s="71"/>
      <c r="N1083" s="216"/>
      <c r="O1083" s="71">
        <v>919</v>
      </c>
      <c r="P1083" s="72">
        <v>709</v>
      </c>
      <c r="Q1083" s="71">
        <f>SUM(Q1081:Q1082)</f>
        <v>813</v>
      </c>
    </row>
    <row r="1084" spans="1:17">
      <c r="A1084" s="295"/>
      <c r="B1084" s="289"/>
      <c r="C1084" s="296"/>
      <c r="D1084" s="66" t="s">
        <v>415</v>
      </c>
      <c r="E1084">
        <v>3</v>
      </c>
      <c r="G1084" t="s">
        <v>427</v>
      </c>
      <c r="H1084" s="65">
        <v>44561</v>
      </c>
      <c r="K1084" s="71"/>
      <c r="L1084" s="72"/>
      <c r="M1084" s="71"/>
      <c r="N1084" s="216"/>
      <c r="O1084" s="71">
        <v>4089</v>
      </c>
      <c r="P1084" s="72">
        <v>3699</v>
      </c>
      <c r="Q1084" s="71">
        <v>4995</v>
      </c>
    </row>
    <row r="1085" spans="1:17">
      <c r="A1085" s="295"/>
      <c r="B1085" s="289"/>
      <c r="C1085" s="296"/>
      <c r="D1085" s="66" t="s">
        <v>415</v>
      </c>
      <c r="E1085">
        <v>11</v>
      </c>
      <c r="G1085" t="s">
        <v>427</v>
      </c>
      <c r="H1085" s="65">
        <v>44561</v>
      </c>
      <c r="I1085" s="90" t="s">
        <v>970</v>
      </c>
      <c r="K1085" s="71"/>
      <c r="L1085" s="72"/>
      <c r="M1085" s="71"/>
      <c r="N1085" s="216"/>
      <c r="O1085" s="71">
        <v>221</v>
      </c>
      <c r="P1085" s="72">
        <v>249</v>
      </c>
      <c r="Q1085" s="71">
        <v>233</v>
      </c>
    </row>
    <row r="1086" spans="1:17">
      <c r="A1086" s="295"/>
      <c r="B1086" s="289"/>
      <c r="C1086" s="296"/>
      <c r="D1086" s="66" t="s">
        <v>415</v>
      </c>
      <c r="E1086" t="s">
        <v>416</v>
      </c>
      <c r="G1086" t="s">
        <v>427</v>
      </c>
      <c r="H1086" s="65">
        <v>44561</v>
      </c>
      <c r="I1086" s="90" t="s">
        <v>970</v>
      </c>
      <c r="K1086" s="71"/>
      <c r="L1086" s="72"/>
      <c r="M1086" s="71"/>
      <c r="N1086" s="216"/>
      <c r="O1086" s="71">
        <f t="shared" ref="O1086:Q1086" si="33">SUM(O1084:O1085)</f>
        <v>4310</v>
      </c>
      <c r="P1086" s="72">
        <f t="shared" ref="P1086" si="34">SUM(P1084:P1085)</f>
        <v>3948</v>
      </c>
      <c r="Q1086" s="71">
        <f t="shared" si="33"/>
        <v>5228</v>
      </c>
    </row>
    <row r="1087" spans="1:17">
      <c r="A1087" s="295"/>
      <c r="B1087" s="289"/>
      <c r="C1087" s="296"/>
      <c r="D1087" s="66" t="s">
        <v>417</v>
      </c>
      <c r="G1087" t="s">
        <v>57</v>
      </c>
      <c r="H1087" s="65">
        <v>44561</v>
      </c>
      <c r="K1087" s="71"/>
      <c r="L1087" s="72"/>
      <c r="M1087" s="71"/>
      <c r="N1087" s="216"/>
      <c r="O1087" s="71">
        <v>62741</v>
      </c>
      <c r="P1087" s="72">
        <v>58896</v>
      </c>
      <c r="Q1087" s="71">
        <v>63431</v>
      </c>
    </row>
    <row r="1088" spans="1:17">
      <c r="A1088" s="295"/>
      <c r="B1088" s="293"/>
      <c r="C1088" s="296"/>
      <c r="D1088" s="66" t="s">
        <v>418</v>
      </c>
      <c r="H1088" s="65"/>
      <c r="K1088" s="71"/>
      <c r="L1088" s="72"/>
      <c r="M1088" s="71"/>
      <c r="N1088" s="216"/>
      <c r="O1088" s="71"/>
      <c r="P1088" s="74"/>
      <c r="Q1088" s="71" t="s">
        <v>1247</v>
      </c>
    </row>
    <row r="1089" spans="1:16">
      <c r="A1089" s="295" t="s">
        <v>289</v>
      </c>
      <c r="B1089" s="292" t="s">
        <v>290</v>
      </c>
      <c r="C1089" s="296" t="s">
        <v>291</v>
      </c>
      <c r="D1089" s="66" t="s">
        <v>411</v>
      </c>
      <c r="G1089" t="s">
        <v>427</v>
      </c>
      <c r="H1089" s="65">
        <v>44561</v>
      </c>
      <c r="K1089" s="71"/>
      <c r="L1089" s="72"/>
      <c r="M1089" s="71"/>
      <c r="N1089" s="216">
        <v>1073</v>
      </c>
      <c r="O1089" s="71">
        <v>654</v>
      </c>
      <c r="P1089" s="72">
        <v>454</v>
      </c>
    </row>
    <row r="1090" spans="1:16">
      <c r="A1090" s="295"/>
      <c r="B1090" s="289"/>
      <c r="C1090" s="296"/>
      <c r="D1090" s="66" t="s">
        <v>412</v>
      </c>
      <c r="E1090" t="s">
        <v>413</v>
      </c>
      <c r="G1090" t="s">
        <v>427</v>
      </c>
      <c r="H1090" s="65">
        <v>44561</v>
      </c>
      <c r="K1090" s="71"/>
      <c r="L1090" s="72"/>
      <c r="M1090" s="71"/>
      <c r="N1090" s="216">
        <v>272</v>
      </c>
      <c r="O1090" s="71">
        <v>265</v>
      </c>
      <c r="P1090" s="72">
        <v>255</v>
      </c>
    </row>
    <row r="1091" spans="1:16">
      <c r="A1091" s="295"/>
      <c r="B1091" s="289"/>
      <c r="C1091" s="296"/>
      <c r="D1091" s="66" t="s">
        <v>414</v>
      </c>
      <c r="E1091" t="s">
        <v>413</v>
      </c>
      <c r="G1091" t="s">
        <v>427</v>
      </c>
      <c r="H1091" s="65">
        <v>44561</v>
      </c>
      <c r="K1091" s="71"/>
      <c r="L1091" s="72"/>
      <c r="M1091" s="71"/>
      <c r="N1091" s="216">
        <v>1345</v>
      </c>
      <c r="O1091" s="71">
        <v>919</v>
      </c>
      <c r="P1091" s="72">
        <v>709</v>
      </c>
    </row>
    <row r="1092" spans="1:16">
      <c r="A1092" s="295"/>
      <c r="B1092" s="289"/>
      <c r="C1092" s="296"/>
      <c r="D1092" s="66" t="s">
        <v>415</v>
      </c>
      <c r="E1092">
        <v>3</v>
      </c>
      <c r="G1092" t="s">
        <v>427</v>
      </c>
      <c r="H1092" s="65">
        <v>44561</v>
      </c>
      <c r="K1092" s="71"/>
      <c r="L1092" s="72"/>
      <c r="M1092" s="71"/>
      <c r="N1092" s="84">
        <f>O1092</f>
        <v>4089</v>
      </c>
      <c r="O1092" s="71">
        <v>4089</v>
      </c>
      <c r="P1092" s="72">
        <v>3699</v>
      </c>
    </row>
    <row r="1093" spans="1:16">
      <c r="A1093" s="295"/>
      <c r="B1093" s="289"/>
      <c r="C1093" s="296"/>
      <c r="D1093" s="66" t="s">
        <v>415</v>
      </c>
      <c r="E1093">
        <v>11</v>
      </c>
      <c r="G1093" t="s">
        <v>427</v>
      </c>
      <c r="H1093" s="65">
        <v>44561</v>
      </c>
      <c r="I1093" s="90" t="s">
        <v>970</v>
      </c>
      <c r="K1093" s="71"/>
      <c r="L1093" s="72"/>
      <c r="M1093" s="71"/>
      <c r="N1093" s="216">
        <v>198</v>
      </c>
      <c r="O1093" s="71">
        <v>221</v>
      </c>
      <c r="P1093" s="72">
        <v>249</v>
      </c>
    </row>
    <row r="1094" spans="1:16">
      <c r="A1094" s="295"/>
      <c r="B1094" s="289"/>
      <c r="C1094" s="296"/>
      <c r="D1094" s="66" t="s">
        <v>415</v>
      </c>
      <c r="E1094" t="s">
        <v>416</v>
      </c>
      <c r="G1094" t="s">
        <v>427</v>
      </c>
      <c r="H1094" s="65">
        <v>44561</v>
      </c>
      <c r="I1094" s="90" t="s">
        <v>970</v>
      </c>
      <c r="K1094" s="71"/>
      <c r="L1094" s="72"/>
      <c r="M1094" s="71"/>
      <c r="N1094" s="216">
        <f>SUM(N1092:N1093)</f>
        <v>4287</v>
      </c>
      <c r="O1094" s="71">
        <f t="shared" ref="O1094:P1094" si="35">SUM(O1092:O1093)</f>
        <v>4310</v>
      </c>
      <c r="P1094" s="72">
        <f t="shared" si="35"/>
        <v>3948</v>
      </c>
    </row>
    <row r="1095" spans="1:16">
      <c r="A1095" s="295"/>
      <c r="B1095" s="289"/>
      <c r="C1095" s="296"/>
      <c r="D1095" s="66" t="s">
        <v>417</v>
      </c>
      <c r="G1095" t="s">
        <v>57</v>
      </c>
      <c r="H1095" s="65">
        <v>44561</v>
      </c>
      <c r="K1095" s="71"/>
      <c r="L1095" s="72"/>
      <c r="M1095" s="71"/>
      <c r="N1095" s="216">
        <v>62179</v>
      </c>
      <c r="O1095" s="71">
        <v>62741</v>
      </c>
      <c r="P1095" s="72">
        <v>58896</v>
      </c>
    </row>
    <row r="1096" spans="1:16">
      <c r="A1096" s="295"/>
      <c r="B1096" s="293"/>
      <c r="C1096" s="296"/>
      <c r="D1096" s="66" t="s">
        <v>418</v>
      </c>
      <c r="H1096" s="65"/>
      <c r="K1096" s="71"/>
      <c r="L1096" s="72"/>
      <c r="M1096" s="71"/>
      <c r="N1096" s="216"/>
      <c r="O1096" s="71"/>
      <c r="P1096" s="74" t="s">
        <v>1246</v>
      </c>
    </row>
    <row r="1097" spans="1:16">
      <c r="A1097" s="295" t="s">
        <v>293</v>
      </c>
      <c r="B1097" s="292" t="s">
        <v>294</v>
      </c>
      <c r="C1097" s="296" t="s">
        <v>295</v>
      </c>
      <c r="D1097" s="66" t="s">
        <v>411</v>
      </c>
      <c r="G1097" t="s">
        <v>429</v>
      </c>
      <c r="H1097" s="65">
        <v>44561</v>
      </c>
      <c r="K1097" s="71">
        <v>11.6416389602593</v>
      </c>
      <c r="L1097" s="72">
        <v>9.41263241795032</v>
      </c>
      <c r="M1097" s="71">
        <v>10.1279024835251</v>
      </c>
      <c r="N1097" s="216">
        <v>8.7046989666181105</v>
      </c>
      <c r="O1097" s="71">
        <v>7.8127186930359001</v>
      </c>
      <c r="P1097" s="72"/>
    </row>
    <row r="1098" spans="1:16">
      <c r="A1098" s="295"/>
      <c r="B1098" s="289"/>
      <c r="C1098" s="296"/>
      <c r="D1098" s="66" t="s">
        <v>412</v>
      </c>
      <c r="E1098" t="s">
        <v>413</v>
      </c>
      <c r="G1098" t="s">
        <v>429</v>
      </c>
      <c r="H1098" s="65">
        <v>44561</v>
      </c>
      <c r="K1098" s="71">
        <v>0</v>
      </c>
      <c r="L1098" s="72">
        <v>0</v>
      </c>
      <c r="M1098" s="71">
        <v>0</v>
      </c>
      <c r="N1098" s="216">
        <v>0</v>
      </c>
      <c r="O1098" s="71">
        <v>0</v>
      </c>
      <c r="P1098" s="72"/>
    </row>
    <row r="1099" spans="1:16">
      <c r="A1099" s="295"/>
      <c r="B1099" s="289"/>
      <c r="C1099" s="296"/>
      <c r="D1099" s="66" t="s">
        <v>414</v>
      </c>
      <c r="E1099" t="s">
        <v>413</v>
      </c>
      <c r="G1099" t="s">
        <v>429</v>
      </c>
      <c r="H1099" s="65">
        <v>44561</v>
      </c>
      <c r="K1099" s="71">
        <v>11.6416389602593</v>
      </c>
      <c r="L1099" s="72">
        <v>9.41263241795032</v>
      </c>
      <c r="M1099" s="71">
        <v>10.1279024835251</v>
      </c>
      <c r="N1099" s="216">
        <v>8.7046989666181105</v>
      </c>
      <c r="O1099" s="71">
        <v>7.8127186930359001</v>
      </c>
      <c r="P1099" s="72"/>
    </row>
    <row r="1100" spans="1:16">
      <c r="A1100" s="295"/>
      <c r="B1100" s="289"/>
      <c r="C1100" s="296"/>
      <c r="D1100" s="66" t="s">
        <v>415</v>
      </c>
      <c r="E1100" t="s">
        <v>416</v>
      </c>
      <c r="G1100" t="s">
        <v>429</v>
      </c>
      <c r="H1100" s="65">
        <v>44561</v>
      </c>
      <c r="K1100" s="71"/>
      <c r="L1100" s="72"/>
      <c r="M1100" s="71"/>
      <c r="N1100" s="216"/>
      <c r="O1100" s="71"/>
      <c r="P1100" s="72"/>
    </row>
    <row r="1101" spans="1:16">
      <c r="A1101" s="295"/>
      <c r="B1101" s="289"/>
      <c r="C1101" s="296"/>
      <c r="D1101" s="66" t="s">
        <v>417</v>
      </c>
      <c r="G1101" t="s">
        <v>62</v>
      </c>
      <c r="H1101" s="65">
        <v>44561</v>
      </c>
      <c r="K1101" s="71">
        <v>17.412890000000001</v>
      </c>
      <c r="L1101" s="72">
        <v>13.2565779694781</v>
      </c>
      <c r="M1101" s="71">
        <v>19.823205962022801</v>
      </c>
      <c r="N1101" s="216">
        <v>19.4268650530346</v>
      </c>
      <c r="O1101" s="71">
        <v>18.5517652927645</v>
      </c>
      <c r="P1101" s="72"/>
    </row>
    <row r="1102" spans="1:16">
      <c r="A1102" s="295"/>
      <c r="B1102" s="293"/>
      <c r="C1102" s="296"/>
      <c r="D1102" s="66" t="s">
        <v>418</v>
      </c>
      <c r="H1102" s="65"/>
      <c r="K1102" s="71"/>
      <c r="L1102" s="72"/>
      <c r="M1102" s="71"/>
      <c r="N1102" s="216"/>
      <c r="O1102" s="71"/>
      <c r="P1102" s="72"/>
    </row>
    <row r="1103" spans="1:16">
      <c r="A1103" s="295" t="s">
        <v>296</v>
      </c>
      <c r="B1103" s="292" t="s">
        <v>297</v>
      </c>
      <c r="C1103" s="296" t="s">
        <v>298</v>
      </c>
      <c r="D1103" s="66" t="s">
        <v>411</v>
      </c>
      <c r="G1103" t="s">
        <v>429</v>
      </c>
      <c r="H1103" s="65">
        <v>44561</v>
      </c>
      <c r="K1103" s="71"/>
      <c r="L1103" s="72"/>
      <c r="M1103" s="71"/>
      <c r="N1103" s="216">
        <v>105.523364</v>
      </c>
      <c r="O1103" s="71">
        <v>94.290023000000005</v>
      </c>
      <c r="P1103" s="72">
        <v>98.749588000000003</v>
      </c>
    </row>
    <row r="1104" spans="1:16">
      <c r="A1104" s="295"/>
      <c r="B1104" s="289"/>
      <c r="C1104" s="296"/>
      <c r="D1104" s="66" t="s">
        <v>412</v>
      </c>
      <c r="E1104" t="s">
        <v>413</v>
      </c>
      <c r="G1104" t="s">
        <v>429</v>
      </c>
      <c r="H1104" s="65">
        <v>44561</v>
      </c>
      <c r="K1104" s="71"/>
      <c r="L1104" s="72"/>
      <c r="M1104" s="71"/>
      <c r="N1104" s="216">
        <v>0.24906800000000001</v>
      </c>
      <c r="O1104" s="71">
        <v>0.33377000000000001</v>
      </c>
      <c r="P1104" s="72">
        <v>0.24296999999999999</v>
      </c>
    </row>
    <row r="1105" spans="1:16">
      <c r="A1105" s="295"/>
      <c r="B1105" s="289"/>
      <c r="C1105" s="296"/>
      <c r="D1105" s="66" t="s">
        <v>414</v>
      </c>
      <c r="E1105" t="s">
        <v>413</v>
      </c>
      <c r="G1105" t="s">
        <v>429</v>
      </c>
      <c r="H1105" s="65">
        <v>44561</v>
      </c>
      <c r="K1105" s="71"/>
      <c r="L1105" s="72"/>
      <c r="M1105" s="71"/>
      <c r="N1105" s="216">
        <v>105.77243199999999</v>
      </c>
      <c r="O1105" s="71">
        <v>94.623793000000006</v>
      </c>
      <c r="P1105" s="72">
        <v>98.992558000000002</v>
      </c>
    </row>
    <row r="1106" spans="1:16">
      <c r="A1106" s="295"/>
      <c r="B1106" s="289"/>
      <c r="C1106" s="296"/>
      <c r="D1106" s="66" t="s">
        <v>415</v>
      </c>
      <c r="E1106" t="s">
        <v>416</v>
      </c>
      <c r="G1106" t="s">
        <v>429</v>
      </c>
      <c r="H1106" s="65">
        <v>44561</v>
      </c>
      <c r="K1106" s="71"/>
      <c r="L1106" s="72"/>
      <c r="M1106" s="71"/>
      <c r="N1106" s="216">
        <v>2.7247889999999999</v>
      </c>
      <c r="O1106" s="71">
        <v>2.7247889999999999</v>
      </c>
      <c r="P1106" s="72">
        <v>2.386622</v>
      </c>
    </row>
    <row r="1107" spans="1:16">
      <c r="A1107" s="295"/>
      <c r="B1107" s="289"/>
      <c r="C1107" s="296"/>
      <c r="D1107" s="66" t="s">
        <v>417</v>
      </c>
      <c r="G1107" t="s">
        <v>62</v>
      </c>
      <c r="H1107" s="65">
        <v>44561</v>
      </c>
      <c r="K1107" s="71"/>
      <c r="L1107" s="72"/>
      <c r="M1107" s="71"/>
      <c r="N1107" s="216">
        <v>186.428605</v>
      </c>
      <c r="O1107" s="71">
        <v>172.24373800000001</v>
      </c>
      <c r="P1107" s="72">
        <v>174</v>
      </c>
    </row>
    <row r="1108" spans="1:16">
      <c r="A1108" s="295"/>
      <c r="B1108" s="293"/>
      <c r="C1108" s="296"/>
      <c r="D1108" s="66" t="s">
        <v>418</v>
      </c>
      <c r="H1108" s="65"/>
      <c r="K1108" s="71"/>
      <c r="L1108" s="72"/>
      <c r="M1108" s="71"/>
      <c r="N1108" s="216"/>
      <c r="O1108" s="71"/>
      <c r="P1108" s="72"/>
    </row>
    <row r="1109" spans="1:16">
      <c r="A1109" s="295" t="s">
        <v>299</v>
      </c>
      <c r="B1109" s="292" t="s">
        <v>300</v>
      </c>
      <c r="C1109" s="296" t="s">
        <v>301</v>
      </c>
      <c r="D1109" s="66" t="s">
        <v>411</v>
      </c>
      <c r="G1109" t="s">
        <v>429</v>
      </c>
      <c r="H1109" s="65">
        <v>44561</v>
      </c>
      <c r="K1109" s="71">
        <v>19.0203714477306</v>
      </c>
      <c r="L1109" s="72">
        <v>19.627231815165601</v>
      </c>
      <c r="M1109" s="71">
        <v>16.478434173257199</v>
      </c>
      <c r="N1109" s="216">
        <v>9.8745765849492209</v>
      </c>
      <c r="O1109" s="71">
        <v>9.6672977881650493</v>
      </c>
      <c r="P1109" s="72"/>
    </row>
    <row r="1110" spans="1:16">
      <c r="A1110" s="295"/>
      <c r="B1110" s="289"/>
      <c r="C1110" s="296"/>
      <c r="D1110" s="66" t="s">
        <v>412</v>
      </c>
      <c r="E1110" t="s">
        <v>413</v>
      </c>
      <c r="G1110" t="s">
        <v>429</v>
      </c>
      <c r="H1110" s="65">
        <v>44561</v>
      </c>
      <c r="K1110" s="71">
        <v>0</v>
      </c>
      <c r="L1110" s="72">
        <v>0</v>
      </c>
      <c r="M1110" s="71">
        <v>0</v>
      </c>
      <c r="N1110" s="216">
        <v>0</v>
      </c>
      <c r="O1110" s="71">
        <v>0</v>
      </c>
      <c r="P1110" s="72"/>
    </row>
    <row r="1111" spans="1:16">
      <c r="A1111" s="295"/>
      <c r="B1111" s="289"/>
      <c r="C1111" s="296"/>
      <c r="D1111" s="66" t="s">
        <v>414</v>
      </c>
      <c r="E1111" t="s">
        <v>413</v>
      </c>
      <c r="G1111" t="s">
        <v>429</v>
      </c>
      <c r="H1111" s="65">
        <v>44561</v>
      </c>
      <c r="K1111" s="71">
        <v>19.0203714477306</v>
      </c>
      <c r="L1111" s="72">
        <v>19.627231815165601</v>
      </c>
      <c r="M1111" s="71">
        <v>16.478434173257199</v>
      </c>
      <c r="N1111" s="216">
        <v>9.8745765849492209</v>
      </c>
      <c r="O1111" s="71">
        <v>9.6672977881650493</v>
      </c>
      <c r="P1111" s="72"/>
    </row>
    <row r="1112" spans="1:16">
      <c r="A1112" s="295"/>
      <c r="B1112" s="289"/>
      <c r="C1112" s="296"/>
      <c r="D1112" s="66" t="s">
        <v>415</v>
      </c>
      <c r="E1112" t="s">
        <v>416</v>
      </c>
      <c r="G1112" t="s">
        <v>429</v>
      </c>
      <c r="H1112" s="65">
        <v>44561</v>
      </c>
      <c r="K1112" s="71"/>
      <c r="L1112" s="72"/>
      <c r="M1112" s="71"/>
      <c r="N1112" s="216"/>
      <c r="O1112" s="71"/>
      <c r="P1112" s="72"/>
    </row>
    <row r="1113" spans="1:16">
      <c r="A1113" s="295"/>
      <c r="B1113" s="289"/>
      <c r="C1113" s="296"/>
      <c r="D1113" s="66" t="s">
        <v>417</v>
      </c>
      <c r="G1113" t="s">
        <v>62</v>
      </c>
      <c r="H1113" s="65">
        <v>44561</v>
      </c>
      <c r="K1113" s="71">
        <v>23.3673241056539</v>
      </c>
      <c r="L1113" s="72">
        <v>23.864635428668901</v>
      </c>
      <c r="M1113" s="71">
        <v>21.139317437999999</v>
      </c>
      <c r="N1113" s="216">
        <v>15.874233994000001</v>
      </c>
      <c r="O1113" s="71">
        <v>15.8652856885</v>
      </c>
      <c r="P1113" s="72"/>
    </row>
    <row r="1114" spans="1:16">
      <c r="A1114" s="295"/>
      <c r="B1114" s="293"/>
      <c r="C1114" s="296"/>
      <c r="D1114" s="66" t="s">
        <v>418</v>
      </c>
      <c r="H1114" s="65"/>
      <c r="K1114" s="71"/>
      <c r="L1114" s="72"/>
      <c r="M1114" s="71"/>
      <c r="N1114" s="216"/>
      <c r="O1114" s="71"/>
      <c r="P1114" s="72"/>
    </row>
    <row r="1115" spans="1:16">
      <c r="A1115" s="295" t="s">
        <v>302</v>
      </c>
      <c r="B1115" s="292" t="s">
        <v>303</v>
      </c>
      <c r="C1115" s="296" t="s">
        <v>304</v>
      </c>
      <c r="D1115" s="66" t="s">
        <v>411</v>
      </c>
      <c r="G1115" t="s">
        <v>428</v>
      </c>
      <c r="H1115" s="65">
        <v>44561</v>
      </c>
      <c r="K1115" s="71">
        <v>126399</v>
      </c>
      <c r="L1115" s="72">
        <v>132944</v>
      </c>
      <c r="M1115" s="71">
        <v>139953</v>
      </c>
      <c r="N1115" s="216">
        <v>134257</v>
      </c>
      <c r="O1115" s="71">
        <v>130506</v>
      </c>
      <c r="P1115" s="72"/>
    </row>
    <row r="1116" spans="1:16">
      <c r="A1116" s="295"/>
      <c r="B1116" s="289"/>
      <c r="C1116" s="296"/>
      <c r="D1116" s="66" t="s">
        <v>412</v>
      </c>
      <c r="E1116" t="s">
        <v>413</v>
      </c>
      <c r="G1116" t="s">
        <v>428</v>
      </c>
      <c r="H1116" s="65">
        <v>44561</v>
      </c>
      <c r="K1116" s="71">
        <v>191840</v>
      </c>
      <c r="L1116" s="72">
        <v>176617</v>
      </c>
      <c r="M1116" s="71">
        <v>175958</v>
      </c>
      <c r="N1116" s="216">
        <v>160799</v>
      </c>
      <c r="O1116" s="71">
        <v>139201</v>
      </c>
      <c r="P1116" s="72"/>
    </row>
    <row r="1117" spans="1:16">
      <c r="A1117" s="295"/>
      <c r="B1117" s="289"/>
      <c r="C1117" s="296"/>
      <c r="D1117" s="66" t="s">
        <v>414</v>
      </c>
      <c r="E1117" t="s">
        <v>413</v>
      </c>
      <c r="G1117" t="s">
        <v>428</v>
      </c>
      <c r="H1117" s="65">
        <v>44561</v>
      </c>
      <c r="K1117" s="71">
        <v>318239</v>
      </c>
      <c r="L1117" s="72">
        <v>309561</v>
      </c>
      <c r="M1117" s="71">
        <v>315911</v>
      </c>
      <c r="N1117" s="216">
        <v>295056</v>
      </c>
      <c r="O1117" s="71">
        <v>269707</v>
      </c>
      <c r="P1117" s="72"/>
    </row>
    <row r="1118" spans="1:16">
      <c r="A1118" s="295"/>
      <c r="B1118" s="289"/>
      <c r="C1118" s="296"/>
      <c r="D1118" s="66" t="s">
        <v>415</v>
      </c>
      <c r="E1118" t="s">
        <v>416</v>
      </c>
      <c r="G1118" t="s">
        <v>428</v>
      </c>
      <c r="H1118" s="65">
        <v>44561</v>
      </c>
      <c r="K1118" s="71"/>
      <c r="L1118" s="72"/>
      <c r="M1118" s="71"/>
      <c r="N1118" s="216"/>
      <c r="O1118" s="71"/>
      <c r="P1118" s="72"/>
    </row>
    <row r="1119" spans="1:16">
      <c r="A1119" s="295"/>
      <c r="B1119" s="289"/>
      <c r="C1119" s="296"/>
      <c r="D1119" s="66" t="s">
        <v>417</v>
      </c>
      <c r="G1119" t="s">
        <v>96</v>
      </c>
      <c r="H1119" s="65">
        <v>44561</v>
      </c>
      <c r="K1119" s="71">
        <v>3523000</v>
      </c>
      <c r="L1119" s="72">
        <v>4070000</v>
      </c>
      <c r="M1119" s="71">
        <v>3820000</v>
      </c>
      <c r="N1119" s="216">
        <v>3715000</v>
      </c>
      <c r="O1119" s="71">
        <v>3830000</v>
      </c>
      <c r="P1119" s="72"/>
    </row>
    <row r="1120" spans="1:16">
      <c r="A1120" s="295"/>
      <c r="B1120" s="293"/>
      <c r="C1120" s="296"/>
      <c r="D1120" s="66" t="s">
        <v>418</v>
      </c>
      <c r="H1120" s="65"/>
      <c r="K1120" s="71"/>
      <c r="L1120" s="72"/>
      <c r="M1120" s="71"/>
      <c r="N1120" s="216"/>
      <c r="O1120" s="71"/>
      <c r="P1120" s="72"/>
    </row>
    <row r="1121" spans="1:16">
      <c r="A1121" s="295" t="s">
        <v>302</v>
      </c>
      <c r="B1121" s="292" t="s">
        <v>303</v>
      </c>
      <c r="C1121" s="296" t="s">
        <v>304</v>
      </c>
      <c r="D1121" s="66" t="s">
        <v>411</v>
      </c>
      <c r="G1121" t="s">
        <v>428</v>
      </c>
      <c r="H1121" s="65">
        <v>44840</v>
      </c>
      <c r="K1121" s="71"/>
      <c r="L1121" s="72"/>
      <c r="M1121" s="71"/>
      <c r="N1121" s="216">
        <v>134257</v>
      </c>
      <c r="O1121" s="71">
        <v>130506</v>
      </c>
      <c r="P1121" s="72">
        <v>142989</v>
      </c>
    </row>
    <row r="1122" spans="1:16">
      <c r="A1122" s="295"/>
      <c r="B1122" s="289"/>
      <c r="C1122" s="296"/>
      <c r="D1122" s="66" t="s">
        <v>412</v>
      </c>
      <c r="E1122" t="s">
        <v>413</v>
      </c>
      <c r="G1122" t="s">
        <v>428</v>
      </c>
      <c r="H1122" s="65">
        <v>44840</v>
      </c>
      <c r="K1122" s="71"/>
      <c r="L1122" s="72"/>
      <c r="M1122" s="71"/>
      <c r="N1122" s="216">
        <v>160799</v>
      </c>
      <c r="O1122" s="71">
        <v>139201</v>
      </c>
      <c r="P1122" s="72">
        <v>147629</v>
      </c>
    </row>
    <row r="1123" spans="1:16">
      <c r="A1123" s="295"/>
      <c r="B1123" s="289"/>
      <c r="C1123" s="296"/>
      <c r="D1123" s="66" t="s">
        <v>415</v>
      </c>
      <c r="E1123" t="s">
        <v>416</v>
      </c>
      <c r="G1123" t="s">
        <v>428</v>
      </c>
      <c r="H1123" s="65">
        <v>44840</v>
      </c>
      <c r="K1123" s="71"/>
      <c r="L1123" s="72"/>
      <c r="M1123" s="71"/>
      <c r="N1123" s="216"/>
      <c r="O1123" s="71"/>
      <c r="P1123" s="72"/>
    </row>
    <row r="1124" spans="1:16">
      <c r="A1124" s="295"/>
      <c r="B1124" s="289"/>
      <c r="C1124" s="296"/>
      <c r="D1124" s="66" t="s">
        <v>417</v>
      </c>
      <c r="G1124" t="s">
        <v>96</v>
      </c>
      <c r="H1124" s="65">
        <v>44840</v>
      </c>
      <c r="K1124" s="71"/>
      <c r="L1124" s="72"/>
      <c r="M1124" s="71"/>
      <c r="N1124" s="216"/>
      <c r="O1124" s="71"/>
      <c r="P1124" s="72">
        <v>4066773</v>
      </c>
    </row>
    <row r="1125" spans="1:16">
      <c r="A1125" s="295"/>
      <c r="B1125" s="289"/>
      <c r="C1125" s="296"/>
      <c r="D1125" s="66" t="s">
        <v>635</v>
      </c>
      <c r="H1125" s="65">
        <v>44840</v>
      </c>
      <c r="K1125" s="71"/>
      <c r="L1125" s="72"/>
      <c r="M1125" s="71"/>
      <c r="N1125" s="216"/>
      <c r="O1125" s="71"/>
      <c r="P1125" s="74" t="s">
        <v>636</v>
      </c>
    </row>
    <row r="1126" spans="1:16">
      <c r="A1126" s="295"/>
      <c r="B1126" s="293"/>
      <c r="C1126" s="296"/>
      <c r="D1126" s="66" t="s">
        <v>418</v>
      </c>
      <c r="H1126" s="65">
        <v>44840</v>
      </c>
      <c r="K1126" s="71"/>
      <c r="L1126" s="72"/>
      <c r="M1126" s="71"/>
      <c r="N1126" s="216"/>
      <c r="O1126" s="71"/>
      <c r="P1126" s="74" t="s">
        <v>637</v>
      </c>
    </row>
    <row r="1127" spans="1:16">
      <c r="A1127" s="295" t="s">
        <v>305</v>
      </c>
      <c r="B1127" s="292" t="s">
        <v>306</v>
      </c>
      <c r="C1127" s="296" t="s">
        <v>307</v>
      </c>
      <c r="D1127" s="66" t="s">
        <v>411</v>
      </c>
      <c r="E1127" t="s">
        <v>443</v>
      </c>
      <c r="G1127" t="s">
        <v>429</v>
      </c>
      <c r="H1127" s="65">
        <v>44561</v>
      </c>
      <c r="K1127" s="71">
        <v>46.128179096556003</v>
      </c>
      <c r="L1127" s="72">
        <v>45.010998633485997</v>
      </c>
      <c r="M1127" s="71">
        <v>45.358516394732497</v>
      </c>
      <c r="N1127" s="216">
        <v>41.448404774063498</v>
      </c>
      <c r="O1127" s="71">
        <v>34.8794800473854</v>
      </c>
      <c r="P1127" s="72"/>
    </row>
    <row r="1128" spans="1:16">
      <c r="A1128" s="295"/>
      <c r="B1128" s="289"/>
      <c r="C1128" s="296"/>
      <c r="D1128" s="66" t="s">
        <v>412</v>
      </c>
      <c r="E1128" t="s">
        <v>443</v>
      </c>
      <c r="G1128" t="s">
        <v>429</v>
      </c>
      <c r="H1128" s="65">
        <v>44561</v>
      </c>
      <c r="K1128" s="71">
        <v>0</v>
      </c>
      <c r="L1128" s="72">
        <v>0</v>
      </c>
      <c r="M1128" s="71">
        <v>0</v>
      </c>
      <c r="N1128" s="216">
        <v>0</v>
      </c>
      <c r="O1128" s="71">
        <v>0</v>
      </c>
      <c r="P1128" s="72"/>
    </row>
    <row r="1129" spans="1:16">
      <c r="A1129" s="295"/>
      <c r="B1129" s="289"/>
      <c r="C1129" s="296"/>
      <c r="D1129" s="66" t="s">
        <v>414</v>
      </c>
      <c r="E1129" t="s">
        <v>413</v>
      </c>
      <c r="G1129" t="s">
        <v>429</v>
      </c>
      <c r="H1129" s="65">
        <v>44561</v>
      </c>
      <c r="K1129" s="71">
        <v>46.128179096556003</v>
      </c>
      <c r="L1129" s="72">
        <v>45.010998633485997</v>
      </c>
      <c r="M1129" s="71">
        <v>45.358516394732497</v>
      </c>
      <c r="N1129" s="216">
        <v>41.448404774063498</v>
      </c>
      <c r="O1129" s="71">
        <v>34.8794800473854</v>
      </c>
      <c r="P1129" s="72"/>
    </row>
    <row r="1130" spans="1:16">
      <c r="A1130" s="295"/>
      <c r="B1130" s="289"/>
      <c r="C1130" s="296"/>
      <c r="D1130" s="66" t="s">
        <v>415</v>
      </c>
      <c r="E1130" t="s">
        <v>443</v>
      </c>
      <c r="G1130" t="s">
        <v>429</v>
      </c>
      <c r="H1130" s="65">
        <v>44561</v>
      </c>
      <c r="K1130" s="71"/>
      <c r="L1130" s="72"/>
      <c r="M1130" s="71"/>
      <c r="N1130" s="216"/>
      <c r="O1130" s="71"/>
      <c r="P1130" s="72"/>
    </row>
    <row r="1131" spans="1:16">
      <c r="A1131" s="295"/>
      <c r="B1131" s="289"/>
      <c r="C1131" s="296"/>
      <c r="D1131" s="66" t="s">
        <v>417</v>
      </c>
      <c r="E1131" t="s">
        <v>443</v>
      </c>
      <c r="G1131" t="s">
        <v>62</v>
      </c>
      <c r="H1131" s="65">
        <v>44561</v>
      </c>
      <c r="K1131" s="71">
        <v>73.830967827900906</v>
      </c>
      <c r="L1131" s="72">
        <v>72.028542699037601</v>
      </c>
      <c r="M1131" s="71">
        <v>76.006929525492396</v>
      </c>
      <c r="N1131" s="216">
        <v>75.731406905347697</v>
      </c>
      <c r="O1131" s="71">
        <v>69.493403520078303</v>
      </c>
      <c r="P1131" s="72"/>
    </row>
    <row r="1132" spans="1:16">
      <c r="A1132" s="295"/>
      <c r="B1132" s="293"/>
      <c r="C1132" s="296"/>
      <c r="D1132" s="66" t="s">
        <v>418</v>
      </c>
      <c r="H1132" s="65"/>
      <c r="K1132" s="71"/>
      <c r="L1132" s="72"/>
      <c r="M1132" s="71"/>
      <c r="N1132" s="216"/>
      <c r="O1132" s="71"/>
      <c r="P1132" s="72"/>
    </row>
    <row r="1133" spans="1:16">
      <c r="A1133" s="295" t="s">
        <v>308</v>
      </c>
      <c r="B1133" s="292" t="s">
        <v>309</v>
      </c>
      <c r="C1133" s="296" t="s">
        <v>310</v>
      </c>
      <c r="D1133" s="66" t="s">
        <v>411</v>
      </c>
      <c r="G1133" t="s">
        <v>428</v>
      </c>
      <c r="H1133" s="65">
        <v>44561</v>
      </c>
      <c r="K1133" s="71"/>
      <c r="L1133" s="72">
        <v>170937</v>
      </c>
      <c r="M1133" s="71">
        <v>175065</v>
      </c>
      <c r="N1133" s="216">
        <v>167071</v>
      </c>
      <c r="O1133" s="71">
        <v>162816</v>
      </c>
      <c r="P1133" s="72">
        <v>199002</v>
      </c>
    </row>
    <row r="1134" spans="1:16">
      <c r="A1134" s="295"/>
      <c r="B1134" s="289"/>
      <c r="C1134" s="296"/>
      <c r="D1134" s="66" t="s">
        <v>412</v>
      </c>
      <c r="E1134" t="s">
        <v>413</v>
      </c>
      <c r="G1134" t="s">
        <v>428</v>
      </c>
      <c r="H1134" s="65">
        <v>44561</v>
      </c>
      <c r="K1134" s="71"/>
      <c r="L1134" s="72">
        <v>71170</v>
      </c>
      <c r="M1134" s="71">
        <v>49365</v>
      </c>
      <c r="N1134" s="216">
        <v>43561</v>
      </c>
      <c r="O1134" s="71">
        <v>42701</v>
      </c>
      <c r="P1134" s="72">
        <v>41779</v>
      </c>
    </row>
    <row r="1135" spans="1:16">
      <c r="A1135" s="295"/>
      <c r="B1135" s="289"/>
      <c r="C1135" s="296"/>
      <c r="D1135" s="66" t="s">
        <v>414</v>
      </c>
      <c r="E1135" t="s">
        <v>413</v>
      </c>
      <c r="G1135" t="s">
        <v>428</v>
      </c>
      <c r="H1135" s="65">
        <v>44561</v>
      </c>
      <c r="K1135" s="71"/>
      <c r="L1135" s="72">
        <v>242107</v>
      </c>
      <c r="M1135" s="71">
        <v>224430</v>
      </c>
      <c r="N1135" s="216">
        <v>210632</v>
      </c>
      <c r="O1135" s="71">
        <v>205517</v>
      </c>
      <c r="P1135" s="72">
        <v>240781</v>
      </c>
    </row>
    <row r="1136" spans="1:16">
      <c r="A1136" s="295"/>
      <c r="B1136" s="289"/>
      <c r="C1136" s="296"/>
      <c r="D1136" s="66" t="s">
        <v>415</v>
      </c>
      <c r="E1136" t="s">
        <v>416</v>
      </c>
      <c r="G1136" t="s">
        <v>428</v>
      </c>
      <c r="H1136" s="65">
        <v>44561</v>
      </c>
      <c r="K1136" s="71"/>
      <c r="L1136" s="72"/>
      <c r="M1136" s="71"/>
      <c r="N1136" s="216"/>
      <c r="O1136" s="71"/>
      <c r="P1136" s="72"/>
    </row>
    <row r="1137" spans="1:17">
      <c r="A1137" s="295"/>
      <c r="B1137" s="289"/>
      <c r="C1137" s="296"/>
      <c r="D1137" s="66" t="s">
        <v>417</v>
      </c>
      <c r="G1137" t="s">
        <v>55</v>
      </c>
      <c r="H1137" s="65">
        <v>44561</v>
      </c>
      <c r="K1137" s="71"/>
      <c r="L1137" s="72">
        <v>8234000000</v>
      </c>
      <c r="M1137" s="71">
        <v>7802000000</v>
      </c>
      <c r="N1137" s="216">
        <v>8405000000</v>
      </c>
      <c r="O1137" s="71">
        <v>8587000000</v>
      </c>
      <c r="P1137" s="72">
        <v>8280000000</v>
      </c>
    </row>
    <row r="1138" spans="1:17">
      <c r="A1138" s="295"/>
      <c r="B1138" s="293"/>
      <c r="C1138" s="296"/>
      <c r="D1138" s="66" t="s">
        <v>418</v>
      </c>
      <c r="H1138" s="65"/>
      <c r="K1138" s="71"/>
      <c r="L1138" s="72"/>
      <c r="M1138" s="71"/>
      <c r="N1138" s="216"/>
      <c r="O1138" s="71"/>
      <c r="P1138" s="72"/>
    </row>
    <row r="1139" spans="1:17">
      <c r="A1139" s="295" t="s">
        <v>312</v>
      </c>
      <c r="B1139" s="292" t="s">
        <v>313</v>
      </c>
      <c r="C1139" s="296" t="s">
        <v>314</v>
      </c>
      <c r="D1139" s="66" t="s">
        <v>411</v>
      </c>
      <c r="G1139" t="s">
        <v>428</v>
      </c>
      <c r="H1139" s="65">
        <v>44561</v>
      </c>
      <c r="K1139" s="71">
        <v>63414</v>
      </c>
      <c r="L1139" s="72">
        <v>46057</v>
      </c>
      <c r="M1139" s="71">
        <v>46069</v>
      </c>
      <c r="N1139" s="216">
        <v>58770</v>
      </c>
      <c r="O1139" s="71">
        <v>60379</v>
      </c>
      <c r="P1139" s="72">
        <v>46251</v>
      </c>
    </row>
    <row r="1140" spans="1:17">
      <c r="A1140" s="295"/>
      <c r="B1140" s="289"/>
      <c r="C1140" s="296"/>
      <c r="D1140" s="66" t="s">
        <v>412</v>
      </c>
      <c r="E1140" t="s">
        <v>413</v>
      </c>
      <c r="G1140" t="s">
        <v>428</v>
      </c>
      <c r="H1140" s="65">
        <v>44561</v>
      </c>
      <c r="K1140" s="71">
        <v>29678</v>
      </c>
      <c r="L1140" s="72">
        <v>25010</v>
      </c>
      <c r="M1140" s="71">
        <v>24439</v>
      </c>
      <c r="N1140" s="216">
        <v>28020</v>
      </c>
      <c r="O1140" s="71">
        <v>22644</v>
      </c>
      <c r="P1140" s="72">
        <v>19847</v>
      </c>
    </row>
    <row r="1141" spans="1:17">
      <c r="A1141" s="295"/>
      <c r="B1141" s="289"/>
      <c r="C1141" s="296"/>
      <c r="D1141" s="66" t="s">
        <v>414</v>
      </c>
      <c r="E1141" t="s">
        <v>413</v>
      </c>
      <c r="G1141" t="s">
        <v>428</v>
      </c>
      <c r="H1141" s="65">
        <v>44561</v>
      </c>
      <c r="K1141" s="71">
        <v>93092</v>
      </c>
      <c r="L1141" s="72">
        <v>71067</v>
      </c>
      <c r="M1141" s="71">
        <v>70508</v>
      </c>
      <c r="N1141" s="216">
        <v>86790</v>
      </c>
      <c r="O1141" s="71">
        <v>83023</v>
      </c>
      <c r="P1141" s="72">
        <v>66098</v>
      </c>
    </row>
    <row r="1142" spans="1:17">
      <c r="A1142" s="295"/>
      <c r="B1142" s="289"/>
      <c r="C1142" s="296"/>
      <c r="D1142" s="66" t="s">
        <v>415</v>
      </c>
      <c r="E1142" t="s">
        <v>416</v>
      </c>
      <c r="G1142" t="s">
        <v>428</v>
      </c>
      <c r="H1142" s="65">
        <v>44561</v>
      </c>
      <c r="K1142" s="71">
        <v>16954</v>
      </c>
      <c r="L1142" s="72">
        <v>18626</v>
      </c>
      <c r="M1142" s="71">
        <v>19984</v>
      </c>
      <c r="N1142" s="216">
        <v>58307929</v>
      </c>
      <c r="O1142" s="71">
        <v>54684733</v>
      </c>
      <c r="P1142" s="72">
        <v>89168768</v>
      </c>
    </row>
    <row r="1143" spans="1:17">
      <c r="A1143" s="295"/>
      <c r="B1143" s="289"/>
      <c r="C1143" s="296"/>
      <c r="D1143" s="66" t="s">
        <v>417</v>
      </c>
      <c r="G1143" t="s">
        <v>316</v>
      </c>
      <c r="H1143" s="65">
        <v>44561</v>
      </c>
      <c r="K1143" s="71">
        <v>5300000000</v>
      </c>
      <c r="L1143" s="72">
        <v>5500000000</v>
      </c>
      <c r="M1143" s="71">
        <v>6000000000</v>
      </c>
      <c r="N1143" s="216">
        <v>6800000000</v>
      </c>
      <c r="O1143" s="71">
        <v>7000000000</v>
      </c>
      <c r="P1143" s="72">
        <v>7100000000</v>
      </c>
    </row>
    <row r="1144" spans="1:17">
      <c r="A1144" s="295"/>
      <c r="B1144" s="293"/>
      <c r="C1144" s="296"/>
      <c r="D1144" s="66" t="s">
        <v>418</v>
      </c>
      <c r="H1144" s="65"/>
      <c r="K1144" s="71"/>
      <c r="L1144" s="72"/>
      <c r="M1144" s="71"/>
      <c r="N1144" s="216"/>
      <c r="O1144" s="71"/>
      <c r="P1144" s="72"/>
    </row>
    <row r="1145" spans="1:17">
      <c r="A1145" s="295" t="s">
        <v>854</v>
      </c>
      <c r="B1145" s="292" t="s">
        <v>855</v>
      </c>
      <c r="C1145" s="296" t="s">
        <v>856</v>
      </c>
      <c r="D1145" s="66" t="s">
        <v>411</v>
      </c>
      <c r="G1145" t="s">
        <v>427</v>
      </c>
      <c r="H1145" s="107">
        <v>45009</v>
      </c>
      <c r="I1145" s="108"/>
      <c r="K1145" s="71"/>
      <c r="L1145" s="72"/>
      <c r="M1145" s="71">
        <v>16802</v>
      </c>
      <c r="N1145" s="216">
        <v>16239</v>
      </c>
      <c r="O1145" s="71">
        <v>15345</v>
      </c>
      <c r="P1145" s="72">
        <v>15536</v>
      </c>
      <c r="Q1145" s="71">
        <v>16273</v>
      </c>
    </row>
    <row r="1146" spans="1:17">
      <c r="A1146" s="295"/>
      <c r="B1146" s="289"/>
      <c r="C1146" s="296"/>
      <c r="D1146" s="66" t="s">
        <v>412</v>
      </c>
      <c r="E1146" t="s">
        <v>420</v>
      </c>
      <c r="G1146" t="s">
        <v>427</v>
      </c>
      <c r="H1146" s="107">
        <v>45009</v>
      </c>
      <c r="I1146" s="65"/>
      <c r="K1146" s="71"/>
      <c r="L1146" s="72"/>
      <c r="M1146" s="71">
        <v>16976</v>
      </c>
      <c r="N1146" s="216">
        <v>16927</v>
      </c>
      <c r="O1146" s="71">
        <v>17184</v>
      </c>
      <c r="P1146" s="72">
        <v>20829</v>
      </c>
      <c r="Q1146" s="71">
        <v>23033</v>
      </c>
    </row>
    <row r="1147" spans="1:17">
      <c r="A1147" s="295"/>
      <c r="B1147" s="289"/>
      <c r="C1147" s="296"/>
      <c r="D1147" s="66" t="s">
        <v>414</v>
      </c>
      <c r="G1147" t="s">
        <v>427</v>
      </c>
      <c r="H1147" s="107">
        <v>45009</v>
      </c>
      <c r="I1147" s="65"/>
      <c r="K1147" s="71"/>
      <c r="L1147" s="72"/>
      <c r="M1147" s="71">
        <v>33058</v>
      </c>
      <c r="N1147" s="216">
        <v>33166</v>
      </c>
      <c r="O1147" s="71">
        <v>32529</v>
      </c>
      <c r="P1147" s="72">
        <v>36364</v>
      </c>
      <c r="Q1147" s="71">
        <v>39306</v>
      </c>
    </row>
    <row r="1148" spans="1:17">
      <c r="A1148" s="295"/>
      <c r="B1148" s="289"/>
      <c r="C1148" s="296"/>
      <c r="D1148" s="66" t="s">
        <v>415</v>
      </c>
      <c r="E1148" t="s">
        <v>653</v>
      </c>
      <c r="G1148" t="s">
        <v>427</v>
      </c>
      <c r="H1148" s="107">
        <v>45009</v>
      </c>
      <c r="I1148" s="65"/>
      <c r="K1148" s="71"/>
      <c r="L1148" s="72"/>
      <c r="M1148" s="71"/>
      <c r="N1148" s="216"/>
      <c r="O1148" s="71"/>
      <c r="P1148" s="72">
        <v>3286</v>
      </c>
      <c r="Q1148" s="71">
        <v>3161</v>
      </c>
    </row>
    <row r="1149" spans="1:17">
      <c r="A1149" s="295"/>
      <c r="B1149" s="289"/>
      <c r="C1149" s="296"/>
      <c r="D1149" s="66" t="s">
        <v>415</v>
      </c>
      <c r="E1149" t="s">
        <v>654</v>
      </c>
      <c r="G1149" t="s">
        <v>427</v>
      </c>
      <c r="H1149" s="107">
        <v>45009</v>
      </c>
      <c r="I1149" s="65"/>
      <c r="K1149" s="71"/>
      <c r="L1149" s="72"/>
      <c r="M1149" s="71"/>
      <c r="N1149" s="216"/>
      <c r="O1149" s="71"/>
      <c r="P1149" s="72">
        <v>523</v>
      </c>
      <c r="Q1149" s="71">
        <v>1035</v>
      </c>
    </row>
    <row r="1150" spans="1:17">
      <c r="A1150" s="295"/>
      <c r="B1150" s="289"/>
      <c r="C1150" s="296"/>
      <c r="D1150" s="66" t="s">
        <v>415</v>
      </c>
      <c r="E1150" t="s">
        <v>1200</v>
      </c>
      <c r="G1150" t="s">
        <v>427</v>
      </c>
      <c r="H1150" s="107">
        <v>45009</v>
      </c>
      <c r="I1150" s="65"/>
      <c r="K1150" s="71"/>
      <c r="L1150" s="72"/>
      <c r="M1150" s="71"/>
      <c r="N1150" s="216"/>
      <c r="O1150" s="71"/>
      <c r="P1150" s="72">
        <v>7591</v>
      </c>
      <c r="Q1150" s="71">
        <v>8749</v>
      </c>
    </row>
    <row r="1151" spans="1:17">
      <c r="A1151" s="295"/>
      <c r="B1151" s="289"/>
      <c r="C1151" s="296"/>
      <c r="D1151" s="66" t="s">
        <v>415</v>
      </c>
      <c r="E1151" t="s">
        <v>829</v>
      </c>
      <c r="G1151" t="s">
        <v>427</v>
      </c>
      <c r="H1151" s="107">
        <v>45009</v>
      </c>
      <c r="I1151" s="65"/>
      <c r="K1151" s="71"/>
      <c r="L1151" s="72"/>
      <c r="M1151" s="71"/>
      <c r="N1151" s="216"/>
      <c r="O1151" s="71"/>
      <c r="P1151" s="72">
        <v>83</v>
      </c>
      <c r="Q1151" s="71">
        <v>541</v>
      </c>
    </row>
    <row r="1152" spans="1:17">
      <c r="A1152" s="295"/>
      <c r="B1152" s="289"/>
      <c r="C1152" s="296"/>
      <c r="D1152" s="66" t="s">
        <v>415</v>
      </c>
      <c r="E1152" t="s">
        <v>656</v>
      </c>
      <c r="G1152" t="s">
        <v>427</v>
      </c>
      <c r="H1152" s="107">
        <v>45009</v>
      </c>
      <c r="I1152" s="65"/>
      <c r="K1152" s="71"/>
      <c r="L1152" s="72"/>
      <c r="M1152" s="71"/>
      <c r="N1152" s="216"/>
      <c r="O1152" s="71"/>
      <c r="P1152" s="72">
        <v>30</v>
      </c>
      <c r="Q1152" s="71">
        <v>49</v>
      </c>
    </row>
    <row r="1153" spans="1:17">
      <c r="A1153" s="295"/>
      <c r="B1153" s="289"/>
      <c r="C1153" s="296"/>
      <c r="D1153" s="66" t="s">
        <v>415</v>
      </c>
      <c r="E1153" t="s">
        <v>657</v>
      </c>
      <c r="G1153" t="s">
        <v>427</v>
      </c>
      <c r="H1153" s="107">
        <v>45009</v>
      </c>
      <c r="I1153" s="65"/>
      <c r="K1153" s="71"/>
      <c r="L1153" s="72"/>
      <c r="M1153" s="71"/>
      <c r="N1153" s="216"/>
      <c r="O1153" s="71"/>
      <c r="P1153" s="72">
        <v>70</v>
      </c>
      <c r="Q1153" s="71">
        <v>73</v>
      </c>
    </row>
    <row r="1154" spans="1:17">
      <c r="A1154" s="295"/>
      <c r="B1154" s="289"/>
      <c r="C1154" s="296"/>
      <c r="D1154" s="66" t="s">
        <v>415</v>
      </c>
      <c r="E1154" t="s">
        <v>1215</v>
      </c>
      <c r="G1154" t="s">
        <v>427</v>
      </c>
      <c r="H1154" s="107">
        <v>45009</v>
      </c>
      <c r="I1154" s="65"/>
      <c r="K1154" s="71"/>
      <c r="L1154" s="72"/>
      <c r="M1154" s="71"/>
      <c r="N1154" s="216"/>
      <c r="O1154" s="71"/>
      <c r="P1154" s="72">
        <v>358</v>
      </c>
      <c r="Q1154" s="71" t="s">
        <v>586</v>
      </c>
    </row>
    <row r="1155" spans="1:17">
      <c r="A1155" s="295"/>
      <c r="B1155" s="289"/>
      <c r="C1155" s="296"/>
      <c r="D1155" s="66" t="s">
        <v>415</v>
      </c>
      <c r="E1155" t="s">
        <v>658</v>
      </c>
      <c r="G1155" t="s">
        <v>427</v>
      </c>
      <c r="H1155" s="107">
        <v>45009</v>
      </c>
      <c r="I1155" s="65"/>
      <c r="K1155" s="71"/>
      <c r="L1155" s="72"/>
      <c r="M1155" s="71"/>
      <c r="N1155" s="216"/>
      <c r="O1155" s="71"/>
      <c r="P1155" s="72">
        <v>9236</v>
      </c>
      <c r="Q1155" s="71">
        <v>7282</v>
      </c>
    </row>
    <row r="1156" spans="1:17">
      <c r="A1156" s="295"/>
      <c r="B1156" s="289"/>
      <c r="C1156" s="296"/>
      <c r="D1156" s="66" t="s">
        <v>415</v>
      </c>
      <c r="E1156" t="s">
        <v>659</v>
      </c>
      <c r="G1156" t="s">
        <v>427</v>
      </c>
      <c r="H1156" s="107">
        <v>45009</v>
      </c>
      <c r="I1156" s="65"/>
      <c r="K1156" s="71"/>
      <c r="L1156" s="72"/>
      <c r="M1156" s="71"/>
      <c r="N1156" s="216"/>
      <c r="O1156" s="71"/>
      <c r="P1156" s="72">
        <v>1070</v>
      </c>
      <c r="Q1156" s="71">
        <v>1244</v>
      </c>
    </row>
    <row r="1157" spans="1:17">
      <c r="A1157" s="295"/>
      <c r="B1157" s="289"/>
      <c r="C1157" s="296"/>
      <c r="D1157" s="66" t="s">
        <v>415</v>
      </c>
      <c r="E1157" t="s">
        <v>660</v>
      </c>
      <c r="G1157" t="s">
        <v>427</v>
      </c>
      <c r="H1157" s="107">
        <v>45009</v>
      </c>
      <c r="I1157" s="65"/>
      <c r="K1157" s="71"/>
      <c r="L1157" s="109"/>
      <c r="M1157" s="71"/>
      <c r="N1157" s="216"/>
      <c r="O1157" s="71"/>
      <c r="P1157" s="109">
        <v>22247</v>
      </c>
      <c r="Q1157" s="71">
        <v>22134</v>
      </c>
    </row>
    <row r="1158" spans="1:17">
      <c r="A1158" s="295"/>
      <c r="B1158" s="289"/>
      <c r="C1158" s="296"/>
      <c r="D1158" s="66" t="s">
        <v>417</v>
      </c>
      <c r="E1158" t="s">
        <v>661</v>
      </c>
      <c r="G1158" t="s">
        <v>662</v>
      </c>
      <c r="H1158" s="107">
        <v>45009</v>
      </c>
      <c r="I1158" s="65"/>
      <c r="K1158" s="71">
        <v>18135</v>
      </c>
      <c r="L1158" s="72">
        <v>20349</v>
      </c>
      <c r="M1158" s="71">
        <v>21011</v>
      </c>
      <c r="N1158" s="216">
        <v>21920</v>
      </c>
      <c r="O1158" s="71">
        <v>20485</v>
      </c>
      <c r="P1158" s="72">
        <v>23335</v>
      </c>
      <c r="Q1158" s="71">
        <v>29900</v>
      </c>
    </row>
    <row r="1159" spans="1:17">
      <c r="A1159" s="295"/>
      <c r="B1159" s="289"/>
      <c r="C1159" s="296"/>
      <c r="D1159" s="66" t="s">
        <v>418</v>
      </c>
      <c r="H1159" s="107">
        <v>45009</v>
      </c>
      <c r="I1159" s="65"/>
      <c r="K1159" s="71"/>
      <c r="L1159" s="72"/>
      <c r="M1159" s="71"/>
      <c r="N1159" s="216"/>
      <c r="O1159" s="71"/>
      <c r="P1159" s="72"/>
      <c r="Q1159" s="71" t="s">
        <v>1222</v>
      </c>
    </row>
    <row r="1160" spans="1:17">
      <c r="A1160" s="295"/>
      <c r="B1160" s="293"/>
      <c r="C1160" s="296"/>
      <c r="H1160" s="107"/>
      <c r="I1160"/>
      <c r="K1160" s="71"/>
      <c r="L1160" s="72"/>
      <c r="M1160" s="71"/>
      <c r="N1160" s="216"/>
      <c r="O1160" s="71"/>
      <c r="P1160" s="72"/>
    </row>
    <row r="1161" spans="1:17">
      <c r="A1161" s="295" t="s">
        <v>854</v>
      </c>
      <c r="B1161" s="292" t="s">
        <v>855</v>
      </c>
      <c r="C1161" s="296" t="s">
        <v>856</v>
      </c>
      <c r="D1161" s="66" t="s">
        <v>411</v>
      </c>
      <c r="G1161" t="s">
        <v>429</v>
      </c>
      <c r="H1161" s="107">
        <v>44561</v>
      </c>
      <c r="I1161" s="108"/>
      <c r="K1161" s="71"/>
      <c r="L1161" s="72">
        <v>14.798999999999999</v>
      </c>
      <c r="M1161" s="71">
        <v>16.802</v>
      </c>
      <c r="N1161" s="216">
        <v>16.239000000000001</v>
      </c>
      <c r="O1161" s="71">
        <v>15.345000000000001</v>
      </c>
      <c r="P1161" s="72">
        <v>15.536</v>
      </c>
    </row>
    <row r="1162" spans="1:17">
      <c r="A1162" s="295"/>
      <c r="B1162" s="289"/>
      <c r="C1162" s="296"/>
      <c r="D1162" s="66" t="s">
        <v>412</v>
      </c>
      <c r="E1162" t="s">
        <v>420</v>
      </c>
      <c r="G1162" t="s">
        <v>429</v>
      </c>
      <c r="H1162" s="107">
        <v>44561</v>
      </c>
      <c r="I1162" s="65"/>
      <c r="K1162" s="71"/>
      <c r="L1162" s="72">
        <v>16.068000000000001</v>
      </c>
      <c r="M1162" s="71">
        <v>16.975999999999999</v>
      </c>
      <c r="N1162" s="216">
        <v>16.927</v>
      </c>
      <c r="O1162" s="71">
        <v>17.184000000000001</v>
      </c>
      <c r="P1162" s="72">
        <v>20.829000000000001</v>
      </c>
    </row>
    <row r="1163" spans="1:17">
      <c r="A1163" s="295"/>
      <c r="B1163" s="289"/>
      <c r="C1163" s="296"/>
      <c r="D1163" s="66" t="s">
        <v>414</v>
      </c>
      <c r="F1163" t="s">
        <v>652</v>
      </c>
      <c r="G1163" t="s">
        <v>429</v>
      </c>
      <c r="H1163" s="107">
        <v>44561</v>
      </c>
      <c r="I1163" s="65"/>
      <c r="J1163">
        <v>29.414000000000001</v>
      </c>
      <c r="K1163" s="71">
        <v>29.363</v>
      </c>
      <c r="L1163" s="72">
        <v>30.867000000000001</v>
      </c>
      <c r="M1163" s="71">
        <v>33.058</v>
      </c>
      <c r="N1163" s="216">
        <v>33.165999999999997</v>
      </c>
      <c r="O1163" s="71">
        <v>39.201999999999998</v>
      </c>
      <c r="P1163" s="72">
        <v>39.584000000000003</v>
      </c>
    </row>
    <row r="1164" spans="1:17">
      <c r="A1164" s="295"/>
      <c r="B1164" s="289"/>
      <c r="C1164" s="296"/>
      <c r="D1164" s="66" t="s">
        <v>415</v>
      </c>
      <c r="E1164" t="s">
        <v>653</v>
      </c>
      <c r="G1164" t="s">
        <v>427</v>
      </c>
      <c r="H1164" s="107">
        <v>44561</v>
      </c>
      <c r="I1164" s="65"/>
      <c r="K1164" s="71"/>
      <c r="L1164" s="72"/>
      <c r="M1164" s="71"/>
      <c r="N1164" s="216"/>
      <c r="O1164" s="71">
        <v>2836</v>
      </c>
      <c r="P1164" s="72">
        <v>3286</v>
      </c>
    </row>
    <row r="1165" spans="1:17">
      <c r="A1165" s="295"/>
      <c r="B1165" s="289"/>
      <c r="C1165" s="296"/>
      <c r="D1165" s="66" t="s">
        <v>415</v>
      </c>
      <c r="E1165" t="s">
        <v>654</v>
      </c>
      <c r="G1165" t="s">
        <v>427</v>
      </c>
      <c r="H1165" s="107">
        <v>44561</v>
      </c>
      <c r="I1165" s="65"/>
      <c r="K1165" s="71"/>
      <c r="L1165" s="72"/>
      <c r="M1165" s="71"/>
      <c r="N1165" s="216"/>
      <c r="O1165" s="71">
        <v>461</v>
      </c>
      <c r="P1165" s="72">
        <v>523</v>
      </c>
    </row>
    <row r="1166" spans="1:17">
      <c r="A1166" s="295"/>
      <c r="B1166" s="289"/>
      <c r="C1166" s="296"/>
      <c r="D1166" s="66" t="s">
        <v>415</v>
      </c>
      <c r="E1166" t="s">
        <v>1200</v>
      </c>
      <c r="G1166" t="s">
        <v>427</v>
      </c>
      <c r="H1166" s="107">
        <v>44561</v>
      </c>
      <c r="I1166" s="65"/>
      <c r="K1166" s="71"/>
      <c r="L1166" s="72"/>
      <c r="M1166" s="71"/>
      <c r="N1166" s="216"/>
      <c r="O1166" s="71">
        <v>5132</v>
      </c>
      <c r="P1166" s="72">
        <v>7591</v>
      </c>
    </row>
    <row r="1167" spans="1:17">
      <c r="A1167" s="295"/>
      <c r="B1167" s="289"/>
      <c r="C1167" s="296"/>
      <c r="D1167" s="66" t="s">
        <v>415</v>
      </c>
      <c r="E1167" t="s">
        <v>829</v>
      </c>
      <c r="G1167" t="s">
        <v>427</v>
      </c>
      <c r="H1167" s="107">
        <v>44561</v>
      </c>
      <c r="I1167" s="65"/>
      <c r="K1167" s="71"/>
      <c r="L1167" s="72"/>
      <c r="M1167" s="71"/>
      <c r="N1167" s="216"/>
      <c r="O1167" s="71">
        <v>70</v>
      </c>
      <c r="P1167" s="72">
        <v>83</v>
      </c>
    </row>
    <row r="1168" spans="1:17">
      <c r="A1168" s="295"/>
      <c r="B1168" s="289"/>
      <c r="C1168" s="296"/>
      <c r="D1168" s="66" t="s">
        <v>415</v>
      </c>
      <c r="E1168" t="s">
        <v>656</v>
      </c>
      <c r="G1168" t="s">
        <v>427</v>
      </c>
      <c r="H1168" s="107">
        <v>44561</v>
      </c>
      <c r="I1168" s="65"/>
      <c r="K1168" s="71"/>
      <c r="L1168" s="72"/>
      <c r="M1168" s="71"/>
      <c r="N1168" s="216"/>
      <c r="O1168" s="71">
        <v>34</v>
      </c>
      <c r="P1168" s="72">
        <v>30</v>
      </c>
    </row>
    <row r="1169" spans="1:16">
      <c r="A1169" s="295"/>
      <c r="B1169" s="289"/>
      <c r="C1169" s="296"/>
      <c r="D1169" s="66" t="s">
        <v>415</v>
      </c>
      <c r="E1169" t="s">
        <v>657</v>
      </c>
      <c r="G1169" t="s">
        <v>427</v>
      </c>
      <c r="H1169" s="107">
        <v>44561</v>
      </c>
      <c r="I1169" s="65"/>
      <c r="K1169" s="71"/>
      <c r="L1169" s="72"/>
      <c r="M1169" s="71"/>
      <c r="N1169" s="216"/>
      <c r="O1169" s="71">
        <v>70</v>
      </c>
      <c r="P1169" s="72">
        <v>70</v>
      </c>
    </row>
    <row r="1170" spans="1:16">
      <c r="A1170" s="295"/>
      <c r="B1170" s="289"/>
      <c r="C1170" s="296"/>
      <c r="D1170" s="66" t="s">
        <v>415</v>
      </c>
      <c r="E1170" t="s">
        <v>1215</v>
      </c>
      <c r="G1170" t="s">
        <v>427</v>
      </c>
      <c r="H1170" s="107">
        <v>44561</v>
      </c>
      <c r="I1170" s="65"/>
      <c r="K1170" s="71"/>
      <c r="L1170" s="72"/>
      <c r="M1170" s="71"/>
      <c r="N1170" s="216"/>
      <c r="O1170" s="71">
        <v>0</v>
      </c>
      <c r="P1170" s="72">
        <v>358</v>
      </c>
    </row>
    <row r="1171" spans="1:16">
      <c r="A1171" s="295"/>
      <c r="B1171" s="289"/>
      <c r="C1171" s="296"/>
      <c r="D1171" s="66" t="s">
        <v>415</v>
      </c>
      <c r="E1171" t="s">
        <v>658</v>
      </c>
      <c r="G1171" t="s">
        <v>427</v>
      </c>
      <c r="H1171" s="107">
        <v>44561</v>
      </c>
      <c r="I1171" s="65"/>
      <c r="K1171" s="71"/>
      <c r="L1171" s="72"/>
      <c r="M1171" s="71"/>
      <c r="N1171" s="216"/>
      <c r="O1171" s="71">
        <v>9276</v>
      </c>
      <c r="P1171" s="72">
        <v>9236</v>
      </c>
    </row>
    <row r="1172" spans="1:16">
      <c r="A1172" s="295"/>
      <c r="B1172" s="289"/>
      <c r="C1172" s="296"/>
      <c r="D1172" s="66" t="s">
        <v>415</v>
      </c>
      <c r="E1172" t="s">
        <v>659</v>
      </c>
      <c r="G1172" t="s">
        <v>427</v>
      </c>
      <c r="H1172" s="107">
        <v>44561</v>
      </c>
      <c r="I1172" s="65"/>
      <c r="K1172" s="71"/>
      <c r="L1172" s="72"/>
      <c r="M1172" s="71"/>
      <c r="N1172" s="216"/>
      <c r="O1172" s="71">
        <v>1570</v>
      </c>
      <c r="P1172" s="72">
        <v>1070</v>
      </c>
    </row>
    <row r="1173" spans="1:16">
      <c r="A1173" s="295"/>
      <c r="B1173" s="289"/>
      <c r="C1173" s="296"/>
      <c r="D1173" s="75" t="s">
        <v>415</v>
      </c>
      <c r="E1173" t="s">
        <v>660</v>
      </c>
      <c r="G1173" t="s">
        <v>427</v>
      </c>
      <c r="H1173" s="107">
        <v>44561</v>
      </c>
      <c r="I1173" s="65"/>
      <c r="K1173" s="71"/>
      <c r="L1173" s="109"/>
      <c r="M1173" s="109"/>
      <c r="N1173" s="216"/>
      <c r="O1173" s="84">
        <f>SUM(O1164:O1172)</f>
        <v>19449</v>
      </c>
      <c r="P1173" s="84">
        <f>SUM(P1164:P1172)</f>
        <v>22247</v>
      </c>
    </row>
    <row r="1174" spans="1:16">
      <c r="A1174" s="295"/>
      <c r="B1174" s="289"/>
      <c r="C1174" s="296"/>
      <c r="D1174" s="66" t="s">
        <v>417</v>
      </c>
      <c r="E1174" t="s">
        <v>661</v>
      </c>
      <c r="G1174" t="s">
        <v>662</v>
      </c>
      <c r="H1174" s="107">
        <v>44561</v>
      </c>
      <c r="I1174" s="65"/>
      <c r="K1174" s="71">
        <v>18135</v>
      </c>
      <c r="L1174" s="72">
        <v>20349</v>
      </c>
      <c r="M1174" s="71">
        <v>21011</v>
      </c>
      <c r="N1174" s="216">
        <v>21920</v>
      </c>
      <c r="O1174" s="71">
        <v>20485</v>
      </c>
      <c r="P1174" s="72">
        <v>23335</v>
      </c>
    </row>
    <row r="1175" spans="1:16">
      <c r="A1175" s="295"/>
      <c r="B1175" s="289"/>
      <c r="C1175" s="296"/>
      <c r="D1175" s="66" t="s">
        <v>418</v>
      </c>
      <c r="H1175" s="107">
        <v>44561</v>
      </c>
      <c r="I1175" s="65"/>
      <c r="K1175" s="71"/>
      <c r="L1175" s="72"/>
      <c r="M1175" s="71"/>
      <c r="N1175" s="216"/>
      <c r="O1175" s="71"/>
      <c r="P1175" s="72" t="s">
        <v>663</v>
      </c>
    </row>
    <row r="1176" spans="1:16">
      <c r="A1176" s="295"/>
      <c r="B1176" s="293"/>
      <c r="C1176" s="296"/>
      <c r="H1176" s="107"/>
      <c r="I1176"/>
      <c r="K1176" s="71"/>
      <c r="L1176" s="72"/>
      <c r="M1176" s="71"/>
      <c r="N1176" s="216"/>
      <c r="O1176" s="71"/>
      <c r="P1176" s="72"/>
    </row>
    <row r="1177" spans="1:16">
      <c r="A1177" s="291" t="s">
        <v>860</v>
      </c>
      <c r="B1177" s="292">
        <v>0</v>
      </c>
      <c r="C1177" s="292" t="s">
        <v>861</v>
      </c>
      <c r="D1177" s="66" t="s">
        <v>411</v>
      </c>
      <c r="G1177" t="s">
        <v>664</v>
      </c>
      <c r="H1177" s="107">
        <v>44561</v>
      </c>
      <c r="I1177" s="65"/>
      <c r="K1177" s="71"/>
      <c r="L1177" s="72"/>
      <c r="M1177" s="71"/>
      <c r="N1177" s="216"/>
      <c r="O1177" s="71"/>
      <c r="P1177" s="72"/>
    </row>
    <row r="1178" spans="1:16">
      <c r="A1178" s="286"/>
      <c r="B1178" s="289"/>
      <c r="C1178" s="289"/>
      <c r="D1178" s="66" t="s">
        <v>412</v>
      </c>
      <c r="E1178" t="s">
        <v>420</v>
      </c>
      <c r="G1178" t="s">
        <v>664</v>
      </c>
      <c r="H1178" s="107">
        <v>44561</v>
      </c>
      <c r="I1178" s="65"/>
      <c r="K1178" s="71"/>
      <c r="L1178" s="72"/>
      <c r="M1178" s="71"/>
      <c r="N1178" s="216"/>
      <c r="O1178" s="71"/>
      <c r="P1178" s="72"/>
    </row>
    <row r="1179" spans="1:16">
      <c r="A1179" s="286"/>
      <c r="B1179" s="289"/>
      <c r="C1179" s="289"/>
      <c r="D1179" s="66" t="s">
        <v>414</v>
      </c>
      <c r="E1179" t="s">
        <v>413</v>
      </c>
      <c r="G1179" t="s">
        <v>664</v>
      </c>
      <c r="H1179" s="107">
        <v>44561</v>
      </c>
      <c r="I1179" s="65"/>
      <c r="K1179" s="71"/>
      <c r="L1179" s="72">
        <v>1.57</v>
      </c>
      <c r="M1179" s="71">
        <v>1.38</v>
      </c>
      <c r="N1179" s="216">
        <v>1.38</v>
      </c>
      <c r="O1179" s="71">
        <v>1.43</v>
      </c>
      <c r="P1179" s="72">
        <v>1.46</v>
      </c>
    </row>
    <row r="1180" spans="1:16">
      <c r="A1180" s="286"/>
      <c r="B1180" s="289"/>
      <c r="C1180" s="289"/>
      <c r="D1180" s="66" t="s">
        <v>414</v>
      </c>
      <c r="E1180" t="s">
        <v>420</v>
      </c>
      <c r="G1180" t="s">
        <v>664</v>
      </c>
      <c r="H1180" s="107">
        <v>44561</v>
      </c>
      <c r="I1180" s="65"/>
      <c r="K1180" s="71"/>
      <c r="L1180" s="72">
        <v>1.5</v>
      </c>
      <c r="M1180" s="71">
        <v>1.23</v>
      </c>
      <c r="N1180" s="216">
        <v>1.17</v>
      </c>
      <c r="O1180" s="71">
        <v>1.24</v>
      </c>
      <c r="P1180" s="72">
        <v>1.21</v>
      </c>
    </row>
    <row r="1181" spans="1:16">
      <c r="A1181" s="286"/>
      <c r="B1181" s="289"/>
      <c r="C1181" s="289"/>
      <c r="D1181" s="66" t="s">
        <v>414</v>
      </c>
      <c r="E1181" t="s">
        <v>665</v>
      </c>
      <c r="G1181" t="s">
        <v>664</v>
      </c>
      <c r="H1181" s="107">
        <v>44561</v>
      </c>
      <c r="I1181" s="65" t="s">
        <v>970</v>
      </c>
      <c r="K1181" s="71"/>
      <c r="L1181" s="72"/>
      <c r="M1181" s="71"/>
      <c r="N1181" s="216"/>
      <c r="O1181" s="71">
        <v>4.5999999999999999E-2</v>
      </c>
      <c r="P1181" s="72">
        <v>6.3E-2</v>
      </c>
    </row>
    <row r="1182" spans="1:16">
      <c r="A1182" s="286"/>
      <c r="B1182" s="289"/>
      <c r="C1182" s="289"/>
      <c r="D1182" s="66" t="s">
        <v>415</v>
      </c>
      <c r="E1182" t="s">
        <v>653</v>
      </c>
      <c r="G1182" t="s">
        <v>664</v>
      </c>
      <c r="H1182" s="107">
        <v>44561</v>
      </c>
      <c r="I1182" s="65"/>
      <c r="K1182" s="71"/>
      <c r="L1182" s="72">
        <v>9.1999999999999993</v>
      </c>
      <c r="M1182" s="71">
        <v>9</v>
      </c>
      <c r="N1182" s="216">
        <v>9.4</v>
      </c>
      <c r="O1182" s="71">
        <v>9.8000000000000007</v>
      </c>
      <c r="P1182" s="72">
        <v>9.4</v>
      </c>
    </row>
    <row r="1183" spans="1:16">
      <c r="A1183" s="286"/>
      <c r="B1183" s="289"/>
      <c r="C1183" s="289"/>
      <c r="D1183" s="66" t="s">
        <v>415</v>
      </c>
      <c r="E1183" t="s">
        <v>666</v>
      </c>
      <c r="G1183" t="s">
        <v>664</v>
      </c>
      <c r="H1183" s="107">
        <v>44561</v>
      </c>
      <c r="I1183" s="65" t="s">
        <v>970</v>
      </c>
      <c r="K1183" s="71"/>
      <c r="L1183" s="72">
        <v>0.9</v>
      </c>
      <c r="M1183" s="71">
        <v>0.9</v>
      </c>
      <c r="N1183" s="216">
        <v>0.7</v>
      </c>
      <c r="O1183" s="71">
        <v>0.7</v>
      </c>
      <c r="P1183" s="72">
        <v>0.7</v>
      </c>
    </row>
    <row r="1184" spans="1:16">
      <c r="A1184" s="286"/>
      <c r="B1184" s="289"/>
      <c r="C1184" s="289"/>
      <c r="D1184" s="66" t="s">
        <v>415</v>
      </c>
      <c r="E1184" t="s">
        <v>667</v>
      </c>
      <c r="G1184" t="s">
        <v>664</v>
      </c>
      <c r="H1184" s="107">
        <v>44561</v>
      </c>
      <c r="I1184" s="65"/>
      <c r="K1184" s="71"/>
      <c r="L1184" s="72">
        <v>0.9</v>
      </c>
      <c r="M1184" s="71">
        <v>0.9</v>
      </c>
      <c r="N1184" s="216">
        <v>1</v>
      </c>
      <c r="O1184" s="71">
        <v>1.1000000000000001</v>
      </c>
      <c r="P1184" s="72">
        <v>1.1000000000000001</v>
      </c>
    </row>
    <row r="1185" spans="1:16">
      <c r="A1185" s="286"/>
      <c r="B1185" s="289"/>
      <c r="C1185" s="289"/>
      <c r="D1185" s="66" t="s">
        <v>415</v>
      </c>
      <c r="E1185" t="s">
        <v>501</v>
      </c>
      <c r="G1185" t="s">
        <v>664</v>
      </c>
      <c r="H1185" s="107">
        <v>44561</v>
      </c>
      <c r="I1185" s="65"/>
      <c r="K1185" s="71"/>
      <c r="L1185" s="72">
        <v>1.9</v>
      </c>
      <c r="M1185" s="71">
        <v>0.3</v>
      </c>
      <c r="N1185" s="216">
        <v>0.3</v>
      </c>
      <c r="O1185" s="71">
        <v>0.2</v>
      </c>
      <c r="P1185" s="72">
        <v>0.2</v>
      </c>
    </row>
    <row r="1186" spans="1:16">
      <c r="A1186" s="286"/>
      <c r="B1186" s="289"/>
      <c r="C1186" s="289"/>
      <c r="D1186" s="66" t="s">
        <v>415</v>
      </c>
      <c r="E1186" t="s">
        <v>668</v>
      </c>
      <c r="G1186" t="s">
        <v>664</v>
      </c>
      <c r="H1186" s="107">
        <v>44561</v>
      </c>
      <c r="I1186" s="65" t="s">
        <v>970</v>
      </c>
      <c r="K1186" s="71"/>
      <c r="L1186" s="72">
        <v>0.2</v>
      </c>
      <c r="M1186" s="71">
        <v>0.2</v>
      </c>
      <c r="N1186" s="216">
        <v>0.2</v>
      </c>
      <c r="O1186" s="71">
        <v>0.2</v>
      </c>
      <c r="P1186" s="72">
        <v>0.2</v>
      </c>
    </row>
    <row r="1187" spans="1:16">
      <c r="A1187" s="286"/>
      <c r="B1187" s="289"/>
      <c r="C1187" s="289"/>
      <c r="D1187" s="66" t="s">
        <v>415</v>
      </c>
      <c r="E1187" t="s">
        <v>660</v>
      </c>
      <c r="G1187" t="s">
        <v>664</v>
      </c>
      <c r="H1187" s="107">
        <v>44561</v>
      </c>
      <c r="I1187" s="65"/>
      <c r="K1187" s="71"/>
      <c r="L1187" s="72">
        <v>13.1</v>
      </c>
      <c r="M1187" s="71">
        <v>11.3</v>
      </c>
      <c r="N1187" s="216">
        <v>11.6</v>
      </c>
      <c r="O1187" s="71">
        <v>12</v>
      </c>
      <c r="P1187" s="72">
        <v>11.7</v>
      </c>
    </row>
    <row r="1188" spans="1:16">
      <c r="A1188" s="286"/>
      <c r="B1188" s="289"/>
      <c r="C1188" s="289"/>
      <c r="D1188" s="66" t="s">
        <v>417</v>
      </c>
      <c r="E1188" t="s">
        <v>661</v>
      </c>
      <c r="G1188" t="s">
        <v>669</v>
      </c>
      <c r="H1188" s="107">
        <v>44561</v>
      </c>
      <c r="I1188" s="65"/>
      <c r="J1188">
        <v>8935</v>
      </c>
      <c r="K1188" s="71">
        <v>7920</v>
      </c>
      <c r="L1188" s="72">
        <v>8632</v>
      </c>
      <c r="M1188" s="71">
        <v>9267</v>
      </c>
      <c r="N1188" s="216">
        <v>9010</v>
      </c>
      <c r="O1188" s="71">
        <v>9038</v>
      </c>
      <c r="P1188" s="72">
        <v>9204</v>
      </c>
    </row>
    <row r="1189" spans="1:16">
      <c r="A1189" s="286"/>
      <c r="B1189" s="289"/>
      <c r="C1189" s="289"/>
      <c r="D1189" s="112" t="s">
        <v>418</v>
      </c>
      <c r="H1189" s="107"/>
      <c r="I1189" s="65"/>
      <c r="K1189" s="71"/>
      <c r="L1189" s="72"/>
      <c r="M1189" s="71"/>
      <c r="N1189" s="216"/>
      <c r="O1189" s="71"/>
      <c r="P1189" s="72" t="s">
        <v>670</v>
      </c>
    </row>
    <row r="1190" spans="1:16">
      <c r="A1190" s="294"/>
      <c r="B1190" s="293"/>
      <c r="C1190" s="293"/>
      <c r="D1190" s="114"/>
      <c r="H1190" s="107"/>
      <c r="I1190" s="65"/>
      <c r="K1190" s="71"/>
      <c r="L1190" s="72"/>
      <c r="M1190" s="71"/>
      <c r="N1190" s="216"/>
      <c r="O1190" s="71"/>
      <c r="P1190" s="72"/>
    </row>
    <row r="1191" spans="1:16">
      <c r="A1191" s="291" t="s">
        <v>860</v>
      </c>
      <c r="B1191" s="292">
        <v>0</v>
      </c>
      <c r="C1191" s="292" t="s">
        <v>861</v>
      </c>
      <c r="D1191" s="66" t="s">
        <v>411</v>
      </c>
      <c r="G1191" t="s">
        <v>664</v>
      </c>
      <c r="H1191" s="107">
        <v>44196</v>
      </c>
      <c r="I1191" s="65"/>
      <c r="K1191" s="71"/>
      <c r="L1191" s="72"/>
      <c r="M1191" s="71"/>
      <c r="N1191" s="216"/>
      <c r="O1191" s="71"/>
      <c r="P1191" s="72"/>
    </row>
    <row r="1192" spans="1:16">
      <c r="A1192" s="286"/>
      <c r="B1192" s="289"/>
      <c r="C1192" s="289"/>
      <c r="D1192" s="66" t="s">
        <v>412</v>
      </c>
      <c r="E1192" t="s">
        <v>420</v>
      </c>
      <c r="G1192" t="s">
        <v>664</v>
      </c>
      <c r="H1192" s="107">
        <v>44196</v>
      </c>
      <c r="I1192" s="65"/>
      <c r="K1192" s="71"/>
      <c r="L1192" s="72"/>
      <c r="M1192" s="71"/>
      <c r="N1192" s="216"/>
      <c r="O1192" s="71"/>
      <c r="P1192" s="72"/>
    </row>
    <row r="1193" spans="1:16">
      <c r="A1193" s="286"/>
      <c r="B1193" s="289"/>
      <c r="C1193" s="289"/>
      <c r="D1193" s="66" t="s">
        <v>414</v>
      </c>
      <c r="E1193" t="s">
        <v>413</v>
      </c>
      <c r="G1193" t="s">
        <v>664</v>
      </c>
      <c r="H1193" s="107">
        <v>44196</v>
      </c>
      <c r="I1193" s="65"/>
      <c r="K1193" s="71">
        <v>1.5</v>
      </c>
      <c r="L1193" s="72">
        <v>1.57</v>
      </c>
      <c r="M1193" s="71">
        <v>1.38</v>
      </c>
      <c r="N1193" s="216">
        <v>1.38</v>
      </c>
      <c r="O1193" s="71">
        <v>1.43</v>
      </c>
      <c r="P1193" s="72"/>
    </row>
    <row r="1194" spans="1:16">
      <c r="A1194" s="286"/>
      <c r="B1194" s="289"/>
      <c r="C1194" s="289"/>
      <c r="D1194" s="66" t="s">
        <v>414</v>
      </c>
      <c r="E1194" t="s">
        <v>420</v>
      </c>
      <c r="G1194" t="s">
        <v>664</v>
      </c>
      <c r="H1194" s="107">
        <v>44196</v>
      </c>
      <c r="I1194" s="65"/>
      <c r="K1194" s="71">
        <v>1.5</v>
      </c>
      <c r="L1194" s="72">
        <v>1.5</v>
      </c>
      <c r="M1194" s="71">
        <v>1.23</v>
      </c>
      <c r="N1194" s="216">
        <v>1.17</v>
      </c>
      <c r="O1194" s="71">
        <v>1.24</v>
      </c>
      <c r="P1194" s="72"/>
    </row>
    <row r="1195" spans="1:16">
      <c r="A1195" s="286"/>
      <c r="B1195" s="289"/>
      <c r="C1195" s="289"/>
      <c r="D1195" s="66" t="s">
        <v>414</v>
      </c>
      <c r="E1195" t="s">
        <v>665</v>
      </c>
      <c r="G1195" t="s">
        <v>664</v>
      </c>
      <c r="H1195" s="107">
        <v>44561</v>
      </c>
      <c r="I1195" s="65" t="s">
        <v>970</v>
      </c>
      <c r="K1195" s="71"/>
      <c r="L1195" s="72"/>
      <c r="M1195" s="71"/>
      <c r="N1195" s="216"/>
      <c r="O1195" s="71">
        <v>4.5999999999999999E-2</v>
      </c>
      <c r="P1195" s="72"/>
    </row>
    <row r="1196" spans="1:16">
      <c r="A1196" s="286"/>
      <c r="B1196" s="289"/>
      <c r="C1196" s="289"/>
      <c r="D1196" s="66" t="s">
        <v>415</v>
      </c>
      <c r="E1196" t="s">
        <v>653</v>
      </c>
      <c r="G1196" t="s">
        <v>664</v>
      </c>
      <c r="H1196" s="107">
        <v>44196</v>
      </c>
      <c r="I1196" s="65"/>
      <c r="K1196" s="71"/>
      <c r="L1196" s="72"/>
      <c r="M1196" s="71"/>
      <c r="N1196" s="216">
        <v>9.4</v>
      </c>
      <c r="O1196" s="71">
        <v>9.8000000000000007</v>
      </c>
      <c r="P1196" s="72"/>
    </row>
    <row r="1197" spans="1:16">
      <c r="A1197" s="286"/>
      <c r="B1197" s="289"/>
      <c r="C1197" s="289"/>
      <c r="D1197" s="66" t="s">
        <v>415</v>
      </c>
      <c r="E1197" t="s">
        <v>666</v>
      </c>
      <c r="G1197" t="s">
        <v>664</v>
      </c>
      <c r="H1197" s="107">
        <v>44196</v>
      </c>
      <c r="I1197" s="65" t="s">
        <v>970</v>
      </c>
      <c r="K1197" s="71"/>
      <c r="L1197" s="72"/>
      <c r="M1197" s="71"/>
      <c r="N1197" s="216">
        <v>0.7</v>
      </c>
      <c r="O1197" s="71">
        <v>0.7</v>
      </c>
      <c r="P1197" s="72"/>
    </row>
    <row r="1198" spans="1:16">
      <c r="A1198" s="286"/>
      <c r="B1198" s="289"/>
      <c r="C1198" s="289"/>
      <c r="D1198" s="66" t="s">
        <v>415</v>
      </c>
      <c r="E1198" t="s">
        <v>667</v>
      </c>
      <c r="G1198" t="s">
        <v>664</v>
      </c>
      <c r="H1198" s="107">
        <v>44196</v>
      </c>
      <c r="I1198" s="65"/>
      <c r="K1198" s="71"/>
      <c r="L1198" s="72"/>
      <c r="M1198" s="71"/>
      <c r="N1198" s="216">
        <v>1.1000000000000001</v>
      </c>
      <c r="O1198" s="71">
        <v>1.1000000000000001</v>
      </c>
      <c r="P1198" s="72"/>
    </row>
    <row r="1199" spans="1:16">
      <c r="A1199" s="286"/>
      <c r="B1199" s="289"/>
      <c r="C1199" s="289"/>
      <c r="D1199" s="66" t="s">
        <v>415</v>
      </c>
      <c r="E1199" t="s">
        <v>501</v>
      </c>
      <c r="G1199" t="s">
        <v>664</v>
      </c>
      <c r="H1199" s="107">
        <v>44196</v>
      </c>
      <c r="I1199" s="65"/>
      <c r="K1199" s="71"/>
      <c r="L1199" s="72"/>
      <c r="M1199" s="71"/>
      <c r="N1199" s="216">
        <v>0.3</v>
      </c>
      <c r="O1199" s="71">
        <v>0.2</v>
      </c>
      <c r="P1199" s="72"/>
    </row>
    <row r="1200" spans="1:16">
      <c r="A1200" s="286"/>
      <c r="B1200" s="289"/>
      <c r="C1200" s="289"/>
      <c r="D1200" s="66" t="s">
        <v>415</v>
      </c>
      <c r="E1200" t="s">
        <v>668</v>
      </c>
      <c r="G1200" t="s">
        <v>664</v>
      </c>
      <c r="H1200" s="107">
        <v>44196</v>
      </c>
      <c r="I1200" s="65" t="s">
        <v>970</v>
      </c>
      <c r="K1200" s="71"/>
      <c r="L1200" s="72"/>
      <c r="M1200" s="71"/>
      <c r="N1200" s="216">
        <v>0.2</v>
      </c>
      <c r="O1200" s="71">
        <v>0.2</v>
      </c>
      <c r="P1200" s="72"/>
    </row>
    <row r="1201" spans="1:16">
      <c r="A1201" s="286"/>
      <c r="B1201" s="289"/>
      <c r="C1201" s="289"/>
      <c r="D1201" s="66" t="s">
        <v>415</v>
      </c>
      <c r="E1201" t="s">
        <v>660</v>
      </c>
      <c r="G1201" t="s">
        <v>664</v>
      </c>
      <c r="H1201" s="107">
        <v>44196</v>
      </c>
      <c r="I1201" s="65"/>
      <c r="K1201" s="71"/>
      <c r="L1201" s="72"/>
      <c r="M1201" s="71"/>
      <c r="N1201" s="216">
        <f>SUM(N1196:N1200)</f>
        <v>11.7</v>
      </c>
      <c r="O1201" s="71">
        <f>SUM(O1196:O1200)</f>
        <v>11.999999999999998</v>
      </c>
      <c r="P1201" s="72"/>
    </row>
    <row r="1202" spans="1:16">
      <c r="A1202" s="286"/>
      <c r="B1202" s="289"/>
      <c r="C1202" s="289"/>
      <c r="D1202" s="66" t="s">
        <v>417</v>
      </c>
      <c r="E1202" t="s">
        <v>661</v>
      </c>
      <c r="G1202" t="s">
        <v>669</v>
      </c>
      <c r="H1202" s="107">
        <v>44196</v>
      </c>
      <c r="I1202" s="65"/>
      <c r="J1202">
        <v>8935</v>
      </c>
      <c r="K1202" s="71">
        <v>7920</v>
      </c>
      <c r="L1202" s="72">
        <v>8632</v>
      </c>
      <c r="M1202" s="71">
        <v>8852</v>
      </c>
      <c r="N1202" s="216">
        <v>9010</v>
      </c>
      <c r="O1202" s="71">
        <v>9038</v>
      </c>
      <c r="P1202" s="72"/>
    </row>
    <row r="1203" spans="1:16">
      <c r="A1203" s="286"/>
      <c r="B1203" s="289"/>
      <c r="C1203" s="289"/>
      <c r="D1203" s="112" t="s">
        <v>418</v>
      </c>
      <c r="H1203" s="107"/>
      <c r="I1203" s="65"/>
      <c r="K1203" s="71"/>
      <c r="L1203" s="72"/>
      <c r="M1203" s="71"/>
      <c r="N1203" s="216"/>
      <c r="O1203" s="71" t="s">
        <v>671</v>
      </c>
      <c r="P1203" s="72"/>
    </row>
    <row r="1204" spans="1:16">
      <c r="A1204" s="294"/>
      <c r="B1204" s="293"/>
      <c r="C1204" s="293"/>
      <c r="D1204" s="114"/>
      <c r="H1204" s="107"/>
      <c r="I1204" s="65"/>
      <c r="K1204" s="71"/>
      <c r="L1204" s="72"/>
      <c r="M1204" s="71"/>
      <c r="N1204" s="216"/>
      <c r="O1204" s="71"/>
      <c r="P1204" s="72"/>
    </row>
    <row r="1205" spans="1:16">
      <c r="A1205" s="295" t="s">
        <v>860</v>
      </c>
      <c r="B1205" s="292">
        <v>0</v>
      </c>
      <c r="C1205" s="296" t="s">
        <v>861</v>
      </c>
      <c r="D1205" s="66" t="s">
        <v>411</v>
      </c>
      <c r="G1205" t="s">
        <v>664</v>
      </c>
      <c r="H1205" s="107">
        <v>43830</v>
      </c>
      <c r="I1205" s="65"/>
      <c r="K1205" s="71"/>
      <c r="L1205" s="72"/>
      <c r="M1205" s="71"/>
      <c r="N1205" s="216"/>
      <c r="O1205" s="71"/>
      <c r="P1205" s="72"/>
    </row>
    <row r="1206" spans="1:16">
      <c r="A1206" s="295"/>
      <c r="B1206" s="289"/>
      <c r="C1206" s="296"/>
      <c r="D1206" s="66" t="s">
        <v>412</v>
      </c>
      <c r="E1206" t="s">
        <v>420</v>
      </c>
      <c r="G1206" t="s">
        <v>664</v>
      </c>
      <c r="H1206" s="107">
        <v>43830</v>
      </c>
      <c r="I1206" s="65"/>
      <c r="K1206" s="71"/>
      <c r="L1206" s="72"/>
      <c r="M1206" s="71"/>
      <c r="N1206" s="216"/>
      <c r="O1206" s="71"/>
      <c r="P1206" s="72"/>
    </row>
    <row r="1207" spans="1:16">
      <c r="A1207" s="295"/>
      <c r="B1207" s="289"/>
      <c r="C1207" s="296"/>
      <c r="D1207" s="66" t="s">
        <v>414</v>
      </c>
      <c r="E1207" t="s">
        <v>413</v>
      </c>
      <c r="G1207" t="s">
        <v>664</v>
      </c>
      <c r="H1207" s="107">
        <v>43830</v>
      </c>
      <c r="I1207" s="65"/>
      <c r="K1207" s="71"/>
      <c r="L1207" s="72"/>
      <c r="M1207" s="71"/>
      <c r="N1207" s="216"/>
      <c r="O1207" s="71"/>
      <c r="P1207" s="72"/>
    </row>
    <row r="1208" spans="1:16">
      <c r="A1208" s="295"/>
      <c r="B1208" s="289"/>
      <c r="C1208" s="296"/>
      <c r="D1208" s="66" t="s">
        <v>414</v>
      </c>
      <c r="E1208" t="s">
        <v>420</v>
      </c>
      <c r="G1208" t="s">
        <v>664</v>
      </c>
      <c r="H1208" s="107">
        <v>43830</v>
      </c>
      <c r="I1208" s="65"/>
      <c r="K1208" s="71">
        <v>1.57</v>
      </c>
      <c r="L1208" s="72">
        <v>1.5</v>
      </c>
      <c r="M1208" s="71">
        <v>1.23</v>
      </c>
      <c r="N1208" s="216">
        <v>1.17</v>
      </c>
      <c r="O1208" s="71"/>
      <c r="P1208" s="72"/>
    </row>
    <row r="1209" spans="1:16">
      <c r="A1209" s="295"/>
      <c r="B1209" s="289"/>
      <c r="C1209" s="296"/>
      <c r="D1209" s="66" t="s">
        <v>415</v>
      </c>
      <c r="E1209" t="s">
        <v>653</v>
      </c>
      <c r="G1209" t="s">
        <v>664</v>
      </c>
      <c r="H1209" s="107">
        <v>43830</v>
      </c>
      <c r="I1209" s="65"/>
      <c r="K1209" s="71"/>
      <c r="L1209" s="72"/>
      <c r="M1209" s="71">
        <v>9</v>
      </c>
      <c r="N1209" s="216">
        <v>9.4</v>
      </c>
      <c r="O1209" s="71"/>
      <c r="P1209" s="72"/>
    </row>
    <row r="1210" spans="1:16">
      <c r="A1210" s="295"/>
      <c r="B1210" s="289"/>
      <c r="C1210" s="296"/>
      <c r="D1210" s="66" t="s">
        <v>415</v>
      </c>
      <c r="E1210" t="s">
        <v>666</v>
      </c>
      <c r="G1210" t="s">
        <v>664</v>
      </c>
      <c r="H1210" s="107">
        <v>43830</v>
      </c>
      <c r="I1210" s="65" t="s">
        <v>970</v>
      </c>
      <c r="K1210" s="71"/>
      <c r="L1210" s="72"/>
      <c r="M1210" s="71">
        <v>0.9</v>
      </c>
      <c r="N1210" s="216">
        <v>0.7</v>
      </c>
      <c r="O1210" s="71"/>
      <c r="P1210" s="72"/>
    </row>
    <row r="1211" spans="1:16">
      <c r="A1211" s="295"/>
      <c r="B1211" s="289"/>
      <c r="C1211" s="296"/>
      <c r="D1211" s="66" t="s">
        <v>415</v>
      </c>
      <c r="E1211" t="s">
        <v>667</v>
      </c>
      <c r="G1211" t="s">
        <v>664</v>
      </c>
      <c r="H1211" s="107">
        <v>43830</v>
      </c>
      <c r="I1211" s="65"/>
      <c r="K1211" s="71"/>
      <c r="L1211" s="72"/>
      <c r="M1211" s="71">
        <v>0.9</v>
      </c>
      <c r="N1211" s="216">
        <v>1</v>
      </c>
      <c r="O1211" s="71"/>
      <c r="P1211" s="72"/>
    </row>
    <row r="1212" spans="1:16">
      <c r="A1212" s="295"/>
      <c r="B1212" s="289"/>
      <c r="C1212" s="296"/>
      <c r="D1212" s="66" t="s">
        <v>415</v>
      </c>
      <c r="E1212" t="s">
        <v>501</v>
      </c>
      <c r="G1212" t="s">
        <v>664</v>
      </c>
      <c r="H1212" s="107">
        <v>43830</v>
      </c>
      <c r="I1212" s="65"/>
      <c r="K1212" s="71"/>
      <c r="L1212" s="72"/>
      <c r="M1212" s="71">
        <v>0.3</v>
      </c>
      <c r="N1212" s="216">
        <v>0.3</v>
      </c>
      <c r="O1212" s="71"/>
      <c r="P1212" s="72"/>
    </row>
    <row r="1213" spans="1:16">
      <c r="A1213" s="295"/>
      <c r="B1213" s="289"/>
      <c r="C1213" s="296"/>
      <c r="D1213" s="66" t="s">
        <v>415</v>
      </c>
      <c r="E1213" t="s">
        <v>668</v>
      </c>
      <c r="G1213" t="s">
        <v>664</v>
      </c>
      <c r="H1213" s="107">
        <v>43830</v>
      </c>
      <c r="I1213" s="65" t="s">
        <v>970</v>
      </c>
      <c r="K1213" s="71"/>
      <c r="L1213" s="72"/>
      <c r="M1213" s="71">
        <v>0.2</v>
      </c>
      <c r="N1213" s="216">
        <v>0.2</v>
      </c>
      <c r="O1213" s="71"/>
      <c r="P1213" s="72"/>
    </row>
    <row r="1214" spans="1:16">
      <c r="A1214" s="295"/>
      <c r="B1214" s="289"/>
      <c r="C1214" s="296"/>
      <c r="D1214" s="66" t="s">
        <v>415</v>
      </c>
      <c r="E1214" t="s">
        <v>660</v>
      </c>
      <c r="G1214" t="s">
        <v>664</v>
      </c>
      <c r="H1214" s="107">
        <v>43830</v>
      </c>
      <c r="I1214" s="65"/>
      <c r="K1214" s="71"/>
      <c r="L1214" s="72"/>
      <c r="M1214" s="71">
        <f>SUM(M1209:M1213)</f>
        <v>11.3</v>
      </c>
      <c r="N1214" s="216">
        <f>SUM(N1209:N1213)</f>
        <v>11.6</v>
      </c>
      <c r="O1214" s="71"/>
      <c r="P1214" s="72"/>
    </row>
    <row r="1215" spans="1:16">
      <c r="A1215" s="295"/>
      <c r="B1215" s="289"/>
      <c r="C1215" s="296"/>
      <c r="D1215" s="66" t="s">
        <v>417</v>
      </c>
      <c r="E1215" t="s">
        <v>661</v>
      </c>
      <c r="G1215" t="s">
        <v>669</v>
      </c>
      <c r="H1215" s="107">
        <v>43830</v>
      </c>
      <c r="I1215" s="65"/>
      <c r="J1215">
        <v>8935</v>
      </c>
      <c r="K1215" s="71">
        <v>7920</v>
      </c>
      <c r="L1215" s="72">
        <v>8632</v>
      </c>
      <c r="M1215" s="71">
        <v>8852</v>
      </c>
      <c r="N1215" s="216">
        <v>9010</v>
      </c>
      <c r="O1215" s="71"/>
      <c r="P1215" s="72"/>
    </row>
    <row r="1216" spans="1:16">
      <c r="A1216" s="295"/>
      <c r="B1216" s="289"/>
      <c r="C1216" s="296"/>
      <c r="D1216" s="112" t="s">
        <v>418</v>
      </c>
      <c r="H1216" s="107"/>
      <c r="I1216" s="65"/>
      <c r="K1216" s="71"/>
      <c r="L1216" s="72"/>
      <c r="M1216" s="71"/>
      <c r="N1216" s="216" t="s">
        <v>672</v>
      </c>
      <c r="O1216" s="71"/>
      <c r="P1216" s="72"/>
    </row>
    <row r="1217" spans="1:16">
      <c r="A1217" s="295"/>
      <c r="B1217" s="293"/>
      <c r="C1217" s="296"/>
      <c r="D1217" s="114"/>
      <c r="H1217" s="107"/>
      <c r="I1217" s="65"/>
      <c r="K1217" s="71"/>
      <c r="L1217" s="72"/>
      <c r="M1217" s="71"/>
      <c r="N1217" s="216"/>
      <c r="O1217" s="71"/>
      <c r="P1217" s="72"/>
    </row>
    <row r="1218" spans="1:16">
      <c r="A1218" s="306" t="s">
        <v>860</v>
      </c>
      <c r="B1218" s="292">
        <v>0</v>
      </c>
      <c r="C1218" s="307" t="s">
        <v>861</v>
      </c>
      <c r="D1218" s="66" t="s">
        <v>411</v>
      </c>
      <c r="G1218" t="s">
        <v>664</v>
      </c>
      <c r="H1218" s="107">
        <v>43465</v>
      </c>
      <c r="I1218" s="65"/>
      <c r="K1218" s="71"/>
      <c r="L1218" s="72"/>
      <c r="M1218" s="71"/>
      <c r="N1218" s="216"/>
      <c r="O1218" s="71"/>
      <c r="P1218" s="72"/>
    </row>
    <row r="1219" spans="1:16">
      <c r="A1219" s="306"/>
      <c r="B1219" s="289"/>
      <c r="C1219" s="307"/>
      <c r="D1219" s="66" t="s">
        <v>412</v>
      </c>
      <c r="E1219" t="s">
        <v>420</v>
      </c>
      <c r="G1219" t="s">
        <v>664</v>
      </c>
      <c r="H1219" s="107">
        <v>43465</v>
      </c>
      <c r="I1219" s="65"/>
      <c r="K1219" s="71"/>
      <c r="L1219" s="72"/>
      <c r="M1219" s="71"/>
      <c r="N1219" s="216"/>
      <c r="O1219" s="71"/>
      <c r="P1219" s="72"/>
    </row>
    <row r="1220" spans="1:16">
      <c r="A1220" s="306"/>
      <c r="B1220" s="289"/>
      <c r="C1220" s="307"/>
      <c r="D1220" s="66" t="s">
        <v>414</v>
      </c>
      <c r="E1220" t="s">
        <v>413</v>
      </c>
      <c r="G1220" t="s">
        <v>664</v>
      </c>
      <c r="H1220" s="107">
        <v>43465</v>
      </c>
      <c r="I1220" s="65"/>
      <c r="J1220">
        <v>1.1000000000000001</v>
      </c>
      <c r="K1220" s="71">
        <v>1.5</v>
      </c>
      <c r="L1220" s="72">
        <v>1.57</v>
      </c>
      <c r="M1220" s="71">
        <v>1.38</v>
      </c>
      <c r="N1220" s="216"/>
      <c r="O1220" s="71"/>
      <c r="P1220" s="72"/>
    </row>
    <row r="1221" spans="1:16">
      <c r="A1221" s="306"/>
      <c r="B1221" s="289"/>
      <c r="C1221" s="307"/>
      <c r="D1221" s="66" t="s">
        <v>414</v>
      </c>
      <c r="E1221" t="s">
        <v>420</v>
      </c>
      <c r="G1221" t="s">
        <v>664</v>
      </c>
      <c r="H1221" s="107">
        <v>43465</v>
      </c>
      <c r="I1221" s="65"/>
      <c r="K1221" s="71">
        <v>1.4</v>
      </c>
      <c r="L1221" s="72">
        <v>1.5</v>
      </c>
      <c r="M1221" s="71">
        <v>1.23</v>
      </c>
      <c r="N1221" s="216"/>
      <c r="O1221" s="71"/>
      <c r="P1221" s="72"/>
    </row>
    <row r="1222" spans="1:16">
      <c r="A1222" s="306"/>
      <c r="B1222" s="289"/>
      <c r="C1222" s="307"/>
      <c r="D1222" s="66" t="s">
        <v>415</v>
      </c>
      <c r="E1222" t="s">
        <v>653</v>
      </c>
      <c r="G1222" t="s">
        <v>664</v>
      </c>
      <c r="H1222" s="107">
        <v>43465</v>
      </c>
      <c r="I1222" s="65"/>
      <c r="K1222" s="71"/>
      <c r="L1222" s="72">
        <v>9.1999999999999993</v>
      </c>
      <c r="M1222" s="71">
        <v>9</v>
      </c>
      <c r="N1222" s="216"/>
      <c r="O1222" s="71"/>
      <c r="P1222" s="72"/>
    </row>
    <row r="1223" spans="1:16">
      <c r="A1223" s="306"/>
      <c r="B1223" s="289"/>
      <c r="C1223" s="307"/>
      <c r="D1223" s="66" t="s">
        <v>415</v>
      </c>
      <c r="E1223" t="s">
        <v>666</v>
      </c>
      <c r="G1223" t="s">
        <v>664</v>
      </c>
      <c r="H1223" s="107">
        <v>43465</v>
      </c>
      <c r="I1223" s="65" t="s">
        <v>970</v>
      </c>
      <c r="K1223" s="71"/>
      <c r="L1223" s="72">
        <v>0.9</v>
      </c>
      <c r="M1223" s="71">
        <v>0.9</v>
      </c>
      <c r="N1223" s="216"/>
      <c r="O1223" s="71"/>
      <c r="P1223" s="72"/>
    </row>
    <row r="1224" spans="1:16">
      <c r="A1224" s="306"/>
      <c r="B1224" s="289"/>
      <c r="C1224" s="307"/>
      <c r="D1224" s="66" t="s">
        <v>415</v>
      </c>
      <c r="E1224" t="s">
        <v>667</v>
      </c>
      <c r="G1224" t="s">
        <v>664</v>
      </c>
      <c r="H1224" s="107">
        <v>43465</v>
      </c>
      <c r="I1224" s="65"/>
      <c r="K1224" s="71"/>
      <c r="L1224" s="72">
        <v>0.9</v>
      </c>
      <c r="M1224" s="71">
        <v>0.9</v>
      </c>
      <c r="N1224" s="216"/>
      <c r="O1224" s="71"/>
      <c r="P1224" s="72"/>
    </row>
    <row r="1225" spans="1:16">
      <c r="A1225" s="306"/>
      <c r="B1225" s="289"/>
      <c r="C1225" s="307"/>
      <c r="D1225" s="66" t="s">
        <v>415</v>
      </c>
      <c r="E1225" t="s">
        <v>501</v>
      </c>
      <c r="G1225" t="s">
        <v>664</v>
      </c>
      <c r="H1225" s="107">
        <v>43465</v>
      </c>
      <c r="I1225" s="65"/>
      <c r="K1225" s="71"/>
      <c r="L1225" s="72">
        <v>1.9</v>
      </c>
      <c r="M1225" s="71">
        <v>0.3</v>
      </c>
      <c r="N1225" s="216"/>
      <c r="O1225" s="71"/>
      <c r="P1225" s="72"/>
    </row>
    <row r="1226" spans="1:16">
      <c r="A1226" s="306"/>
      <c r="B1226" s="289"/>
      <c r="C1226" s="307"/>
      <c r="D1226" s="66" t="s">
        <v>415</v>
      </c>
      <c r="E1226" t="s">
        <v>668</v>
      </c>
      <c r="G1226" t="s">
        <v>664</v>
      </c>
      <c r="H1226" s="107">
        <v>43465</v>
      </c>
      <c r="I1226" s="65" t="s">
        <v>970</v>
      </c>
      <c r="K1226" s="71"/>
      <c r="L1226" s="72">
        <v>0.2</v>
      </c>
      <c r="M1226" s="71">
        <v>0.2</v>
      </c>
      <c r="N1226" s="216"/>
      <c r="O1226" s="71"/>
      <c r="P1226" s="72"/>
    </row>
    <row r="1227" spans="1:16">
      <c r="A1227" s="306"/>
      <c r="B1227" s="289"/>
      <c r="C1227" s="307"/>
      <c r="D1227" s="66" t="s">
        <v>415</v>
      </c>
      <c r="E1227" t="s">
        <v>660</v>
      </c>
      <c r="G1227" t="s">
        <v>664</v>
      </c>
      <c r="H1227" s="107">
        <v>43465</v>
      </c>
      <c r="I1227" s="65"/>
      <c r="K1227" s="71"/>
      <c r="L1227" s="72">
        <f>SUM(L1222:L1226)</f>
        <v>13.1</v>
      </c>
      <c r="M1227" s="71">
        <f>SUM(M1222:M1226)</f>
        <v>11.3</v>
      </c>
      <c r="N1227" s="216"/>
      <c r="O1227" s="71"/>
      <c r="P1227" s="72"/>
    </row>
    <row r="1228" spans="1:16">
      <c r="A1228" s="306"/>
      <c r="B1228" s="289"/>
      <c r="C1228" s="307"/>
      <c r="D1228" s="66" t="s">
        <v>417</v>
      </c>
      <c r="E1228" t="s">
        <v>661</v>
      </c>
      <c r="G1228" t="s">
        <v>669</v>
      </c>
      <c r="H1228" s="107">
        <v>43465</v>
      </c>
      <c r="I1228" s="65"/>
      <c r="J1228">
        <v>8935</v>
      </c>
      <c r="K1228" s="71">
        <v>7920</v>
      </c>
      <c r="L1228" s="72">
        <v>8632</v>
      </c>
      <c r="M1228" s="71">
        <v>8852</v>
      </c>
      <c r="N1228" s="216"/>
      <c r="O1228" s="71"/>
      <c r="P1228" s="72"/>
    </row>
    <row r="1229" spans="1:16">
      <c r="A1229" s="306"/>
      <c r="B1229" s="289"/>
      <c r="C1229" s="307"/>
      <c r="D1229" s="112" t="s">
        <v>418</v>
      </c>
      <c r="H1229" s="107"/>
      <c r="I1229" s="65"/>
      <c r="K1229" s="71"/>
      <c r="L1229" s="72"/>
      <c r="M1229" s="71" t="s">
        <v>673</v>
      </c>
      <c r="N1229" s="216"/>
      <c r="O1229" s="71"/>
      <c r="P1229" s="72"/>
    </row>
    <row r="1230" spans="1:16">
      <c r="A1230" s="306"/>
      <c r="B1230" s="293"/>
      <c r="C1230" s="307"/>
      <c r="D1230" s="114"/>
      <c r="H1230" s="107"/>
      <c r="I1230" s="65"/>
      <c r="K1230" s="71"/>
      <c r="L1230" s="72"/>
      <c r="M1230" s="71"/>
      <c r="N1230" s="216"/>
      <c r="O1230" s="71"/>
      <c r="P1230" s="72"/>
    </row>
    <row r="1231" spans="1:16">
      <c r="A1231" s="295" t="s">
        <v>860</v>
      </c>
      <c r="B1231" s="292">
        <v>0</v>
      </c>
      <c r="C1231" s="296" t="s">
        <v>861</v>
      </c>
      <c r="D1231" s="117" t="s">
        <v>411</v>
      </c>
      <c r="G1231" t="s">
        <v>664</v>
      </c>
      <c r="H1231" s="107">
        <v>43100</v>
      </c>
      <c r="I1231" s="65"/>
      <c r="K1231" s="71"/>
      <c r="L1231" s="72"/>
      <c r="M1231" s="71"/>
      <c r="N1231" s="216"/>
      <c r="O1231" s="71"/>
      <c r="P1231" s="72"/>
    </row>
    <row r="1232" spans="1:16">
      <c r="A1232" s="295"/>
      <c r="B1232" s="289"/>
      <c r="C1232" s="296"/>
      <c r="D1232" s="117" t="s">
        <v>412</v>
      </c>
      <c r="E1232" t="s">
        <v>420</v>
      </c>
      <c r="G1232" t="s">
        <v>664</v>
      </c>
      <c r="H1232" s="107">
        <v>43100</v>
      </c>
      <c r="I1232" s="65"/>
      <c r="K1232" s="71"/>
      <c r="L1232" s="72"/>
      <c r="M1232" s="71"/>
      <c r="N1232" s="216"/>
      <c r="O1232" s="71"/>
      <c r="P1232" s="72"/>
    </row>
    <row r="1233" spans="1:16">
      <c r="A1233" s="295"/>
      <c r="B1233" s="289"/>
      <c r="C1233" s="296"/>
      <c r="D1233" s="117" t="s">
        <v>414</v>
      </c>
      <c r="E1233" t="s">
        <v>413</v>
      </c>
      <c r="G1233" t="s">
        <v>664</v>
      </c>
      <c r="H1233" s="107">
        <v>43100</v>
      </c>
      <c r="I1233" s="65"/>
      <c r="K1233" s="71">
        <v>1.5</v>
      </c>
      <c r="L1233" s="72">
        <v>1.6</v>
      </c>
      <c r="M1233" s="71"/>
      <c r="N1233" s="216"/>
      <c r="O1233" s="71"/>
      <c r="P1233" s="72"/>
    </row>
    <row r="1234" spans="1:16">
      <c r="A1234" s="295"/>
      <c r="B1234" s="289"/>
      <c r="C1234" s="296"/>
      <c r="D1234" s="117" t="s">
        <v>414</v>
      </c>
      <c r="E1234" t="s">
        <v>420</v>
      </c>
      <c r="G1234" t="s">
        <v>664</v>
      </c>
      <c r="H1234" s="107">
        <v>43100</v>
      </c>
      <c r="I1234" s="65"/>
      <c r="K1234" s="71">
        <v>1.4</v>
      </c>
      <c r="L1234" s="72">
        <v>1.5</v>
      </c>
      <c r="M1234" s="71"/>
      <c r="N1234" s="216"/>
      <c r="O1234" s="71"/>
      <c r="P1234" s="72"/>
    </row>
    <row r="1235" spans="1:16">
      <c r="A1235" s="295"/>
      <c r="B1235" s="289"/>
      <c r="C1235" s="296"/>
      <c r="D1235" s="117" t="s">
        <v>415</v>
      </c>
      <c r="E1235" t="s">
        <v>653</v>
      </c>
      <c r="G1235" t="s">
        <v>664</v>
      </c>
      <c r="H1235" s="107">
        <v>43100</v>
      </c>
      <c r="I1235" s="65"/>
      <c r="K1235" s="71">
        <v>9.9</v>
      </c>
      <c r="L1235" s="72">
        <v>10</v>
      </c>
      <c r="M1235" s="71"/>
      <c r="N1235" s="216"/>
      <c r="O1235" s="71"/>
      <c r="P1235" s="72"/>
    </row>
    <row r="1236" spans="1:16">
      <c r="A1236" s="295"/>
      <c r="B1236" s="289"/>
      <c r="C1236" s="296"/>
      <c r="D1236" s="117" t="s">
        <v>415</v>
      </c>
      <c r="E1236" t="s">
        <v>666</v>
      </c>
      <c r="G1236" t="s">
        <v>664</v>
      </c>
      <c r="H1236" s="107">
        <v>43100</v>
      </c>
      <c r="I1236" s="65" t="s">
        <v>970</v>
      </c>
      <c r="K1236" s="71">
        <v>0.8</v>
      </c>
      <c r="L1236" s="72">
        <v>0.9</v>
      </c>
      <c r="M1236" s="71"/>
      <c r="N1236" s="216"/>
      <c r="O1236" s="71"/>
      <c r="P1236" s="72"/>
    </row>
    <row r="1237" spans="1:16">
      <c r="A1237" s="295"/>
      <c r="B1237" s="289"/>
      <c r="C1237" s="296"/>
      <c r="D1237" s="117" t="s">
        <v>415</v>
      </c>
      <c r="E1237" t="s">
        <v>667</v>
      </c>
      <c r="G1237" t="s">
        <v>664</v>
      </c>
      <c r="H1237" s="107">
        <v>43100</v>
      </c>
      <c r="I1237" s="65"/>
      <c r="K1237" s="71">
        <v>7.3</v>
      </c>
      <c r="L1237" s="72">
        <v>7.9</v>
      </c>
      <c r="M1237" s="71"/>
      <c r="N1237" s="216"/>
      <c r="O1237" s="71"/>
      <c r="P1237" s="72"/>
    </row>
    <row r="1238" spans="1:16">
      <c r="A1238" s="295"/>
      <c r="B1238" s="289"/>
      <c r="C1238" s="296"/>
      <c r="D1238" s="117" t="s">
        <v>415</v>
      </c>
      <c r="E1238" t="s">
        <v>501</v>
      </c>
      <c r="G1238" t="s">
        <v>664</v>
      </c>
      <c r="H1238" s="107">
        <v>43100</v>
      </c>
      <c r="I1238" s="65"/>
      <c r="K1238" s="71">
        <v>1.7</v>
      </c>
      <c r="L1238" s="72">
        <v>1.9</v>
      </c>
      <c r="M1238" s="71"/>
      <c r="N1238" s="216"/>
      <c r="O1238" s="71"/>
      <c r="P1238" s="72"/>
    </row>
    <row r="1239" spans="1:16">
      <c r="A1239" s="295"/>
      <c r="B1239" s="289"/>
      <c r="C1239" s="296"/>
      <c r="D1239" s="117" t="s">
        <v>415</v>
      </c>
      <c r="E1239" t="s">
        <v>668</v>
      </c>
      <c r="G1239" t="s">
        <v>664</v>
      </c>
      <c r="H1239" s="107">
        <v>43100</v>
      </c>
      <c r="I1239" s="65" t="s">
        <v>970</v>
      </c>
      <c r="K1239" s="71">
        <v>0.25</v>
      </c>
      <c r="L1239" s="72">
        <v>0.25</v>
      </c>
      <c r="M1239" s="71"/>
      <c r="N1239" s="216"/>
      <c r="O1239" s="71"/>
      <c r="P1239" s="72"/>
    </row>
    <row r="1240" spans="1:16">
      <c r="A1240" s="295"/>
      <c r="B1240" s="289"/>
      <c r="C1240" s="296"/>
      <c r="D1240" s="117" t="s">
        <v>415</v>
      </c>
      <c r="E1240" t="s">
        <v>660</v>
      </c>
      <c r="G1240" t="s">
        <v>664</v>
      </c>
      <c r="H1240" s="107">
        <v>43100</v>
      </c>
      <c r="I1240" s="65"/>
      <c r="K1240" s="71">
        <f>SUM(K1235:K1239)</f>
        <v>19.95</v>
      </c>
      <c r="L1240" s="72">
        <f>SUM(L1235:L1239)</f>
        <v>20.95</v>
      </c>
      <c r="M1240" s="71"/>
      <c r="N1240" s="216"/>
      <c r="O1240" s="71"/>
      <c r="P1240" s="72"/>
    </row>
    <row r="1241" spans="1:16">
      <c r="A1241" s="295"/>
      <c r="B1241" s="289"/>
      <c r="C1241" s="296"/>
      <c r="D1241" s="117" t="s">
        <v>417</v>
      </c>
      <c r="E1241" t="s">
        <v>661</v>
      </c>
      <c r="G1241" t="s">
        <v>669</v>
      </c>
      <c r="H1241" s="107">
        <v>43100</v>
      </c>
      <c r="I1241" s="65"/>
      <c r="J1241">
        <v>8935</v>
      </c>
      <c r="K1241" s="71">
        <v>7920</v>
      </c>
      <c r="L1241" s="72">
        <v>8632</v>
      </c>
      <c r="M1241" s="71"/>
      <c r="N1241" s="216"/>
      <c r="O1241" s="71"/>
      <c r="P1241" s="72"/>
    </row>
    <row r="1242" spans="1:16">
      <c r="A1242" s="295"/>
      <c r="B1242" s="289"/>
      <c r="C1242" s="296"/>
      <c r="D1242" s="118" t="s">
        <v>418</v>
      </c>
      <c r="H1242" s="107">
        <v>43100</v>
      </c>
      <c r="I1242" s="65"/>
      <c r="K1242" s="71"/>
      <c r="L1242" s="72" t="s">
        <v>674</v>
      </c>
      <c r="M1242" s="71"/>
      <c r="N1242" s="216"/>
      <c r="O1242" s="71"/>
      <c r="P1242" s="72"/>
    </row>
    <row r="1243" spans="1:16">
      <c r="A1243" s="295"/>
      <c r="B1243" s="293"/>
      <c r="C1243" s="296"/>
      <c r="D1243" s="119"/>
      <c r="H1243" s="107"/>
      <c r="I1243" s="65"/>
      <c r="K1243" s="71"/>
      <c r="L1243" s="72"/>
      <c r="M1243" s="71"/>
      <c r="N1243" s="216"/>
      <c r="O1243" s="71"/>
      <c r="P1243" s="72"/>
    </row>
    <row r="1244" spans="1:16">
      <c r="A1244" s="306" t="s">
        <v>863</v>
      </c>
      <c r="B1244" s="292">
        <v>0</v>
      </c>
      <c r="C1244" s="307" t="s">
        <v>864</v>
      </c>
      <c r="D1244" s="123" t="s">
        <v>411</v>
      </c>
      <c r="G1244" t="s">
        <v>427</v>
      </c>
      <c r="H1244" s="107">
        <v>44561</v>
      </c>
      <c r="I1244" s="65"/>
      <c r="J1244">
        <v>55.5</v>
      </c>
      <c r="K1244" s="71">
        <v>62</v>
      </c>
      <c r="L1244" s="72">
        <v>57.7</v>
      </c>
      <c r="M1244" s="71">
        <v>54.3</v>
      </c>
      <c r="N1244" s="216">
        <v>50</v>
      </c>
      <c r="O1244" s="71">
        <v>43.1</v>
      </c>
      <c r="P1244" s="109">
        <v>27.7</v>
      </c>
    </row>
    <row r="1245" spans="1:16">
      <c r="A1245" s="306"/>
      <c r="B1245" s="289"/>
      <c r="C1245" s="307"/>
      <c r="D1245" s="117" t="s">
        <v>412</v>
      </c>
      <c r="E1245" t="s">
        <v>420</v>
      </c>
      <c r="G1245" t="s">
        <v>427</v>
      </c>
      <c r="H1245" s="107">
        <v>44561</v>
      </c>
      <c r="I1245" s="65"/>
      <c r="J1245">
        <v>49.6</v>
      </c>
      <c r="K1245" s="71">
        <v>52.2</v>
      </c>
      <c r="L1245" s="72">
        <v>41.2</v>
      </c>
      <c r="M1245" s="71">
        <v>34.6</v>
      </c>
      <c r="N1245" s="216">
        <v>30.3</v>
      </c>
      <c r="O1245" s="71">
        <v>12.6</v>
      </c>
      <c r="P1245" s="109">
        <v>10.6</v>
      </c>
    </row>
    <row r="1246" spans="1:16">
      <c r="A1246" s="306"/>
      <c r="B1246" s="289"/>
      <c r="C1246" s="307"/>
      <c r="D1246" s="117" t="s">
        <v>414</v>
      </c>
      <c r="G1246" t="s">
        <v>427</v>
      </c>
      <c r="H1246" s="107">
        <v>44561</v>
      </c>
      <c r="I1246" s="65"/>
      <c r="J1246">
        <v>105</v>
      </c>
      <c r="K1246" s="71">
        <v>114.2</v>
      </c>
      <c r="L1246" s="72">
        <v>98.9</v>
      </c>
      <c r="M1246" s="71">
        <v>88.9</v>
      </c>
      <c r="N1246" s="216">
        <v>80.3</v>
      </c>
      <c r="O1246" s="71">
        <v>55.8</v>
      </c>
      <c r="P1246" s="109">
        <v>38.299999999999997</v>
      </c>
    </row>
    <row r="1247" spans="1:16">
      <c r="A1247" s="306"/>
      <c r="B1247" s="289"/>
      <c r="C1247" s="307"/>
      <c r="D1247" s="117" t="s">
        <v>415</v>
      </c>
      <c r="E1247">
        <v>1</v>
      </c>
      <c r="G1247" t="s">
        <v>427</v>
      </c>
      <c r="H1247" s="107"/>
      <c r="I1247" s="65" t="s">
        <v>616</v>
      </c>
      <c r="K1247" s="71"/>
      <c r="L1247" s="72"/>
      <c r="M1247" s="71"/>
      <c r="N1247" s="216"/>
      <c r="O1247" s="71"/>
      <c r="P1247" s="109">
        <v>3932</v>
      </c>
    </row>
    <row r="1248" spans="1:16">
      <c r="A1248" s="306"/>
      <c r="B1248" s="289"/>
      <c r="C1248" s="307"/>
      <c r="D1248" s="117" t="s">
        <v>415</v>
      </c>
      <c r="E1248">
        <v>2</v>
      </c>
      <c r="G1248" t="s">
        <v>427</v>
      </c>
      <c r="H1248" s="107"/>
      <c r="I1248" s="65" t="s">
        <v>616</v>
      </c>
      <c r="K1248" s="71"/>
      <c r="L1248" s="72"/>
      <c r="M1248" s="71"/>
      <c r="N1248" s="216"/>
      <c r="O1248" s="71"/>
      <c r="P1248" s="109">
        <v>695</v>
      </c>
    </row>
    <row r="1249" spans="1:16">
      <c r="A1249" s="306"/>
      <c r="B1249" s="289"/>
      <c r="C1249" s="307"/>
      <c r="D1249" s="117" t="s">
        <v>415</v>
      </c>
      <c r="E1249">
        <v>3</v>
      </c>
      <c r="G1249" t="s">
        <v>427</v>
      </c>
      <c r="H1249" s="107"/>
      <c r="I1249" s="65" t="s">
        <v>616</v>
      </c>
      <c r="K1249" s="71"/>
      <c r="L1249" s="72"/>
      <c r="M1249" s="71"/>
      <c r="N1249" s="216"/>
      <c r="O1249" s="71"/>
      <c r="P1249" s="109">
        <v>161</v>
      </c>
    </row>
    <row r="1250" spans="1:16">
      <c r="A1250" s="306"/>
      <c r="B1250" s="289"/>
      <c r="C1250" s="307"/>
      <c r="D1250" s="117" t="s">
        <v>415</v>
      </c>
      <c r="E1250">
        <v>4</v>
      </c>
      <c r="G1250" t="s">
        <v>427</v>
      </c>
      <c r="H1250" s="107"/>
      <c r="I1250" s="65" t="s">
        <v>616</v>
      </c>
      <c r="K1250" s="71"/>
      <c r="L1250" s="72"/>
      <c r="M1250" s="71"/>
      <c r="N1250" s="216"/>
      <c r="O1250" s="71"/>
      <c r="P1250" s="109">
        <v>121</v>
      </c>
    </row>
    <row r="1251" spans="1:16">
      <c r="A1251" s="306"/>
      <c r="B1251" s="289"/>
      <c r="C1251" s="307"/>
      <c r="D1251" s="117" t="s">
        <v>415</v>
      </c>
      <c r="E1251">
        <v>5</v>
      </c>
      <c r="G1251" t="s">
        <v>427</v>
      </c>
      <c r="H1251" s="107"/>
      <c r="I1251" s="65" t="s">
        <v>616</v>
      </c>
      <c r="K1251" s="71"/>
      <c r="L1251" s="72"/>
      <c r="M1251" s="71"/>
      <c r="N1251" s="216"/>
      <c r="O1251" s="71"/>
      <c r="P1251" s="109">
        <v>18</v>
      </c>
    </row>
    <row r="1252" spans="1:16">
      <c r="A1252" s="306"/>
      <c r="B1252" s="289"/>
      <c r="C1252" s="307"/>
      <c r="D1252" s="117" t="s">
        <v>415</v>
      </c>
      <c r="E1252">
        <v>6</v>
      </c>
      <c r="G1252" t="s">
        <v>427</v>
      </c>
      <c r="H1252" s="107"/>
      <c r="I1252" s="65" t="s">
        <v>616</v>
      </c>
      <c r="K1252" s="71"/>
      <c r="L1252" s="72"/>
      <c r="M1252" s="71"/>
      <c r="N1252" s="216"/>
      <c r="O1252" s="71"/>
      <c r="P1252" s="109">
        <v>49</v>
      </c>
    </row>
    <row r="1253" spans="1:16">
      <c r="A1253" s="306"/>
      <c r="B1253" s="289"/>
      <c r="C1253" s="307"/>
      <c r="D1253" s="117" t="s">
        <v>415</v>
      </c>
      <c r="E1253">
        <v>7</v>
      </c>
      <c r="G1253" t="s">
        <v>427</v>
      </c>
      <c r="H1253" s="107"/>
      <c r="I1253" s="65" t="s">
        <v>616</v>
      </c>
      <c r="K1253" s="71"/>
      <c r="L1253" s="72"/>
      <c r="M1253" s="71"/>
      <c r="N1253" s="216"/>
      <c r="O1253" s="71"/>
      <c r="P1253" s="109">
        <v>96</v>
      </c>
    </row>
    <row r="1254" spans="1:16">
      <c r="A1254" s="306"/>
      <c r="B1254" s="289"/>
      <c r="C1254" s="307"/>
      <c r="D1254" s="117" t="s">
        <v>415</v>
      </c>
      <c r="E1254">
        <v>8</v>
      </c>
      <c r="G1254" t="s">
        <v>427</v>
      </c>
      <c r="H1254" s="107"/>
      <c r="I1254" s="65" t="s">
        <v>616</v>
      </c>
      <c r="K1254" s="71"/>
      <c r="L1254" s="72"/>
      <c r="M1254" s="71"/>
      <c r="N1254" s="216"/>
      <c r="O1254" s="71"/>
      <c r="P1254" s="109">
        <v>63</v>
      </c>
    </row>
    <row r="1255" spans="1:16">
      <c r="A1255" s="306"/>
      <c r="B1255" s="289"/>
      <c r="C1255" s="307"/>
      <c r="D1255" s="117" t="s">
        <v>415</v>
      </c>
      <c r="E1255">
        <v>9</v>
      </c>
      <c r="G1255" t="s">
        <v>427</v>
      </c>
      <c r="H1255" s="107"/>
      <c r="I1255" s="65" t="s">
        <v>616</v>
      </c>
      <c r="K1255" s="71"/>
      <c r="L1255" s="72"/>
      <c r="M1255" s="71"/>
      <c r="N1255" s="216"/>
      <c r="O1255" s="71"/>
      <c r="P1255" s="109">
        <v>852</v>
      </c>
    </row>
    <row r="1256" spans="1:16">
      <c r="A1256" s="306"/>
      <c r="B1256" s="289"/>
      <c r="C1256" s="307"/>
      <c r="D1256" s="117" t="s">
        <v>415</v>
      </c>
      <c r="E1256">
        <v>10</v>
      </c>
      <c r="G1256" t="s">
        <v>427</v>
      </c>
      <c r="H1256" s="107"/>
      <c r="I1256" s="65" t="s">
        <v>616</v>
      </c>
      <c r="K1256" s="71"/>
      <c r="L1256" s="72"/>
      <c r="M1256" s="71"/>
      <c r="N1256" s="216"/>
      <c r="O1256" s="71"/>
      <c r="P1256" s="109"/>
    </row>
    <row r="1257" spans="1:16">
      <c r="A1257" s="306"/>
      <c r="B1257" s="289"/>
      <c r="C1257" s="307"/>
      <c r="D1257" s="117" t="s">
        <v>415</v>
      </c>
      <c r="E1257">
        <v>11</v>
      </c>
      <c r="G1257" t="s">
        <v>427</v>
      </c>
      <c r="H1257" s="107"/>
      <c r="I1257" s="65" t="s">
        <v>616</v>
      </c>
      <c r="K1257" s="71"/>
      <c r="L1257" s="72"/>
      <c r="M1257" s="71"/>
      <c r="N1257" s="216"/>
      <c r="O1257" s="71"/>
      <c r="P1257" s="109">
        <v>5737</v>
      </c>
    </row>
    <row r="1258" spans="1:16">
      <c r="A1258" s="306"/>
      <c r="B1258" s="289"/>
      <c r="C1258" s="307"/>
      <c r="D1258" s="117" t="s">
        <v>415</v>
      </c>
      <c r="E1258">
        <v>12</v>
      </c>
      <c r="G1258" t="s">
        <v>427</v>
      </c>
      <c r="H1258" s="107"/>
      <c r="I1258" s="65" t="s">
        <v>616</v>
      </c>
      <c r="K1258" s="71"/>
      <c r="L1258" s="72"/>
      <c r="M1258" s="71"/>
      <c r="N1258" s="216"/>
      <c r="O1258" s="71"/>
      <c r="P1258" s="109">
        <v>675</v>
      </c>
    </row>
    <row r="1259" spans="1:16">
      <c r="A1259" s="306"/>
      <c r="B1259" s="289"/>
      <c r="C1259" s="307"/>
      <c r="D1259" s="117" t="s">
        <v>415</v>
      </c>
      <c r="E1259">
        <v>13</v>
      </c>
      <c r="G1259" t="s">
        <v>427</v>
      </c>
      <c r="H1259" s="107"/>
      <c r="I1259" s="65" t="s">
        <v>616</v>
      </c>
      <c r="K1259" s="71"/>
      <c r="L1259" s="72"/>
      <c r="M1259" s="71"/>
      <c r="N1259" s="216"/>
      <c r="O1259" s="71"/>
      <c r="P1259" s="109"/>
    </row>
    <row r="1260" spans="1:16">
      <c r="A1260" s="306"/>
      <c r="B1260" s="289"/>
      <c r="C1260" s="307"/>
      <c r="D1260" s="117" t="s">
        <v>415</v>
      </c>
      <c r="E1260">
        <v>14</v>
      </c>
      <c r="G1260" t="s">
        <v>427</v>
      </c>
      <c r="H1260" s="107"/>
      <c r="I1260" s="65" t="s">
        <v>616</v>
      </c>
      <c r="K1260" s="71"/>
      <c r="L1260" s="72"/>
      <c r="M1260" s="71"/>
      <c r="N1260" s="216"/>
      <c r="O1260" s="71"/>
      <c r="P1260" s="109"/>
    </row>
    <row r="1261" spans="1:16">
      <c r="A1261" s="306"/>
      <c r="B1261" s="289"/>
      <c r="C1261" s="307"/>
      <c r="D1261" s="117" t="s">
        <v>415</v>
      </c>
      <c r="E1261">
        <v>15</v>
      </c>
      <c r="G1261" t="s">
        <v>427</v>
      </c>
      <c r="H1261" s="107"/>
      <c r="I1261" s="65" t="s">
        <v>616</v>
      </c>
      <c r="K1261" s="71"/>
      <c r="L1261" s="72"/>
      <c r="M1261" s="71"/>
      <c r="N1261" s="216"/>
      <c r="O1261" s="71"/>
      <c r="P1261" s="109">
        <v>89</v>
      </c>
    </row>
    <row r="1262" spans="1:16">
      <c r="A1262" s="306"/>
      <c r="B1262" s="289"/>
      <c r="C1262" s="307"/>
      <c r="D1262" s="117" t="s">
        <v>415</v>
      </c>
      <c r="E1262" t="s">
        <v>416</v>
      </c>
      <c r="G1262" t="s">
        <v>427</v>
      </c>
      <c r="H1262" s="107">
        <v>44561</v>
      </c>
      <c r="I1262" s="65"/>
      <c r="K1262" s="71"/>
      <c r="L1262" s="72"/>
      <c r="M1262" s="71"/>
      <c r="N1262" s="216">
        <v>11682</v>
      </c>
      <c r="O1262" s="71">
        <v>11169</v>
      </c>
      <c r="P1262" s="109">
        <v>12488</v>
      </c>
    </row>
    <row r="1263" spans="1:16">
      <c r="A1263" s="306"/>
      <c r="B1263" s="289"/>
      <c r="C1263" s="307"/>
      <c r="D1263" s="117" t="s">
        <v>417</v>
      </c>
      <c r="E1263" t="s">
        <v>661</v>
      </c>
      <c r="G1263" t="s">
        <v>675</v>
      </c>
      <c r="H1263" s="107">
        <v>44561</v>
      </c>
      <c r="I1263" s="65"/>
      <c r="J1263">
        <v>25.26</v>
      </c>
      <c r="K1263" s="71">
        <v>25.84</v>
      </c>
      <c r="L1263" s="72">
        <v>26.02</v>
      </c>
      <c r="M1263" s="71">
        <v>26.94</v>
      </c>
      <c r="N1263" s="216">
        <v>29.87</v>
      </c>
      <c r="O1263" s="71">
        <v>27.99</v>
      </c>
      <c r="P1263" s="109">
        <v>32.28</v>
      </c>
    </row>
    <row r="1264" spans="1:16">
      <c r="A1264" s="306"/>
      <c r="B1264" s="289"/>
      <c r="C1264" s="307"/>
      <c r="D1264" s="118" t="s">
        <v>418</v>
      </c>
      <c r="H1264" s="107">
        <v>44561</v>
      </c>
      <c r="I1264" s="65"/>
      <c r="K1264" s="71"/>
      <c r="L1264" s="72"/>
      <c r="M1264" s="71"/>
      <c r="N1264" s="216"/>
      <c r="O1264" s="71"/>
      <c r="P1264" s="207" t="s">
        <v>676</v>
      </c>
    </row>
    <row r="1265" spans="1:16">
      <c r="A1265" s="316"/>
      <c r="B1265" s="293"/>
      <c r="C1265" s="318"/>
      <c r="D1265" s="119" t="s">
        <v>418</v>
      </c>
      <c r="H1265" s="107">
        <v>44561</v>
      </c>
      <c r="I1265" s="107" t="s">
        <v>616</v>
      </c>
      <c r="K1265" s="71"/>
      <c r="L1265" s="72"/>
      <c r="M1265" s="71"/>
      <c r="N1265" s="216"/>
      <c r="O1265" s="71"/>
      <c r="P1265" s="111" t="s">
        <v>1059</v>
      </c>
    </row>
    <row r="1266" spans="1:16">
      <c r="A1266" s="306" t="s">
        <v>865</v>
      </c>
      <c r="B1266" s="292">
        <v>0</v>
      </c>
      <c r="C1266" s="307" t="s">
        <v>866</v>
      </c>
      <c r="D1266" s="123" t="s">
        <v>411</v>
      </c>
      <c r="E1266" t="s">
        <v>677</v>
      </c>
      <c r="G1266" t="s">
        <v>428</v>
      </c>
      <c r="H1266" s="107">
        <v>44561</v>
      </c>
      <c r="I1266" s="109">
        <v>139374</v>
      </c>
      <c r="K1266" s="71"/>
      <c r="L1266" s="72"/>
      <c r="M1266" s="71"/>
      <c r="N1266" s="216">
        <v>103140</v>
      </c>
      <c r="O1266" s="71">
        <v>133707</v>
      </c>
      <c r="P1266" s="72">
        <v>139608</v>
      </c>
    </row>
    <row r="1267" spans="1:16">
      <c r="A1267" s="306"/>
      <c r="B1267" s="289"/>
      <c r="C1267" s="307"/>
      <c r="D1267" s="123" t="s">
        <v>411</v>
      </c>
      <c r="E1267" t="s">
        <v>678</v>
      </c>
      <c r="G1267" t="s">
        <v>428</v>
      </c>
      <c r="H1267" s="107">
        <v>44561</v>
      </c>
      <c r="I1267" s="109">
        <v>4700</v>
      </c>
      <c r="K1267" s="71"/>
      <c r="L1267" s="72"/>
      <c r="M1267" s="71"/>
      <c r="N1267" s="216">
        <v>7</v>
      </c>
      <c r="O1267" s="71">
        <v>3924.9999999999995</v>
      </c>
      <c r="P1267" s="72">
        <v>3574</v>
      </c>
    </row>
    <row r="1268" spans="1:16">
      <c r="A1268" s="306"/>
      <c r="B1268" s="289"/>
      <c r="C1268" s="307"/>
      <c r="D1268" s="123" t="s">
        <v>411</v>
      </c>
      <c r="G1268" t="s">
        <v>428</v>
      </c>
      <c r="H1268" s="107">
        <v>44561</v>
      </c>
      <c r="I1268" s="109">
        <f>SUM(I1266:I1267)</f>
        <v>144074</v>
      </c>
      <c r="K1268" s="71"/>
      <c r="L1268" s="72"/>
      <c r="M1268" s="71"/>
      <c r="N1268" s="216">
        <f t="shared" ref="N1268:P1268" si="36">SUM(N1266:N1267)</f>
        <v>103147</v>
      </c>
      <c r="O1268" s="71">
        <f t="shared" si="36"/>
        <v>137632</v>
      </c>
      <c r="P1268" s="72">
        <f t="shared" si="36"/>
        <v>143182</v>
      </c>
    </row>
    <row r="1269" spans="1:16">
      <c r="A1269" s="306"/>
      <c r="B1269" s="289"/>
      <c r="C1269" s="307"/>
      <c r="D1269" s="117" t="s">
        <v>412</v>
      </c>
      <c r="E1269" t="s">
        <v>679</v>
      </c>
      <c r="G1269" t="s">
        <v>428</v>
      </c>
      <c r="H1269" s="107">
        <v>44561</v>
      </c>
      <c r="I1269" s="109">
        <v>106879</v>
      </c>
      <c r="K1269" s="71"/>
      <c r="L1269" s="72"/>
      <c r="M1269" s="71"/>
      <c r="N1269" s="216">
        <v>51429</v>
      </c>
      <c r="O1269" s="71">
        <v>54075</v>
      </c>
      <c r="P1269" s="72">
        <v>31090</v>
      </c>
    </row>
    <row r="1270" spans="1:16">
      <c r="A1270" s="306"/>
      <c r="B1270" s="289"/>
      <c r="C1270" s="307"/>
      <c r="D1270" s="117" t="s">
        <v>412</v>
      </c>
      <c r="E1270" t="s">
        <v>678</v>
      </c>
      <c r="G1270" t="s">
        <v>428</v>
      </c>
      <c r="H1270" s="107">
        <v>44561</v>
      </c>
      <c r="I1270" s="109"/>
      <c r="K1270" s="71"/>
      <c r="L1270" s="72"/>
      <c r="M1270" s="71"/>
      <c r="N1270" s="216">
        <v>0</v>
      </c>
      <c r="O1270" s="71">
        <v>1333</v>
      </c>
      <c r="P1270" s="72">
        <v>397</v>
      </c>
    </row>
    <row r="1271" spans="1:16">
      <c r="A1271" s="306"/>
      <c r="B1271" s="289"/>
      <c r="C1271" s="307"/>
      <c r="D1271" s="117" t="s">
        <v>412</v>
      </c>
      <c r="G1271" t="s">
        <v>428</v>
      </c>
      <c r="H1271" s="107">
        <v>44561</v>
      </c>
      <c r="I1271" s="109">
        <f>SUM(I1269:I1270)</f>
        <v>106879</v>
      </c>
      <c r="K1271" s="71"/>
      <c r="L1271" s="72"/>
      <c r="M1271" s="71"/>
      <c r="N1271" s="216">
        <f t="shared" ref="N1271:P1271" si="37">SUM(N1269:N1270)</f>
        <v>51429</v>
      </c>
      <c r="O1271" s="71">
        <f t="shared" si="37"/>
        <v>55408</v>
      </c>
      <c r="P1271" s="72">
        <f t="shared" si="37"/>
        <v>31487</v>
      </c>
    </row>
    <row r="1272" spans="1:16">
      <c r="A1272" s="306"/>
      <c r="B1272" s="289"/>
      <c r="C1272" s="307"/>
      <c r="D1272" s="117" t="s">
        <v>414</v>
      </c>
      <c r="G1272" t="s">
        <v>428</v>
      </c>
      <c r="H1272" s="107">
        <v>44561</v>
      </c>
      <c r="I1272" s="124">
        <f>I1268+I1271</f>
        <v>250953</v>
      </c>
      <c r="K1272" s="71"/>
      <c r="L1272" s="72"/>
      <c r="M1272" s="71"/>
      <c r="N1272" s="216">
        <f t="shared" ref="N1272:P1272" si="38">N1268+N1271</f>
        <v>154576</v>
      </c>
      <c r="O1272" s="71">
        <f t="shared" si="38"/>
        <v>193040</v>
      </c>
      <c r="P1272" s="72">
        <f t="shared" si="38"/>
        <v>174669</v>
      </c>
    </row>
    <row r="1273" spans="1:16">
      <c r="A1273" s="306"/>
      <c r="B1273" s="289"/>
      <c r="C1273" s="307"/>
      <c r="D1273" s="121" t="s">
        <v>415</v>
      </c>
      <c r="G1273" t="s">
        <v>428</v>
      </c>
      <c r="H1273" s="107">
        <v>44561</v>
      </c>
      <c r="I1273" s="109"/>
      <c r="K1273" s="71"/>
      <c r="L1273" s="72"/>
      <c r="M1273" s="71"/>
      <c r="N1273" s="216">
        <v>1827968</v>
      </c>
      <c r="O1273" s="71">
        <v>2196276.0000000005</v>
      </c>
      <c r="P1273" s="72">
        <v>2139588.0000000005</v>
      </c>
    </row>
    <row r="1274" spans="1:16">
      <c r="A1274" s="306"/>
      <c r="B1274" s="289"/>
      <c r="C1274" s="307"/>
      <c r="D1274" s="126" t="s">
        <v>415</v>
      </c>
      <c r="E1274" t="s">
        <v>653</v>
      </c>
      <c r="G1274" t="s">
        <v>428</v>
      </c>
      <c r="H1274" s="107">
        <v>44561</v>
      </c>
      <c r="I1274" s="109">
        <f>SUM(I1275:I1277)</f>
        <v>1917037</v>
      </c>
      <c r="K1274" s="71"/>
      <c r="L1274" s="72"/>
      <c r="M1274" s="71"/>
      <c r="N1274" s="216">
        <f>SUM(N1275:N1277)</f>
        <v>1535966</v>
      </c>
      <c r="O1274" s="71">
        <f t="shared" ref="O1274" si="39">SUM(O1275:O1277)</f>
        <v>1901374</v>
      </c>
      <c r="P1274" s="72">
        <f>SUM(P1275:P1277)</f>
        <v>1902794</v>
      </c>
    </row>
    <row r="1275" spans="1:16">
      <c r="A1275" s="306"/>
      <c r="B1275" s="289"/>
      <c r="C1275" s="307"/>
      <c r="D1275" s="126" t="s">
        <v>415</v>
      </c>
      <c r="E1275" s="97" t="s">
        <v>680</v>
      </c>
      <c r="F1275" s="97"/>
      <c r="G1275" t="s">
        <v>428</v>
      </c>
      <c r="H1275" s="107">
        <v>44561</v>
      </c>
      <c r="I1275" s="109">
        <v>1691701</v>
      </c>
      <c r="K1275" s="71"/>
      <c r="L1275" s="72"/>
      <c r="M1275" s="71"/>
      <c r="N1275" s="216">
        <v>1326732</v>
      </c>
      <c r="O1275" s="71">
        <v>1676242</v>
      </c>
      <c r="P1275" s="72">
        <v>1677400</v>
      </c>
    </row>
    <row r="1276" spans="1:16">
      <c r="A1276" s="306"/>
      <c r="B1276" s="289"/>
      <c r="C1276" s="307"/>
      <c r="D1276" s="126" t="s">
        <v>415</v>
      </c>
      <c r="E1276" s="97" t="s">
        <v>681</v>
      </c>
      <c r="F1276" s="97"/>
      <c r="G1276" t="s">
        <v>428</v>
      </c>
      <c r="H1276" s="107">
        <v>44561</v>
      </c>
      <c r="I1276" s="109">
        <v>146856</v>
      </c>
      <c r="K1276" s="71"/>
      <c r="L1276" s="72"/>
      <c r="M1276" s="71"/>
      <c r="N1276" s="216">
        <v>135249</v>
      </c>
      <c r="O1276" s="71">
        <v>132686</v>
      </c>
      <c r="P1276" s="72">
        <v>133055</v>
      </c>
    </row>
    <row r="1277" spans="1:16">
      <c r="A1277" s="306"/>
      <c r="B1277" s="289"/>
      <c r="C1277" s="307"/>
      <c r="D1277" s="126" t="s">
        <v>415</v>
      </c>
      <c r="E1277" s="97" t="s">
        <v>682</v>
      </c>
      <c r="F1277" s="97"/>
      <c r="G1277" t="s">
        <v>428</v>
      </c>
      <c r="H1277" s="107">
        <v>44561</v>
      </c>
      <c r="I1277" s="109">
        <v>78480</v>
      </c>
      <c r="K1277" s="71"/>
      <c r="L1277" s="72"/>
      <c r="M1277" s="71"/>
      <c r="N1277" s="216">
        <v>73985</v>
      </c>
      <c r="O1277" s="71">
        <v>92446</v>
      </c>
      <c r="P1277" s="72">
        <v>92339</v>
      </c>
    </row>
    <row r="1278" spans="1:16">
      <c r="A1278" s="306"/>
      <c r="B1278" s="289"/>
      <c r="C1278" s="307"/>
      <c r="D1278" s="126" t="s">
        <v>415</v>
      </c>
      <c r="E1278" t="s">
        <v>654</v>
      </c>
      <c r="G1278" t="s">
        <v>428</v>
      </c>
      <c r="H1278" s="107">
        <v>44561</v>
      </c>
      <c r="I1278" s="109">
        <v>51722</v>
      </c>
      <c r="K1278" s="71"/>
      <c r="L1278" s="72"/>
      <c r="M1278" s="71"/>
      <c r="N1278" s="216">
        <v>107548</v>
      </c>
      <c r="O1278" s="71">
        <v>72797</v>
      </c>
      <c r="P1278" s="72">
        <v>56003</v>
      </c>
    </row>
    <row r="1279" spans="1:16">
      <c r="A1279" s="306"/>
      <c r="B1279" s="289"/>
      <c r="C1279" s="307"/>
      <c r="D1279" s="126" t="s">
        <v>415</v>
      </c>
      <c r="E1279" t="s">
        <v>683</v>
      </c>
      <c r="G1279" t="s">
        <v>428</v>
      </c>
      <c r="H1279" s="107">
        <v>44561</v>
      </c>
      <c r="I1279" s="109">
        <v>105744</v>
      </c>
      <c r="K1279" s="71"/>
      <c r="L1279" s="72"/>
      <c r="M1279" s="71"/>
      <c r="N1279" s="216">
        <v>50261</v>
      </c>
      <c r="O1279" s="71">
        <v>68001</v>
      </c>
      <c r="P1279" s="72">
        <v>36349</v>
      </c>
    </row>
    <row r="1280" spans="1:16">
      <c r="A1280" s="306"/>
      <c r="B1280" s="289"/>
      <c r="C1280" s="307"/>
      <c r="D1280" s="126" t="s">
        <v>415</v>
      </c>
      <c r="E1280" t="s">
        <v>655</v>
      </c>
      <c r="G1280" t="s">
        <v>428</v>
      </c>
      <c r="H1280" s="107">
        <v>44561</v>
      </c>
      <c r="I1280" s="109">
        <v>29674</v>
      </c>
      <c r="K1280" s="71"/>
      <c r="L1280" s="72"/>
      <c r="M1280" s="71"/>
      <c r="N1280" s="216">
        <v>31545.999999999996</v>
      </c>
      <c r="O1280" s="71">
        <v>42320</v>
      </c>
      <c r="P1280" s="72">
        <v>39990</v>
      </c>
    </row>
    <row r="1281" spans="1:16">
      <c r="A1281" s="306"/>
      <c r="B1281" s="289"/>
      <c r="C1281" s="307"/>
      <c r="D1281" s="126" t="s">
        <v>415</v>
      </c>
      <c r="E1281" t="s">
        <v>685</v>
      </c>
      <c r="G1281" t="s">
        <v>428</v>
      </c>
      <c r="H1281" s="107">
        <v>44561</v>
      </c>
      <c r="I1281" s="109">
        <v>19321</v>
      </c>
      <c r="K1281" s="71"/>
      <c r="L1281" s="72"/>
      <c r="M1281" s="71"/>
      <c r="N1281" s="216">
        <v>16882</v>
      </c>
      <c r="O1281" s="71">
        <v>22644</v>
      </c>
      <c r="P1281" s="72">
        <v>24084</v>
      </c>
    </row>
    <row r="1282" spans="1:16">
      <c r="A1282" s="306"/>
      <c r="B1282" s="289"/>
      <c r="C1282" s="307"/>
      <c r="D1282" s="126" t="s">
        <v>415</v>
      </c>
      <c r="E1282" t="s">
        <v>656</v>
      </c>
      <c r="G1282" t="s">
        <v>428</v>
      </c>
      <c r="H1282" s="107">
        <v>44561</v>
      </c>
      <c r="I1282" s="109">
        <v>24461</v>
      </c>
      <c r="K1282" s="71"/>
      <c r="L1282" s="72"/>
      <c r="M1282" s="71"/>
      <c r="N1282" s="216">
        <v>23437</v>
      </c>
      <c r="O1282" s="71">
        <v>12587</v>
      </c>
      <c r="P1282" s="72">
        <v>1794</v>
      </c>
    </row>
    <row r="1283" spans="1:16">
      <c r="A1283" s="306"/>
      <c r="B1283" s="289"/>
      <c r="C1283" s="307"/>
      <c r="D1283" s="126" t="s">
        <v>415</v>
      </c>
      <c r="E1283" t="s">
        <v>657</v>
      </c>
      <c r="G1283" t="s">
        <v>428</v>
      </c>
      <c r="H1283" s="107">
        <v>44561</v>
      </c>
      <c r="I1283" s="109">
        <v>21516</v>
      </c>
      <c r="K1283" s="71"/>
      <c r="L1283" s="72"/>
      <c r="M1283" s="71"/>
      <c r="N1283" s="216">
        <v>14920</v>
      </c>
      <c r="O1283" s="71">
        <v>20454</v>
      </c>
      <c r="P1283" s="72">
        <v>13277</v>
      </c>
    </row>
    <row r="1284" spans="1:16">
      <c r="A1284" s="306"/>
      <c r="B1284" s="289"/>
      <c r="C1284" s="307"/>
      <c r="D1284" s="126" t="s">
        <v>415</v>
      </c>
      <c r="E1284" t="s">
        <v>1216</v>
      </c>
      <c r="G1284" t="s">
        <v>428</v>
      </c>
      <c r="H1284" s="107">
        <v>44561</v>
      </c>
      <c r="I1284" s="127">
        <f t="shared" ref="I1284" si="40">SUM(I1285:I1286)</f>
        <v>54615</v>
      </c>
      <c r="K1284" s="71"/>
      <c r="L1284" s="72"/>
      <c r="M1284" s="71"/>
      <c r="N1284" s="216">
        <f t="shared" ref="N1284:O1284" si="41">SUM(N1285:N1286)</f>
        <v>47407</v>
      </c>
      <c r="O1284" s="71">
        <f t="shared" si="41"/>
        <v>56099</v>
      </c>
      <c r="P1284" s="72">
        <f>SUM(P1285:P1286)</f>
        <v>65297</v>
      </c>
    </row>
    <row r="1285" spans="1:16">
      <c r="A1285" s="306"/>
      <c r="B1285" s="289"/>
      <c r="C1285" s="307"/>
      <c r="D1285" s="121" t="s">
        <v>415</v>
      </c>
      <c r="E1285" s="97" t="s">
        <v>687</v>
      </c>
      <c r="F1285" s="97"/>
      <c r="G1285" t="s">
        <v>428</v>
      </c>
      <c r="H1285" s="107">
        <v>44561</v>
      </c>
      <c r="I1285" s="109">
        <v>39503</v>
      </c>
      <c r="K1285" s="71"/>
      <c r="L1285" s="72"/>
      <c r="M1285" s="71"/>
      <c r="N1285" s="216">
        <v>32757</v>
      </c>
      <c r="O1285" s="71">
        <v>38172</v>
      </c>
      <c r="P1285" s="72">
        <v>42343</v>
      </c>
    </row>
    <row r="1286" spans="1:16">
      <c r="A1286" s="306"/>
      <c r="B1286" s="289"/>
      <c r="C1286" s="307"/>
      <c r="D1286" s="121" t="s">
        <v>415</v>
      </c>
      <c r="E1286" s="97" t="s">
        <v>688</v>
      </c>
      <c r="F1286" s="97"/>
      <c r="G1286" t="s">
        <v>428</v>
      </c>
      <c r="H1286" s="107">
        <v>44561</v>
      </c>
      <c r="I1286" s="109">
        <v>15112</v>
      </c>
      <c r="K1286" s="71"/>
      <c r="L1286" s="72"/>
      <c r="M1286" s="71"/>
      <c r="N1286" s="216">
        <v>14650</v>
      </c>
      <c r="O1286" s="71">
        <v>17927</v>
      </c>
      <c r="P1286" s="72">
        <v>22954</v>
      </c>
    </row>
    <row r="1287" spans="1:16">
      <c r="A1287" s="306"/>
      <c r="B1287" s="289"/>
      <c r="C1287" s="307"/>
      <c r="D1287" s="117" t="s">
        <v>417</v>
      </c>
      <c r="E1287" t="s">
        <v>661</v>
      </c>
      <c r="G1287" t="s">
        <v>689</v>
      </c>
      <c r="H1287" s="107">
        <v>44561</v>
      </c>
      <c r="I1287" s="65"/>
      <c r="K1287" s="71">
        <v>4663</v>
      </c>
      <c r="L1287" s="72">
        <v>5051</v>
      </c>
      <c r="M1287" s="71">
        <v>5527</v>
      </c>
      <c r="N1287" s="216">
        <v>6203</v>
      </c>
      <c r="O1287" s="71">
        <v>6322</v>
      </c>
      <c r="P1287" s="72">
        <v>6684</v>
      </c>
    </row>
    <row r="1288" spans="1:16">
      <c r="A1288" s="306"/>
      <c r="B1288" s="289"/>
      <c r="C1288" s="307"/>
      <c r="D1288" s="118" t="s">
        <v>418</v>
      </c>
      <c r="H1288" s="107">
        <v>44561</v>
      </c>
      <c r="I1288" s="65"/>
      <c r="K1288" s="71"/>
      <c r="L1288" s="72"/>
      <c r="M1288" s="71"/>
      <c r="N1288" s="216"/>
      <c r="O1288" s="71" t="s">
        <v>690</v>
      </c>
      <c r="P1288" s="72" t="s">
        <v>691</v>
      </c>
    </row>
    <row r="1289" spans="1:16">
      <c r="A1289" s="316"/>
      <c r="B1289" s="293"/>
      <c r="C1289" s="318"/>
      <c r="D1289" s="117"/>
      <c r="H1289" s="107"/>
      <c r="I1289" s="107" t="s">
        <v>692</v>
      </c>
      <c r="K1289" s="71"/>
      <c r="L1289" s="72"/>
      <c r="M1289" s="71"/>
      <c r="N1289" s="216"/>
      <c r="O1289" s="71"/>
      <c r="P1289" s="72"/>
    </row>
    <row r="1290" spans="1:16">
      <c r="A1290" s="306" t="s">
        <v>865</v>
      </c>
      <c r="B1290" s="292">
        <v>0</v>
      </c>
      <c r="C1290" s="307" t="s">
        <v>866</v>
      </c>
      <c r="D1290" s="123" t="s">
        <v>411</v>
      </c>
      <c r="E1290" t="s">
        <v>677</v>
      </c>
      <c r="G1290" t="s">
        <v>428</v>
      </c>
      <c r="H1290" s="107">
        <v>44196</v>
      </c>
      <c r="I1290" s="129">
        <v>100023</v>
      </c>
      <c r="K1290" s="71"/>
      <c r="L1290" s="72"/>
      <c r="M1290" s="71"/>
      <c r="N1290" s="216">
        <v>103140</v>
      </c>
      <c r="O1290" s="71">
        <v>98180</v>
      </c>
      <c r="P1290" s="72"/>
    </row>
    <row r="1291" spans="1:16">
      <c r="A1291" s="306"/>
      <c r="B1291" s="289"/>
      <c r="C1291" s="307"/>
      <c r="D1291" s="123" t="s">
        <v>411</v>
      </c>
      <c r="E1291" t="s">
        <v>678</v>
      </c>
      <c r="G1291" t="s">
        <v>428</v>
      </c>
      <c r="H1291" s="107">
        <v>44196</v>
      </c>
      <c r="I1291" s="129">
        <v>0</v>
      </c>
      <c r="K1291" s="71"/>
      <c r="L1291" s="72"/>
      <c r="M1291" s="71"/>
      <c r="N1291" s="216">
        <v>7</v>
      </c>
      <c r="O1291" s="71">
        <v>22</v>
      </c>
      <c r="P1291" s="72"/>
    </row>
    <row r="1292" spans="1:16">
      <c r="A1292" s="306"/>
      <c r="B1292" s="289"/>
      <c r="C1292" s="307"/>
      <c r="D1292" s="123" t="s">
        <v>411</v>
      </c>
      <c r="G1292" t="s">
        <v>428</v>
      </c>
      <c r="H1292" s="107">
        <v>44196</v>
      </c>
      <c r="I1292" s="109">
        <f>SUM(I1290:I1291)</f>
        <v>100023</v>
      </c>
      <c r="K1292" s="71"/>
      <c r="L1292" s="72"/>
      <c r="M1292" s="71"/>
      <c r="N1292" s="216">
        <f t="shared" ref="N1292:O1292" si="42">SUM(N1290:N1291)</f>
        <v>103147</v>
      </c>
      <c r="O1292" s="71">
        <f t="shared" si="42"/>
        <v>98202</v>
      </c>
      <c r="P1292" s="72"/>
    </row>
    <row r="1293" spans="1:16">
      <c r="A1293" s="306"/>
      <c r="B1293" s="289"/>
      <c r="C1293" s="307"/>
      <c r="D1293" s="117" t="s">
        <v>412</v>
      </c>
      <c r="E1293" t="s">
        <v>679</v>
      </c>
      <c r="G1293" t="s">
        <v>428</v>
      </c>
      <c r="H1293" s="107">
        <v>44196</v>
      </c>
      <c r="I1293" s="129">
        <v>89787</v>
      </c>
      <c r="K1293" s="71"/>
      <c r="L1293" s="72"/>
      <c r="M1293" s="71"/>
      <c r="N1293" s="216">
        <v>51429</v>
      </c>
      <c r="O1293" s="71">
        <v>34492</v>
      </c>
      <c r="P1293" s="72"/>
    </row>
    <row r="1294" spans="1:16">
      <c r="A1294" s="306"/>
      <c r="B1294" s="289"/>
      <c r="C1294" s="307"/>
      <c r="D1294" s="117" t="s">
        <v>412</v>
      </c>
      <c r="E1294" t="s">
        <v>678</v>
      </c>
      <c r="G1294" t="s">
        <v>428</v>
      </c>
      <c r="H1294" s="107">
        <v>44196</v>
      </c>
      <c r="I1294" s="129">
        <v>0</v>
      </c>
      <c r="K1294" s="71"/>
      <c r="L1294" s="72"/>
      <c r="M1294" s="71"/>
      <c r="N1294" s="216">
        <v>0</v>
      </c>
      <c r="O1294" s="71">
        <v>0</v>
      </c>
      <c r="P1294" s="72"/>
    </row>
    <row r="1295" spans="1:16">
      <c r="A1295" s="306"/>
      <c r="B1295" s="289"/>
      <c r="C1295" s="307"/>
      <c r="D1295" s="117" t="s">
        <v>412</v>
      </c>
      <c r="G1295" t="s">
        <v>428</v>
      </c>
      <c r="H1295" s="107">
        <v>44196</v>
      </c>
      <c r="I1295" s="109">
        <f>SUM(I1293:I1294)</f>
        <v>89787</v>
      </c>
      <c r="K1295" s="71"/>
      <c r="L1295" s="72"/>
      <c r="M1295" s="71"/>
      <c r="N1295" s="216">
        <f t="shared" ref="N1295:O1295" si="43">SUM(N1293:N1294)</f>
        <v>51429</v>
      </c>
      <c r="O1295" s="71">
        <f t="shared" si="43"/>
        <v>34492</v>
      </c>
      <c r="P1295" s="72"/>
    </row>
    <row r="1296" spans="1:16">
      <c r="A1296" s="306"/>
      <c r="B1296" s="289"/>
      <c r="C1296" s="307"/>
      <c r="D1296" s="117" t="s">
        <v>414</v>
      </c>
      <c r="G1296" t="s">
        <v>428</v>
      </c>
      <c r="H1296" s="107">
        <v>44196</v>
      </c>
      <c r="I1296" s="124">
        <f>I1292+I1295</f>
        <v>189810</v>
      </c>
      <c r="K1296" s="71"/>
      <c r="L1296" s="72"/>
      <c r="M1296" s="71"/>
      <c r="N1296" s="216">
        <f t="shared" ref="N1296:O1296" si="44">N1292+N1295</f>
        <v>154576</v>
      </c>
      <c r="O1296" s="71">
        <f t="shared" si="44"/>
        <v>132694</v>
      </c>
      <c r="P1296" s="72"/>
    </row>
    <row r="1297" spans="1:16">
      <c r="A1297" s="306"/>
      <c r="B1297" s="289"/>
      <c r="C1297" s="307"/>
      <c r="D1297" s="121" t="s">
        <v>415</v>
      </c>
      <c r="G1297" t="s">
        <v>428</v>
      </c>
      <c r="H1297" s="107">
        <v>44196</v>
      </c>
      <c r="I1297" s="131">
        <f>I1308+I1302+I1303+I1304+I1305+I1306+I1307+I1298</f>
        <v>1692335</v>
      </c>
      <c r="K1297" s="71"/>
      <c r="L1297" s="72"/>
      <c r="M1297" s="71"/>
      <c r="N1297" s="216">
        <f>N1308+N1302+N1303+N1304+N1305+N1306+N1307+N1298</f>
        <v>1827967</v>
      </c>
      <c r="O1297" s="71">
        <f>O1308+O1302+O1303+O1304+O1305+O1306+O1307+O1298</f>
        <v>1877341</v>
      </c>
      <c r="P1297" s="72"/>
    </row>
    <row r="1298" spans="1:16">
      <c r="A1298" s="306"/>
      <c r="B1298" s="289"/>
      <c r="C1298" s="307"/>
      <c r="D1298" s="126" t="s">
        <v>415</v>
      </c>
      <c r="E1298" t="s">
        <v>653</v>
      </c>
      <c r="G1298" t="s">
        <v>428</v>
      </c>
      <c r="H1298" s="107">
        <v>44196</v>
      </c>
      <c r="I1298" s="129">
        <f>SUM(I1299:I1301)</f>
        <v>1443720</v>
      </c>
      <c r="K1298" s="71"/>
      <c r="L1298" s="72"/>
      <c r="M1298" s="71"/>
      <c r="N1298" s="216">
        <f>SUM(N1299:N1301)</f>
        <v>1535966</v>
      </c>
      <c r="O1298" s="71">
        <f t="shared" ref="O1298" si="45">SUM(O1299:O1301)</f>
        <v>1622390</v>
      </c>
      <c r="P1298" s="72"/>
    </row>
    <row r="1299" spans="1:16">
      <c r="A1299" s="306"/>
      <c r="B1299" s="289"/>
      <c r="C1299" s="307"/>
      <c r="D1299" s="126" t="s">
        <v>415</v>
      </c>
      <c r="E1299" s="97" t="s">
        <v>680</v>
      </c>
      <c r="F1299" s="97"/>
      <c r="G1299" t="s">
        <v>428</v>
      </c>
      <c r="H1299" s="107">
        <v>44196</v>
      </c>
      <c r="I1299" s="129">
        <v>1234136</v>
      </c>
      <c r="K1299" s="71"/>
      <c r="L1299" s="72"/>
      <c r="M1299" s="71"/>
      <c r="N1299" s="216">
        <v>1326732</v>
      </c>
      <c r="O1299" s="71">
        <v>1412100</v>
      </c>
      <c r="P1299" s="72"/>
    </row>
    <row r="1300" spans="1:16">
      <c r="A1300" s="306"/>
      <c r="B1300" s="289"/>
      <c r="C1300" s="307"/>
      <c r="D1300" s="126" t="s">
        <v>415</v>
      </c>
      <c r="E1300" s="97" t="s">
        <v>681</v>
      </c>
      <c r="F1300" s="97"/>
      <c r="G1300" t="s">
        <v>428</v>
      </c>
      <c r="H1300" s="107">
        <v>44196</v>
      </c>
      <c r="I1300" s="129">
        <v>146856</v>
      </c>
      <c r="K1300" s="71"/>
      <c r="L1300" s="72"/>
      <c r="M1300" s="71"/>
      <c r="N1300" s="216">
        <v>135249</v>
      </c>
      <c r="O1300" s="71">
        <v>132686</v>
      </c>
      <c r="P1300" s="72"/>
    </row>
    <row r="1301" spans="1:16">
      <c r="A1301" s="306"/>
      <c r="B1301" s="289"/>
      <c r="C1301" s="307"/>
      <c r="D1301" s="126" t="s">
        <v>415</v>
      </c>
      <c r="E1301" s="97" t="s">
        <v>682</v>
      </c>
      <c r="F1301" s="97"/>
      <c r="G1301" t="s">
        <v>428</v>
      </c>
      <c r="H1301" s="107">
        <v>44196</v>
      </c>
      <c r="I1301" s="129">
        <v>62728</v>
      </c>
      <c r="K1301" s="71"/>
      <c r="L1301" s="72"/>
      <c r="M1301" s="71"/>
      <c r="N1301" s="216">
        <v>73985</v>
      </c>
      <c r="O1301" s="71">
        <v>77604</v>
      </c>
      <c r="P1301" s="72"/>
    </row>
    <row r="1302" spans="1:16">
      <c r="A1302" s="306"/>
      <c r="B1302" s="289"/>
      <c r="C1302" s="307"/>
      <c r="D1302" s="126" t="s">
        <v>415</v>
      </c>
      <c r="E1302" t="s">
        <v>654</v>
      </c>
      <c r="G1302" t="s">
        <v>428</v>
      </c>
      <c r="H1302" s="107">
        <v>44196</v>
      </c>
      <c r="I1302" s="129">
        <v>51722</v>
      </c>
      <c r="K1302" s="71"/>
      <c r="L1302" s="72"/>
      <c r="M1302" s="71"/>
      <c r="N1302" s="216">
        <v>107548</v>
      </c>
      <c r="O1302" s="71">
        <v>72797</v>
      </c>
      <c r="P1302" s="72"/>
    </row>
    <row r="1303" spans="1:16">
      <c r="A1303" s="306"/>
      <c r="B1303" s="289"/>
      <c r="C1303" s="307"/>
      <c r="D1303" s="126" t="s">
        <v>415</v>
      </c>
      <c r="E1303" t="s">
        <v>683</v>
      </c>
      <c r="G1303" t="s">
        <v>428</v>
      </c>
      <c r="H1303" s="107">
        <v>44196</v>
      </c>
      <c r="I1303" s="129">
        <v>79385</v>
      </c>
      <c r="K1303" s="71"/>
      <c r="L1303" s="72"/>
      <c r="M1303" s="71"/>
      <c r="N1303" s="216">
        <v>50261</v>
      </c>
      <c r="O1303" s="71">
        <v>52375</v>
      </c>
      <c r="P1303" s="72"/>
    </row>
    <row r="1304" spans="1:16">
      <c r="A1304" s="306"/>
      <c r="B1304" s="289"/>
      <c r="C1304" s="307"/>
      <c r="D1304" s="126" t="s">
        <v>415</v>
      </c>
      <c r="E1304" t="s">
        <v>655</v>
      </c>
      <c r="G1304" t="s">
        <v>428</v>
      </c>
      <c r="H1304" s="107">
        <v>44196</v>
      </c>
      <c r="I1304" s="129">
        <v>23514</v>
      </c>
      <c r="K1304" s="71"/>
      <c r="L1304" s="72"/>
      <c r="M1304" s="71"/>
      <c r="N1304" s="216">
        <v>31546</v>
      </c>
      <c r="O1304" s="71">
        <v>37784</v>
      </c>
      <c r="P1304" s="72"/>
    </row>
    <row r="1305" spans="1:16">
      <c r="A1305" s="306"/>
      <c r="B1305" s="289"/>
      <c r="C1305" s="307"/>
      <c r="D1305" s="126" t="s">
        <v>415</v>
      </c>
      <c r="E1305" t="s">
        <v>685</v>
      </c>
      <c r="G1305" t="s">
        <v>428</v>
      </c>
      <c r="H1305" s="107">
        <v>44196</v>
      </c>
      <c r="I1305" s="129">
        <v>15443</v>
      </c>
      <c r="K1305" s="71"/>
      <c r="L1305" s="72"/>
      <c r="M1305" s="71"/>
      <c r="N1305" s="216">
        <v>16882</v>
      </c>
      <c r="O1305" s="71">
        <v>19510</v>
      </c>
      <c r="P1305" s="72"/>
    </row>
    <row r="1306" spans="1:16">
      <c r="A1306" s="306"/>
      <c r="B1306" s="289"/>
      <c r="C1306" s="307"/>
      <c r="D1306" s="126" t="s">
        <v>415</v>
      </c>
      <c r="E1306" t="s">
        <v>656</v>
      </c>
      <c r="G1306" t="s">
        <v>428</v>
      </c>
      <c r="H1306" s="107">
        <v>44196</v>
      </c>
      <c r="I1306" s="129">
        <v>19857</v>
      </c>
      <c r="K1306" s="71"/>
      <c r="L1306" s="72"/>
      <c r="M1306" s="71"/>
      <c r="N1306" s="216">
        <v>23437</v>
      </c>
      <c r="O1306" s="71">
        <v>10915</v>
      </c>
      <c r="P1306" s="72"/>
    </row>
    <row r="1307" spans="1:16">
      <c r="A1307" s="306"/>
      <c r="B1307" s="289"/>
      <c r="C1307" s="307"/>
      <c r="D1307" s="126" t="s">
        <v>415</v>
      </c>
      <c r="E1307" t="s">
        <v>657</v>
      </c>
      <c r="G1307" t="s">
        <v>428</v>
      </c>
      <c r="H1307" s="107">
        <v>44196</v>
      </c>
      <c r="I1307" s="129">
        <v>15417</v>
      </c>
      <c r="K1307" s="71"/>
      <c r="L1307" s="72"/>
      <c r="M1307" s="71"/>
      <c r="N1307" s="216">
        <v>14920</v>
      </c>
      <c r="O1307" s="71">
        <v>13820</v>
      </c>
      <c r="P1307" s="72"/>
    </row>
    <row r="1308" spans="1:16">
      <c r="A1308" s="306"/>
      <c r="B1308" s="289"/>
      <c r="C1308" s="307"/>
      <c r="D1308" s="126" t="s">
        <v>415</v>
      </c>
      <c r="E1308" t="s">
        <v>1216</v>
      </c>
      <c r="G1308" t="s">
        <v>428</v>
      </c>
      <c r="H1308" s="107">
        <v>44196</v>
      </c>
      <c r="I1308" s="132">
        <f t="shared" ref="I1308" si="46">SUM(I1309:I1310)</f>
        <v>43277</v>
      </c>
      <c r="K1308" s="71"/>
      <c r="L1308" s="72"/>
      <c r="M1308" s="71"/>
      <c r="N1308" s="216">
        <f t="shared" ref="N1308:O1308" si="47">SUM(N1309:N1310)</f>
        <v>47407</v>
      </c>
      <c r="O1308" s="71">
        <f t="shared" si="47"/>
        <v>47750</v>
      </c>
      <c r="P1308" s="72"/>
    </row>
    <row r="1309" spans="1:16">
      <c r="A1309" s="306"/>
      <c r="B1309" s="289"/>
      <c r="C1309" s="307"/>
      <c r="D1309" s="121" t="s">
        <v>415</v>
      </c>
      <c r="E1309" s="97" t="s">
        <v>687</v>
      </c>
      <c r="F1309" s="97"/>
      <c r="G1309" t="s">
        <v>428</v>
      </c>
      <c r="H1309" s="107">
        <v>44196</v>
      </c>
      <c r="I1309" s="129">
        <v>31302</v>
      </c>
      <c r="K1309" s="71"/>
      <c r="L1309" s="72"/>
      <c r="M1309" s="71"/>
      <c r="N1309" s="216">
        <v>32757</v>
      </c>
      <c r="O1309" s="71">
        <v>32133</v>
      </c>
      <c r="P1309" s="72"/>
    </row>
    <row r="1310" spans="1:16">
      <c r="A1310" s="306"/>
      <c r="B1310" s="289"/>
      <c r="C1310" s="307"/>
      <c r="D1310" s="121" t="s">
        <v>415</v>
      </c>
      <c r="E1310" s="97" t="s">
        <v>688</v>
      </c>
      <c r="F1310" s="97"/>
      <c r="G1310" t="s">
        <v>428</v>
      </c>
      <c r="H1310" s="107">
        <v>44196</v>
      </c>
      <c r="I1310" s="129">
        <v>11975</v>
      </c>
      <c r="K1310" s="71"/>
      <c r="L1310" s="72"/>
      <c r="M1310" s="71"/>
      <c r="N1310" s="216">
        <v>14650</v>
      </c>
      <c r="O1310" s="71">
        <v>15617</v>
      </c>
      <c r="P1310" s="72"/>
    </row>
    <row r="1311" spans="1:16">
      <c r="A1311" s="306"/>
      <c r="B1311" s="289"/>
      <c r="C1311" s="307"/>
      <c r="D1311" s="117" t="s">
        <v>417</v>
      </c>
      <c r="E1311" t="s">
        <v>661</v>
      </c>
      <c r="G1311" t="s">
        <v>689</v>
      </c>
      <c r="H1311" s="107">
        <v>44196</v>
      </c>
      <c r="I1311" s="65"/>
      <c r="K1311" s="71">
        <v>4663</v>
      </c>
      <c r="L1311" s="72">
        <v>5051</v>
      </c>
      <c r="M1311" s="71">
        <v>5527</v>
      </c>
      <c r="N1311" s="216">
        <v>6203</v>
      </c>
      <c r="O1311" s="71">
        <v>6322</v>
      </c>
      <c r="P1311" s="72"/>
    </row>
    <row r="1312" spans="1:16">
      <c r="A1312" s="306"/>
      <c r="B1312" s="289"/>
      <c r="C1312" s="307"/>
      <c r="D1312" s="118" t="s">
        <v>418</v>
      </c>
      <c r="H1312" s="107">
        <v>44196</v>
      </c>
      <c r="I1312" s="65"/>
      <c r="K1312" s="71"/>
      <c r="L1312" s="72"/>
      <c r="M1312" s="71"/>
      <c r="N1312" s="216"/>
      <c r="O1312" s="71" t="s">
        <v>690</v>
      </c>
      <c r="P1312" s="72"/>
    </row>
    <row r="1313" spans="1:16">
      <c r="A1313" s="316"/>
      <c r="B1313" s="293"/>
      <c r="C1313" s="318"/>
      <c r="D1313" s="117"/>
      <c r="H1313" s="107"/>
      <c r="I1313" s="65" t="s">
        <v>693</v>
      </c>
      <c r="K1313" s="71"/>
      <c r="L1313" s="72"/>
      <c r="M1313" s="71"/>
      <c r="N1313" s="216"/>
      <c r="O1313" s="71"/>
      <c r="P1313" s="72"/>
    </row>
    <row r="1314" spans="1:16">
      <c r="A1314" s="291" t="s">
        <v>865</v>
      </c>
      <c r="B1314" s="292">
        <v>0</v>
      </c>
      <c r="C1314" s="292" t="s">
        <v>866</v>
      </c>
      <c r="D1314" s="123" t="s">
        <v>411</v>
      </c>
      <c r="E1314" t="s">
        <v>677</v>
      </c>
      <c r="G1314" t="s">
        <v>428</v>
      </c>
      <c r="H1314" s="107">
        <v>43830</v>
      </c>
      <c r="I1314" s="129">
        <v>100023</v>
      </c>
      <c r="K1314" s="71"/>
      <c r="L1314" s="72"/>
      <c r="M1314" s="71">
        <v>108797</v>
      </c>
      <c r="N1314" s="216">
        <v>102103</v>
      </c>
      <c r="O1314" s="71"/>
      <c r="P1314" s="72"/>
    </row>
    <row r="1315" spans="1:16">
      <c r="A1315" s="286"/>
      <c r="B1315" s="289"/>
      <c r="C1315" s="289"/>
      <c r="D1315" s="123" t="s">
        <v>411</v>
      </c>
      <c r="E1315" t="s">
        <v>678</v>
      </c>
      <c r="G1315" t="s">
        <v>428</v>
      </c>
      <c r="H1315" s="107">
        <v>43830</v>
      </c>
      <c r="I1315" s="129">
        <v>0</v>
      </c>
      <c r="K1315" s="71"/>
      <c r="L1315" s="72"/>
      <c r="M1315" s="71"/>
      <c r="N1315" s="216">
        <v>7</v>
      </c>
      <c r="O1315" s="71"/>
      <c r="P1315" s="72"/>
    </row>
    <row r="1316" spans="1:16">
      <c r="A1316" s="286"/>
      <c r="B1316" s="289"/>
      <c r="C1316" s="289"/>
      <c r="D1316" s="123" t="s">
        <v>411</v>
      </c>
      <c r="G1316" t="s">
        <v>428</v>
      </c>
      <c r="H1316" s="107">
        <v>43830</v>
      </c>
      <c r="I1316" s="109">
        <f>SUM(I1314:I1315)</f>
        <v>100023</v>
      </c>
      <c r="K1316" s="71"/>
      <c r="L1316" s="72"/>
      <c r="M1316" s="71">
        <f t="shared" ref="M1316:N1316" si="48">SUM(M1314:M1315)</f>
        <v>108797</v>
      </c>
      <c r="N1316" s="216">
        <f t="shared" si="48"/>
        <v>102110</v>
      </c>
      <c r="O1316" s="71"/>
      <c r="P1316" s="72"/>
    </row>
    <row r="1317" spans="1:16">
      <c r="A1317" s="286"/>
      <c r="B1317" s="289"/>
      <c r="C1317" s="289"/>
      <c r="D1317" s="117" t="s">
        <v>412</v>
      </c>
      <c r="E1317" t="s">
        <v>679</v>
      </c>
      <c r="G1317" t="s">
        <v>428</v>
      </c>
      <c r="H1317" s="107">
        <v>43830</v>
      </c>
      <c r="I1317" s="129">
        <v>89787</v>
      </c>
      <c r="K1317" s="71"/>
      <c r="L1317" s="72"/>
      <c r="M1317" s="71">
        <v>55052</v>
      </c>
      <c r="N1317" s="216">
        <v>51454</v>
      </c>
      <c r="O1317" s="71"/>
      <c r="P1317" s="72"/>
    </row>
    <row r="1318" spans="1:16">
      <c r="A1318" s="286"/>
      <c r="B1318" s="289"/>
      <c r="C1318" s="289"/>
      <c r="D1318" s="117" t="s">
        <v>412</v>
      </c>
      <c r="E1318" t="s">
        <v>678</v>
      </c>
      <c r="G1318" t="s">
        <v>428</v>
      </c>
      <c r="H1318" s="107">
        <v>43830</v>
      </c>
      <c r="I1318" s="129">
        <v>0</v>
      </c>
      <c r="K1318" s="71"/>
      <c r="L1318" s="72"/>
      <c r="M1318" s="71"/>
      <c r="N1318" s="216">
        <v>0</v>
      </c>
      <c r="O1318" s="71"/>
      <c r="P1318" s="72"/>
    </row>
    <row r="1319" spans="1:16">
      <c r="A1319" s="286"/>
      <c r="B1319" s="289"/>
      <c r="C1319" s="289"/>
      <c r="D1319" s="117" t="s">
        <v>412</v>
      </c>
      <c r="G1319" t="s">
        <v>428</v>
      </c>
      <c r="H1319" s="107">
        <v>43830</v>
      </c>
      <c r="I1319" s="109">
        <f>SUM(I1317:I1318)</f>
        <v>89787</v>
      </c>
      <c r="K1319" s="71"/>
      <c r="L1319" s="72"/>
      <c r="M1319" s="71">
        <f t="shared" ref="M1319:N1319" si="49">SUM(M1317:M1318)</f>
        <v>55052</v>
      </c>
      <c r="N1319" s="216">
        <f t="shared" si="49"/>
        <v>51454</v>
      </c>
      <c r="O1319" s="71"/>
      <c r="P1319" s="72"/>
    </row>
    <row r="1320" spans="1:16">
      <c r="A1320" s="286"/>
      <c r="B1320" s="289"/>
      <c r="C1320" s="289"/>
      <c r="D1320" s="117" t="s">
        <v>414</v>
      </c>
      <c r="G1320" t="s">
        <v>428</v>
      </c>
      <c r="H1320" s="107">
        <v>43830</v>
      </c>
      <c r="I1320" s="124">
        <f>I1316+I1319</f>
        <v>189810</v>
      </c>
      <c r="K1320" s="71"/>
      <c r="L1320" s="72"/>
      <c r="M1320" s="71">
        <f t="shared" ref="M1320:N1320" si="50">M1316+M1319</f>
        <v>163849</v>
      </c>
      <c r="N1320" s="216">
        <f t="shared" si="50"/>
        <v>153564</v>
      </c>
      <c r="O1320" s="71"/>
      <c r="P1320" s="72"/>
    </row>
    <row r="1321" spans="1:16">
      <c r="A1321" s="286"/>
      <c r="B1321" s="289"/>
      <c r="C1321" s="289"/>
      <c r="D1321" s="121" t="s">
        <v>415</v>
      </c>
      <c r="G1321" t="s">
        <v>428</v>
      </c>
      <c r="H1321" s="107">
        <v>43830</v>
      </c>
      <c r="I1321" s="131">
        <f>I1332+I1326+I1327+I1328+I1329+I1330+I1331+I1322</f>
        <v>1544229</v>
      </c>
      <c r="K1321" s="71"/>
      <c r="L1321" s="72"/>
      <c r="M1321" s="71">
        <f>M1332+M1326+M1327+M1328+M1329+M1330+M1331+M1322</f>
        <v>1843360</v>
      </c>
      <c r="N1321" s="216">
        <f>N1332+N1326+N1327+N1328+N1329+N1330+N1331+N1322</f>
        <v>1816833</v>
      </c>
      <c r="O1321" s="71"/>
      <c r="P1321" s="72"/>
    </row>
    <row r="1322" spans="1:16">
      <c r="A1322" s="286"/>
      <c r="B1322" s="289"/>
      <c r="C1322" s="289"/>
      <c r="D1322" s="126" t="s">
        <v>415</v>
      </c>
      <c r="E1322" t="s">
        <v>653</v>
      </c>
      <c r="G1322" t="s">
        <v>428</v>
      </c>
      <c r="H1322" s="107">
        <v>43830</v>
      </c>
      <c r="I1322" s="129">
        <f>SUM(I1323:I1325)</f>
        <v>1309814</v>
      </c>
      <c r="K1322" s="71"/>
      <c r="L1322" s="72"/>
      <c r="M1322" s="71">
        <f>SUM(M1323:M1325)</f>
        <v>1583168</v>
      </c>
      <c r="N1322" s="216">
        <f>SUM(N1323:N1325)</f>
        <v>1535966</v>
      </c>
      <c r="O1322" s="71"/>
      <c r="P1322" s="72"/>
    </row>
    <row r="1323" spans="1:16">
      <c r="A1323" s="286"/>
      <c r="B1323" s="289"/>
      <c r="C1323" s="289"/>
      <c r="D1323" s="126" t="s">
        <v>415</v>
      </c>
      <c r="E1323" s="97" t="s">
        <v>680</v>
      </c>
      <c r="F1323" s="97"/>
      <c r="G1323" t="s">
        <v>428</v>
      </c>
      <c r="H1323" s="107">
        <v>43830</v>
      </c>
      <c r="I1323" s="129">
        <v>1085689</v>
      </c>
      <c r="K1323" s="71"/>
      <c r="L1323" s="72"/>
      <c r="M1323" s="71">
        <v>1329295</v>
      </c>
      <c r="N1323" s="216">
        <v>1326732</v>
      </c>
      <c r="O1323" s="71"/>
      <c r="P1323" s="72"/>
    </row>
    <row r="1324" spans="1:16">
      <c r="A1324" s="286"/>
      <c r="B1324" s="289"/>
      <c r="C1324" s="289"/>
      <c r="D1324" s="126" t="s">
        <v>415</v>
      </c>
      <c r="E1324" s="97" t="s">
        <v>694</v>
      </c>
      <c r="F1324" s="97"/>
      <c r="G1324" t="s">
        <v>428</v>
      </c>
      <c r="H1324" s="107">
        <v>43830</v>
      </c>
      <c r="I1324" s="129">
        <v>143569</v>
      </c>
      <c r="K1324" s="71"/>
      <c r="L1324" s="72"/>
      <c r="M1324" s="71">
        <v>167387</v>
      </c>
      <c r="N1324" s="216">
        <v>135249</v>
      </c>
      <c r="O1324" s="71"/>
      <c r="P1324" s="72"/>
    </row>
    <row r="1325" spans="1:16">
      <c r="A1325" s="286"/>
      <c r="B1325" s="289"/>
      <c r="C1325" s="289"/>
      <c r="D1325" s="126" t="s">
        <v>415</v>
      </c>
      <c r="E1325" s="97" t="s">
        <v>682</v>
      </c>
      <c r="F1325" s="97"/>
      <c r="G1325" t="s">
        <v>428</v>
      </c>
      <c r="H1325" s="107">
        <v>43830</v>
      </c>
      <c r="I1325" s="129">
        <v>80556</v>
      </c>
      <c r="K1325" s="71"/>
      <c r="L1325" s="72"/>
      <c r="M1325" s="71">
        <v>86486</v>
      </c>
      <c r="N1325" s="216">
        <v>73985</v>
      </c>
      <c r="O1325" s="71"/>
      <c r="P1325" s="72"/>
    </row>
    <row r="1326" spans="1:16">
      <c r="A1326" s="286"/>
      <c r="B1326" s="289"/>
      <c r="C1326" s="289"/>
      <c r="D1326" s="126" t="s">
        <v>415</v>
      </c>
      <c r="E1326" t="s">
        <v>654</v>
      </c>
      <c r="G1326" t="s">
        <v>428</v>
      </c>
      <c r="H1326" s="107">
        <v>43830</v>
      </c>
      <c r="I1326" s="129">
        <v>48696</v>
      </c>
      <c r="K1326" s="71"/>
      <c r="L1326" s="72"/>
      <c r="M1326" s="71">
        <v>82464</v>
      </c>
      <c r="N1326" s="216">
        <v>107548</v>
      </c>
      <c r="O1326" s="71"/>
      <c r="P1326" s="72"/>
    </row>
    <row r="1327" spans="1:16">
      <c r="A1327" s="286"/>
      <c r="B1327" s="289"/>
      <c r="C1327" s="289"/>
      <c r="D1327" s="126" t="s">
        <v>415</v>
      </c>
      <c r="E1327" t="s">
        <v>683</v>
      </c>
      <c r="G1327" t="s">
        <v>428</v>
      </c>
      <c r="H1327" s="107">
        <v>43830</v>
      </c>
      <c r="I1327" s="129">
        <v>79110</v>
      </c>
      <c r="K1327" s="71"/>
      <c r="L1327" s="72"/>
      <c r="M1327" s="71">
        <v>58262</v>
      </c>
      <c r="N1327" s="216">
        <v>50261</v>
      </c>
      <c r="O1327" s="71"/>
      <c r="P1327" s="72"/>
    </row>
    <row r="1328" spans="1:16">
      <c r="A1328" s="286"/>
      <c r="B1328" s="289"/>
      <c r="C1328" s="289"/>
      <c r="D1328" s="126" t="s">
        <v>415</v>
      </c>
      <c r="E1328" t="s">
        <v>655</v>
      </c>
      <c r="G1328" t="s">
        <v>428</v>
      </c>
      <c r="H1328" s="107">
        <v>43830</v>
      </c>
      <c r="I1328" s="129">
        <v>23196</v>
      </c>
      <c r="K1328" s="71"/>
      <c r="L1328" s="72"/>
      <c r="M1328" s="71">
        <v>29523</v>
      </c>
      <c r="N1328" s="216">
        <v>31296</v>
      </c>
      <c r="O1328" s="71"/>
      <c r="P1328" s="72"/>
    </row>
    <row r="1329" spans="1:16">
      <c r="A1329" s="286"/>
      <c r="B1329" s="289"/>
      <c r="C1329" s="289"/>
      <c r="D1329" s="126" t="s">
        <v>415</v>
      </c>
      <c r="E1329" t="s">
        <v>685</v>
      </c>
      <c r="G1329" t="s">
        <v>428</v>
      </c>
      <c r="H1329" s="107">
        <v>43830</v>
      </c>
      <c r="I1329" s="129">
        <v>15369</v>
      </c>
      <c r="K1329" s="71"/>
      <c r="L1329" s="72"/>
      <c r="M1329" s="71">
        <v>17099</v>
      </c>
      <c r="N1329" s="216">
        <v>16882</v>
      </c>
      <c r="O1329" s="71"/>
      <c r="P1329" s="72"/>
    </row>
    <row r="1330" spans="1:16">
      <c r="A1330" s="286"/>
      <c r="B1330" s="289"/>
      <c r="C1330" s="289"/>
      <c r="D1330" s="126" t="s">
        <v>415</v>
      </c>
      <c r="E1330" t="s">
        <v>656</v>
      </c>
      <c r="G1330" t="s">
        <v>428</v>
      </c>
      <c r="H1330" s="107">
        <v>43830</v>
      </c>
      <c r="I1330" s="129">
        <v>10056</v>
      </c>
      <c r="K1330" s="71"/>
      <c r="L1330" s="72"/>
      <c r="M1330" s="71">
        <v>12889</v>
      </c>
      <c r="N1330" s="216">
        <v>12249</v>
      </c>
      <c r="O1330" s="71"/>
      <c r="P1330" s="72"/>
    </row>
    <row r="1331" spans="1:16">
      <c r="A1331" s="286"/>
      <c r="B1331" s="289"/>
      <c r="C1331" s="289"/>
      <c r="D1331" s="126" t="s">
        <v>415</v>
      </c>
      <c r="E1331" t="s">
        <v>657</v>
      </c>
      <c r="G1331" t="s">
        <v>428</v>
      </c>
      <c r="H1331" s="107">
        <v>43830</v>
      </c>
      <c r="I1331" s="129">
        <v>15296</v>
      </c>
      <c r="K1331" s="71"/>
      <c r="L1331" s="72"/>
      <c r="M1331" s="71">
        <v>14172</v>
      </c>
      <c r="N1331" s="216">
        <v>15601</v>
      </c>
      <c r="O1331" s="71"/>
      <c r="P1331" s="72"/>
    </row>
    <row r="1332" spans="1:16">
      <c r="A1332" s="286"/>
      <c r="B1332" s="289"/>
      <c r="C1332" s="289"/>
      <c r="D1332" s="126" t="s">
        <v>415</v>
      </c>
      <c r="E1332" t="s">
        <v>1216</v>
      </c>
      <c r="G1332" t="s">
        <v>428</v>
      </c>
      <c r="H1332" s="107">
        <v>43830</v>
      </c>
      <c r="I1332" s="132">
        <f t="shared" ref="I1332" si="51">SUM(I1333:I1334)</f>
        <v>42692</v>
      </c>
      <c r="K1332" s="71"/>
      <c r="L1332" s="72"/>
      <c r="M1332" s="71">
        <f t="shared" ref="M1332:N1332" si="52">SUM(M1333:M1334)</f>
        <v>45783</v>
      </c>
      <c r="N1332" s="216">
        <f t="shared" si="52"/>
        <v>47030</v>
      </c>
      <c r="O1332" s="71"/>
      <c r="P1332" s="72"/>
    </row>
    <row r="1333" spans="1:16">
      <c r="A1333" s="286"/>
      <c r="B1333" s="289"/>
      <c r="C1333" s="289"/>
      <c r="D1333" s="121" t="s">
        <v>415</v>
      </c>
      <c r="E1333" s="97" t="s">
        <v>687</v>
      </c>
      <c r="F1333" s="97"/>
      <c r="G1333" t="s">
        <v>428</v>
      </c>
      <c r="H1333" s="107">
        <v>43830</v>
      </c>
      <c r="I1333" s="129">
        <v>30879</v>
      </c>
      <c r="K1333" s="71"/>
      <c r="L1333" s="72"/>
      <c r="M1333" s="71">
        <v>31656</v>
      </c>
      <c r="N1333" s="216">
        <v>32496</v>
      </c>
      <c r="O1333" s="71"/>
      <c r="P1333" s="72"/>
    </row>
    <row r="1334" spans="1:16">
      <c r="A1334" s="286"/>
      <c r="B1334" s="289"/>
      <c r="C1334" s="289"/>
      <c r="D1334" s="121" t="s">
        <v>415</v>
      </c>
      <c r="E1334" s="97" t="s">
        <v>688</v>
      </c>
      <c r="F1334" s="97"/>
      <c r="G1334" t="s">
        <v>428</v>
      </c>
      <c r="H1334" s="107">
        <v>43830</v>
      </c>
      <c r="I1334" s="129">
        <v>11813</v>
      </c>
      <c r="K1334" s="71"/>
      <c r="L1334" s="72"/>
      <c r="M1334" s="71">
        <v>14127</v>
      </c>
      <c r="N1334" s="216">
        <v>14534</v>
      </c>
      <c r="O1334" s="71"/>
      <c r="P1334" s="72"/>
    </row>
    <row r="1335" spans="1:16">
      <c r="A1335" s="286"/>
      <c r="B1335" s="289"/>
      <c r="C1335" s="289"/>
      <c r="D1335" s="117" t="s">
        <v>417</v>
      </c>
      <c r="E1335" t="s">
        <v>661</v>
      </c>
      <c r="G1335" t="s">
        <v>689</v>
      </c>
      <c r="H1335" s="107">
        <v>43830</v>
      </c>
      <c r="I1335" s="65"/>
      <c r="K1335" s="71">
        <v>4663</v>
      </c>
      <c r="L1335" s="72">
        <v>5051</v>
      </c>
      <c r="M1335" s="71">
        <v>5527</v>
      </c>
      <c r="N1335" s="216">
        <v>6203</v>
      </c>
      <c r="O1335" s="71"/>
      <c r="P1335" s="72"/>
    </row>
    <row r="1336" spans="1:16">
      <c r="A1336" s="286"/>
      <c r="B1336" s="289"/>
      <c r="C1336" s="289"/>
      <c r="D1336" s="118" t="s">
        <v>418</v>
      </c>
      <c r="H1336" s="107">
        <v>43830</v>
      </c>
      <c r="I1336" s="65"/>
      <c r="K1336" s="71"/>
      <c r="L1336" s="72"/>
      <c r="M1336" s="71"/>
      <c r="N1336" s="216" t="s">
        <v>695</v>
      </c>
      <c r="O1336" s="71"/>
      <c r="P1336" s="72"/>
    </row>
    <row r="1337" spans="1:16">
      <c r="A1337" s="294"/>
      <c r="B1337" s="293"/>
      <c r="C1337" s="293"/>
      <c r="D1337" s="117"/>
      <c r="H1337" s="107"/>
      <c r="I1337" s="133" t="s">
        <v>696</v>
      </c>
      <c r="K1337" s="71"/>
      <c r="L1337" s="72"/>
      <c r="M1337" s="71"/>
      <c r="N1337" s="216"/>
      <c r="O1337" s="71"/>
      <c r="P1337" s="72"/>
    </row>
    <row r="1338" spans="1:16">
      <c r="A1338" s="306" t="s">
        <v>865</v>
      </c>
      <c r="B1338" s="292">
        <v>0</v>
      </c>
      <c r="C1338" s="307" t="s">
        <v>866</v>
      </c>
      <c r="D1338" s="123" t="s">
        <v>411</v>
      </c>
      <c r="E1338" t="s">
        <v>677</v>
      </c>
      <c r="G1338" t="s">
        <v>428</v>
      </c>
      <c r="H1338" s="107">
        <v>43465</v>
      </c>
      <c r="I1338" s="129">
        <v>99892</v>
      </c>
      <c r="K1338" s="71">
        <v>100662</v>
      </c>
      <c r="L1338" s="72">
        <v>108102</v>
      </c>
      <c r="M1338" s="71">
        <v>108706</v>
      </c>
      <c r="N1338" s="216"/>
      <c r="O1338" s="71"/>
      <c r="P1338" s="72"/>
    </row>
    <row r="1339" spans="1:16">
      <c r="A1339" s="306"/>
      <c r="B1339" s="289"/>
      <c r="C1339" s="307"/>
      <c r="D1339" s="123" t="s">
        <v>411</v>
      </c>
      <c r="E1339" t="s">
        <v>678</v>
      </c>
      <c r="G1339" t="s">
        <v>428</v>
      </c>
      <c r="H1339" s="107">
        <v>43465</v>
      </c>
      <c r="I1339" s="129">
        <v>0</v>
      </c>
      <c r="K1339" s="71"/>
      <c r="L1339" s="72"/>
      <c r="M1339" s="71"/>
      <c r="N1339" s="216"/>
      <c r="O1339" s="71"/>
      <c r="P1339" s="72"/>
    </row>
    <row r="1340" spans="1:16">
      <c r="A1340" s="306"/>
      <c r="B1340" s="289"/>
      <c r="C1340" s="307"/>
      <c r="D1340" s="123" t="s">
        <v>411</v>
      </c>
      <c r="G1340" t="s">
        <v>428</v>
      </c>
      <c r="H1340" s="107">
        <v>43465</v>
      </c>
      <c r="I1340" s="109">
        <f>SUM(I1338:I1339)</f>
        <v>99892</v>
      </c>
      <c r="K1340" s="71">
        <f t="shared" ref="K1340:M1340" si="53">SUM(K1338:K1339)</f>
        <v>100662</v>
      </c>
      <c r="L1340" s="72">
        <f t="shared" si="53"/>
        <v>108102</v>
      </c>
      <c r="M1340" s="71">
        <f t="shared" si="53"/>
        <v>108706</v>
      </c>
      <c r="N1340" s="216"/>
      <c r="O1340" s="71"/>
      <c r="P1340" s="72"/>
    </row>
    <row r="1341" spans="1:16">
      <c r="A1341" s="306"/>
      <c r="B1341" s="289"/>
      <c r="C1341" s="307"/>
      <c r="D1341" s="117" t="s">
        <v>412</v>
      </c>
      <c r="E1341" t="s">
        <v>679</v>
      </c>
      <c r="G1341" t="s">
        <v>428</v>
      </c>
      <c r="H1341" s="107">
        <v>43465</v>
      </c>
      <c r="I1341" s="129">
        <v>88877</v>
      </c>
      <c r="K1341" s="71">
        <v>87217</v>
      </c>
      <c r="L1341" s="72">
        <v>67370</v>
      </c>
      <c r="M1341" s="71">
        <v>53896</v>
      </c>
      <c r="N1341" s="216"/>
      <c r="O1341" s="71"/>
      <c r="P1341" s="72"/>
    </row>
    <row r="1342" spans="1:16">
      <c r="A1342" s="306"/>
      <c r="B1342" s="289"/>
      <c r="C1342" s="307"/>
      <c r="D1342" s="117" t="s">
        <v>412</v>
      </c>
      <c r="E1342" t="s">
        <v>678</v>
      </c>
      <c r="G1342" t="s">
        <v>428</v>
      </c>
      <c r="H1342" s="107">
        <v>43465</v>
      </c>
      <c r="I1342" s="129">
        <v>0</v>
      </c>
      <c r="K1342" s="71"/>
      <c r="L1342" s="72"/>
      <c r="M1342" s="71"/>
      <c r="N1342" s="216"/>
      <c r="O1342" s="71"/>
      <c r="P1342" s="72"/>
    </row>
    <row r="1343" spans="1:16">
      <c r="A1343" s="306"/>
      <c r="B1343" s="289"/>
      <c r="C1343" s="307"/>
      <c r="D1343" s="117" t="s">
        <v>412</v>
      </c>
      <c r="G1343" t="s">
        <v>428</v>
      </c>
      <c r="H1343" s="107">
        <v>43465</v>
      </c>
      <c r="I1343" s="109">
        <f>SUM(I1341:I1342)</f>
        <v>88877</v>
      </c>
      <c r="K1343" s="71">
        <f t="shared" ref="K1343:M1343" si="54">SUM(K1341:K1342)</f>
        <v>87217</v>
      </c>
      <c r="L1343" s="72">
        <f t="shared" si="54"/>
        <v>67370</v>
      </c>
      <c r="M1343" s="71">
        <f t="shared" si="54"/>
        <v>53896</v>
      </c>
      <c r="N1343" s="216"/>
      <c r="O1343" s="71"/>
      <c r="P1343" s="72"/>
    </row>
    <row r="1344" spans="1:16">
      <c r="A1344" s="306"/>
      <c r="B1344" s="289"/>
      <c r="C1344" s="307"/>
      <c r="D1344" s="117" t="s">
        <v>414</v>
      </c>
      <c r="G1344" t="s">
        <v>428</v>
      </c>
      <c r="H1344" s="107">
        <v>43465</v>
      </c>
      <c r="I1344" s="124">
        <f>I1340+I1343</f>
        <v>188769</v>
      </c>
      <c r="K1344" s="71">
        <f t="shared" ref="K1344:M1344" si="55">K1340+K1343</f>
        <v>187879</v>
      </c>
      <c r="L1344" s="72">
        <f t="shared" si="55"/>
        <v>175472</v>
      </c>
      <c r="M1344" s="71">
        <f t="shared" si="55"/>
        <v>162602</v>
      </c>
      <c r="N1344" s="216"/>
      <c r="O1344" s="71"/>
      <c r="P1344" s="72"/>
    </row>
    <row r="1345" spans="1:16">
      <c r="A1345" s="306"/>
      <c r="B1345" s="289"/>
      <c r="C1345" s="307"/>
      <c r="D1345" s="121" t="s">
        <v>415</v>
      </c>
      <c r="G1345" t="s">
        <v>428</v>
      </c>
      <c r="H1345" s="107">
        <v>43465</v>
      </c>
      <c r="I1345" s="131">
        <f>SUM(I1346:I1356)</f>
        <v>1493472</v>
      </c>
      <c r="K1345" s="71">
        <f t="shared" ref="K1345:M1345" si="56">SUM(K1346:K1356)</f>
        <v>1573708</v>
      </c>
      <c r="L1345" s="72">
        <f t="shared" si="56"/>
        <v>1696804</v>
      </c>
      <c r="M1345" s="71">
        <f t="shared" si="56"/>
        <v>1816572</v>
      </c>
      <c r="N1345" s="216"/>
      <c r="O1345" s="71"/>
      <c r="P1345" s="72"/>
    </row>
    <row r="1346" spans="1:16">
      <c r="A1346" s="306"/>
      <c r="B1346" s="289"/>
      <c r="C1346" s="307"/>
      <c r="D1346" s="126" t="s">
        <v>415</v>
      </c>
      <c r="E1346" s="134" t="s">
        <v>680</v>
      </c>
      <c r="F1346" s="134"/>
      <c r="G1346" t="s">
        <v>428</v>
      </c>
      <c r="H1346" s="107">
        <v>43465</v>
      </c>
      <c r="I1346" s="129">
        <v>1059883</v>
      </c>
      <c r="K1346" s="71">
        <v>1138972</v>
      </c>
      <c r="L1346" s="72">
        <v>1232676</v>
      </c>
      <c r="M1346" s="71">
        <v>1329295</v>
      </c>
      <c r="N1346" s="216"/>
      <c r="O1346" s="71"/>
      <c r="P1346" s="72"/>
    </row>
    <row r="1347" spans="1:16">
      <c r="A1347" s="306"/>
      <c r="B1347" s="289"/>
      <c r="C1347" s="307"/>
      <c r="D1347" s="126" t="s">
        <v>415</v>
      </c>
      <c r="E1347" s="134" t="s">
        <v>694</v>
      </c>
      <c r="F1347" s="134"/>
      <c r="G1347" t="s">
        <v>428</v>
      </c>
      <c r="H1347" s="107">
        <v>43465</v>
      </c>
      <c r="I1347" s="129">
        <v>143569</v>
      </c>
      <c r="K1347" s="71">
        <v>137860</v>
      </c>
      <c r="L1347" s="72">
        <v>156186</v>
      </c>
      <c r="M1347" s="71">
        <v>167387</v>
      </c>
      <c r="N1347" s="216"/>
      <c r="O1347" s="71"/>
      <c r="P1347" s="72"/>
    </row>
    <row r="1348" spans="1:16">
      <c r="A1348" s="306"/>
      <c r="B1348" s="289"/>
      <c r="C1348" s="307"/>
      <c r="D1348" s="126" t="s">
        <v>415</v>
      </c>
      <c r="E1348" s="134" t="s">
        <v>697</v>
      </c>
      <c r="F1348" s="134"/>
      <c r="G1348" t="s">
        <v>428</v>
      </c>
      <c r="H1348" s="107">
        <v>43465</v>
      </c>
      <c r="I1348" s="129">
        <v>55605</v>
      </c>
      <c r="K1348" s="71">
        <v>58249</v>
      </c>
      <c r="L1348" s="72">
        <v>58575</v>
      </c>
      <c r="M1348" s="71">
        <v>59698</v>
      </c>
      <c r="N1348" s="216"/>
      <c r="O1348" s="71"/>
      <c r="P1348" s="72"/>
    </row>
    <row r="1349" spans="1:16">
      <c r="A1349" s="306"/>
      <c r="B1349" s="289"/>
      <c r="C1349" s="307"/>
      <c r="D1349" s="126" t="s">
        <v>415</v>
      </c>
      <c r="E1349" t="s">
        <v>654</v>
      </c>
      <c r="G1349" t="s">
        <v>428</v>
      </c>
      <c r="H1349" s="107">
        <v>43465</v>
      </c>
      <c r="I1349" s="129">
        <v>48696</v>
      </c>
      <c r="K1349" s="71">
        <v>42927</v>
      </c>
      <c r="L1349" s="72">
        <v>69611</v>
      </c>
      <c r="M1349" s="71">
        <v>82464</v>
      </c>
      <c r="N1349" s="216"/>
      <c r="O1349" s="71"/>
      <c r="P1349" s="72"/>
    </row>
    <row r="1350" spans="1:16">
      <c r="A1350" s="306"/>
      <c r="B1350" s="289"/>
      <c r="C1350" s="307"/>
      <c r="D1350" s="126" t="s">
        <v>415</v>
      </c>
      <c r="E1350" t="s">
        <v>683</v>
      </c>
      <c r="G1350" t="s">
        <v>428</v>
      </c>
      <c r="H1350" s="107">
        <v>43465</v>
      </c>
      <c r="I1350" s="129">
        <v>79110</v>
      </c>
      <c r="K1350" s="71">
        <v>79505</v>
      </c>
      <c r="L1350" s="72">
        <v>62921</v>
      </c>
      <c r="M1350" s="71">
        <v>58262</v>
      </c>
      <c r="N1350" s="216"/>
      <c r="O1350" s="71"/>
      <c r="P1350" s="72"/>
    </row>
    <row r="1351" spans="1:16">
      <c r="A1351" s="306"/>
      <c r="B1351" s="289"/>
      <c r="C1351" s="307"/>
      <c r="D1351" s="126" t="s">
        <v>415</v>
      </c>
      <c r="E1351" t="s">
        <v>655</v>
      </c>
      <c r="G1351" t="s">
        <v>428</v>
      </c>
      <c r="H1351" s="107">
        <v>43465</v>
      </c>
      <c r="I1351" s="129">
        <v>23196</v>
      </c>
      <c r="K1351" s="71">
        <v>25356</v>
      </c>
      <c r="L1351" s="72">
        <v>26347</v>
      </c>
      <c r="M1351" s="71">
        <v>29523</v>
      </c>
      <c r="N1351" s="216"/>
      <c r="O1351" s="71"/>
      <c r="P1351" s="72"/>
    </row>
    <row r="1352" spans="1:16">
      <c r="A1352" s="306"/>
      <c r="B1352" s="289"/>
      <c r="C1352" s="307"/>
      <c r="D1352" s="126" t="s">
        <v>415</v>
      </c>
      <c r="E1352" t="s">
        <v>685</v>
      </c>
      <c r="G1352" t="s">
        <v>428</v>
      </c>
      <c r="H1352" s="107">
        <v>43465</v>
      </c>
      <c r="I1352" s="129">
        <v>15369</v>
      </c>
      <c r="K1352" s="71">
        <v>16748</v>
      </c>
      <c r="L1352" s="72">
        <v>16094</v>
      </c>
      <c r="M1352" s="71">
        <v>17099</v>
      </c>
      <c r="N1352" s="216"/>
      <c r="O1352" s="71"/>
      <c r="P1352" s="72"/>
    </row>
    <row r="1353" spans="1:16">
      <c r="A1353" s="306"/>
      <c r="B1353" s="289"/>
      <c r="C1353" s="307"/>
      <c r="D1353" s="126" t="s">
        <v>415</v>
      </c>
      <c r="E1353" t="s">
        <v>656</v>
      </c>
      <c r="G1353" t="s">
        <v>428</v>
      </c>
      <c r="H1353" s="107">
        <v>43465</v>
      </c>
      <c r="I1353" s="129">
        <v>10056</v>
      </c>
      <c r="K1353" s="71">
        <v>11102</v>
      </c>
      <c r="L1353" s="72">
        <v>12303</v>
      </c>
      <c r="M1353" s="71">
        <v>12889</v>
      </c>
      <c r="N1353" s="216"/>
      <c r="O1353" s="71"/>
      <c r="P1353" s="72"/>
    </row>
    <row r="1354" spans="1:16">
      <c r="A1354" s="306"/>
      <c r="B1354" s="289"/>
      <c r="C1354" s="307"/>
      <c r="D1354" s="126" t="s">
        <v>415</v>
      </c>
      <c r="E1354" t="s">
        <v>657</v>
      </c>
      <c r="G1354" t="s">
        <v>428</v>
      </c>
      <c r="H1354" s="107">
        <v>43465</v>
      </c>
      <c r="I1354" s="129">
        <v>15296</v>
      </c>
      <c r="K1354" s="71">
        <v>15756</v>
      </c>
      <c r="L1354" s="72">
        <v>16530</v>
      </c>
      <c r="M1354" s="71">
        <v>14172</v>
      </c>
      <c r="N1354" s="216"/>
      <c r="O1354" s="71"/>
      <c r="P1354" s="72"/>
    </row>
    <row r="1355" spans="1:16">
      <c r="A1355" s="306"/>
      <c r="B1355" s="289"/>
      <c r="C1355" s="307"/>
      <c r="D1355" s="121" t="s">
        <v>415</v>
      </c>
      <c r="E1355" s="134" t="s">
        <v>687</v>
      </c>
      <c r="F1355" s="134"/>
      <c r="G1355" t="s">
        <v>428</v>
      </c>
      <c r="H1355" s="107">
        <v>43465</v>
      </c>
      <c r="I1355" s="129">
        <v>30879</v>
      </c>
      <c r="K1355" s="71">
        <v>31431</v>
      </c>
      <c r="L1355" s="72">
        <v>32844</v>
      </c>
      <c r="M1355" s="71">
        <v>31656</v>
      </c>
      <c r="N1355" s="216"/>
      <c r="O1355" s="71"/>
      <c r="P1355" s="72"/>
    </row>
    <row r="1356" spans="1:16">
      <c r="A1356" s="306"/>
      <c r="B1356" s="289"/>
      <c r="C1356" s="307"/>
      <c r="D1356" s="121" t="s">
        <v>415</v>
      </c>
      <c r="E1356" s="134" t="s">
        <v>688</v>
      </c>
      <c r="F1356" s="134"/>
      <c r="G1356" t="s">
        <v>428</v>
      </c>
      <c r="H1356" s="107">
        <v>43465</v>
      </c>
      <c r="I1356" s="129">
        <v>11813</v>
      </c>
      <c r="K1356" s="71">
        <v>15802</v>
      </c>
      <c r="L1356" s="72">
        <v>12717</v>
      </c>
      <c r="M1356" s="71">
        <v>14127</v>
      </c>
      <c r="N1356" s="216"/>
      <c r="O1356" s="71"/>
      <c r="P1356" s="72"/>
    </row>
    <row r="1357" spans="1:16">
      <c r="A1357" s="306"/>
      <c r="B1357" s="289"/>
      <c r="C1357" s="307"/>
      <c r="D1357" s="117" t="s">
        <v>417</v>
      </c>
      <c r="E1357" t="s">
        <v>661</v>
      </c>
      <c r="G1357" t="s">
        <v>689</v>
      </c>
      <c r="H1357" s="107">
        <v>43465</v>
      </c>
      <c r="I1357" s="65"/>
      <c r="K1357" s="71">
        <v>4663</v>
      </c>
      <c r="L1357" s="72">
        <v>5051</v>
      </c>
      <c r="M1357" s="71">
        <v>5527</v>
      </c>
      <c r="N1357" s="216"/>
      <c r="O1357" s="71"/>
      <c r="P1357" s="72"/>
    </row>
    <row r="1358" spans="1:16">
      <c r="A1358" s="306"/>
      <c r="B1358" s="289"/>
      <c r="C1358" s="307"/>
      <c r="D1358" s="118" t="s">
        <v>418</v>
      </c>
      <c r="H1358" s="107">
        <v>43465</v>
      </c>
      <c r="I1358" s="65"/>
      <c r="K1358" s="71"/>
      <c r="L1358" s="72"/>
      <c r="M1358" s="71" t="s">
        <v>698</v>
      </c>
      <c r="N1358" s="216"/>
      <c r="O1358" s="71"/>
      <c r="P1358" s="72"/>
    </row>
    <row r="1359" spans="1:16">
      <c r="A1359" s="316"/>
      <c r="B1359" s="293"/>
      <c r="C1359" s="318"/>
      <c r="D1359" s="117"/>
      <c r="H1359" s="107"/>
      <c r="I1359" s="133" t="s">
        <v>693</v>
      </c>
      <c r="K1359" s="71"/>
      <c r="L1359" s="72"/>
      <c r="M1359" s="71"/>
      <c r="N1359" s="216"/>
      <c r="O1359" s="71"/>
      <c r="P1359" s="72"/>
    </row>
    <row r="1360" spans="1:16">
      <c r="A1360" s="306" t="s">
        <v>865</v>
      </c>
      <c r="B1360" s="292">
        <v>0</v>
      </c>
      <c r="C1360" s="307" t="s">
        <v>866</v>
      </c>
      <c r="D1360" s="123" t="s">
        <v>411</v>
      </c>
      <c r="E1360" t="s">
        <v>677</v>
      </c>
      <c r="G1360" t="s">
        <v>428</v>
      </c>
      <c r="H1360" s="107">
        <v>43100</v>
      </c>
      <c r="I1360" s="129">
        <v>101149</v>
      </c>
      <c r="K1360" s="71">
        <v>102060</v>
      </c>
      <c r="L1360" s="72">
        <v>107220</v>
      </c>
      <c r="M1360" s="71"/>
      <c r="N1360" s="216"/>
      <c r="O1360" s="71"/>
      <c r="P1360" s="72"/>
    </row>
    <row r="1361" spans="1:16">
      <c r="A1361" s="306"/>
      <c r="B1361" s="289"/>
      <c r="C1361" s="307"/>
      <c r="D1361" s="123" t="s">
        <v>411</v>
      </c>
      <c r="E1361" t="s">
        <v>678</v>
      </c>
      <c r="G1361" t="s">
        <v>428</v>
      </c>
      <c r="H1361" s="107">
        <v>43100</v>
      </c>
      <c r="I1361" s="129">
        <v>0</v>
      </c>
      <c r="K1361" s="71"/>
      <c r="L1361" s="72"/>
      <c r="M1361" s="71"/>
      <c r="N1361" s="216"/>
      <c r="O1361" s="71"/>
      <c r="P1361" s="72"/>
    </row>
    <row r="1362" spans="1:16">
      <c r="A1362" s="306"/>
      <c r="B1362" s="289"/>
      <c r="C1362" s="307"/>
      <c r="D1362" s="123" t="s">
        <v>411</v>
      </c>
      <c r="G1362" t="s">
        <v>428</v>
      </c>
      <c r="H1362" s="107">
        <v>43100</v>
      </c>
      <c r="I1362" s="109">
        <f>SUM(I1360:I1361)</f>
        <v>101149</v>
      </c>
      <c r="K1362" s="71">
        <f t="shared" ref="K1362:L1362" si="57">SUM(K1360:K1361)</f>
        <v>102060</v>
      </c>
      <c r="L1362" s="72">
        <f t="shared" si="57"/>
        <v>107220</v>
      </c>
      <c r="M1362" s="71"/>
      <c r="N1362" s="216"/>
      <c r="O1362" s="71"/>
      <c r="P1362" s="72"/>
    </row>
    <row r="1363" spans="1:16">
      <c r="A1363" s="306"/>
      <c r="B1363" s="289"/>
      <c r="C1363" s="307"/>
      <c r="D1363" s="117" t="s">
        <v>412</v>
      </c>
      <c r="E1363" t="s">
        <v>679</v>
      </c>
      <c r="G1363" t="s">
        <v>428</v>
      </c>
      <c r="H1363" s="107">
        <v>43100</v>
      </c>
      <c r="I1363" s="129">
        <v>88877</v>
      </c>
      <c r="K1363" s="71">
        <v>87217</v>
      </c>
      <c r="L1363" s="72">
        <v>67370</v>
      </c>
      <c r="M1363" s="71"/>
      <c r="N1363" s="216"/>
      <c r="O1363" s="71"/>
      <c r="P1363" s="72"/>
    </row>
    <row r="1364" spans="1:16">
      <c r="A1364" s="306"/>
      <c r="B1364" s="289"/>
      <c r="C1364" s="307"/>
      <c r="D1364" s="117" t="s">
        <v>412</v>
      </c>
      <c r="E1364" t="s">
        <v>678</v>
      </c>
      <c r="G1364" t="s">
        <v>428</v>
      </c>
      <c r="H1364" s="107">
        <v>43100</v>
      </c>
      <c r="I1364" s="129">
        <v>0</v>
      </c>
      <c r="K1364" s="71"/>
      <c r="L1364" s="72"/>
      <c r="M1364" s="71"/>
      <c r="N1364" s="216"/>
      <c r="O1364" s="71"/>
      <c r="P1364" s="72"/>
    </row>
    <row r="1365" spans="1:16">
      <c r="A1365" s="306"/>
      <c r="B1365" s="289"/>
      <c r="C1365" s="307"/>
      <c r="D1365" s="117" t="s">
        <v>412</v>
      </c>
      <c r="G1365" t="s">
        <v>428</v>
      </c>
      <c r="H1365" s="107">
        <v>43100</v>
      </c>
      <c r="I1365" s="109">
        <f>SUM(I1363:I1364)</f>
        <v>88877</v>
      </c>
      <c r="K1365" s="71">
        <f t="shared" ref="K1365:L1365" si="58">SUM(K1363:K1364)</f>
        <v>87217</v>
      </c>
      <c r="L1365" s="72">
        <f t="shared" si="58"/>
        <v>67370</v>
      </c>
      <c r="M1365" s="71"/>
      <c r="N1365" s="216"/>
      <c r="O1365" s="71"/>
      <c r="P1365" s="72"/>
    </row>
    <row r="1366" spans="1:16">
      <c r="A1366" s="306"/>
      <c r="B1366" s="289"/>
      <c r="C1366" s="307"/>
      <c r="D1366" s="117" t="s">
        <v>414</v>
      </c>
      <c r="G1366" t="s">
        <v>428</v>
      </c>
      <c r="H1366" s="107">
        <v>43100</v>
      </c>
      <c r="I1366" s="130">
        <f>I1362+I1365</f>
        <v>190026</v>
      </c>
      <c r="K1366" s="71">
        <f t="shared" ref="K1366:L1366" si="59">K1362+K1365</f>
        <v>189277</v>
      </c>
      <c r="L1366" s="72">
        <f t="shared" si="59"/>
        <v>174590</v>
      </c>
      <c r="M1366" s="71"/>
      <c r="N1366" s="216"/>
      <c r="O1366" s="71"/>
      <c r="P1366" s="72"/>
    </row>
    <row r="1367" spans="1:16">
      <c r="A1367" s="306"/>
      <c r="B1367" s="289"/>
      <c r="C1367" s="307"/>
      <c r="D1367" s="121" t="s">
        <v>415</v>
      </c>
      <c r="G1367" t="s">
        <v>428</v>
      </c>
      <c r="H1367" s="107">
        <v>43100</v>
      </c>
      <c r="I1367" s="131">
        <f>SUM(I1368:I1378)</f>
        <v>1493472</v>
      </c>
      <c r="K1367" s="71">
        <f t="shared" ref="K1367:L1367" si="60">SUM(K1368:K1378)</f>
        <v>1573708</v>
      </c>
      <c r="L1367" s="72">
        <f t="shared" si="60"/>
        <v>1696804</v>
      </c>
      <c r="M1367" s="71"/>
      <c r="N1367" s="216"/>
      <c r="O1367" s="71"/>
      <c r="P1367" s="72"/>
    </row>
    <row r="1368" spans="1:16">
      <c r="A1368" s="306"/>
      <c r="B1368" s="289"/>
      <c r="C1368" s="307"/>
      <c r="D1368" s="126" t="s">
        <v>415</v>
      </c>
      <c r="E1368" s="134" t="s">
        <v>680</v>
      </c>
      <c r="F1368" s="134"/>
      <c r="G1368" t="s">
        <v>428</v>
      </c>
      <c r="H1368" s="107">
        <v>43100</v>
      </c>
      <c r="I1368" s="129">
        <v>1059883</v>
      </c>
      <c r="K1368" s="71">
        <v>1138972</v>
      </c>
      <c r="L1368" s="72">
        <v>1232676</v>
      </c>
      <c r="M1368" s="71"/>
      <c r="N1368" s="216"/>
      <c r="O1368" s="71"/>
      <c r="P1368" s="72"/>
    </row>
    <row r="1369" spans="1:16">
      <c r="A1369" s="306"/>
      <c r="B1369" s="289"/>
      <c r="C1369" s="307"/>
      <c r="D1369" s="126" t="s">
        <v>415</v>
      </c>
      <c r="E1369" s="134" t="s">
        <v>694</v>
      </c>
      <c r="F1369" s="134"/>
      <c r="G1369" t="s">
        <v>428</v>
      </c>
      <c r="H1369" s="107">
        <v>43100</v>
      </c>
      <c r="I1369" s="129">
        <v>143569</v>
      </c>
      <c r="K1369" s="71">
        <v>137860</v>
      </c>
      <c r="L1369" s="72">
        <v>156186</v>
      </c>
      <c r="M1369" s="71"/>
      <c r="N1369" s="216"/>
      <c r="O1369" s="71"/>
      <c r="P1369" s="72"/>
    </row>
    <row r="1370" spans="1:16">
      <c r="A1370" s="306"/>
      <c r="B1370" s="289"/>
      <c r="C1370" s="307"/>
      <c r="D1370" s="126" t="s">
        <v>415</v>
      </c>
      <c r="E1370" s="134" t="s">
        <v>697</v>
      </c>
      <c r="F1370" s="134"/>
      <c r="G1370" t="s">
        <v>428</v>
      </c>
      <c r="H1370" s="107">
        <v>43100</v>
      </c>
      <c r="I1370" s="129">
        <v>55605</v>
      </c>
      <c r="K1370" s="71">
        <v>58249</v>
      </c>
      <c r="L1370" s="72">
        <v>58575</v>
      </c>
      <c r="M1370" s="71"/>
      <c r="N1370" s="216"/>
      <c r="O1370" s="71"/>
      <c r="P1370" s="72"/>
    </row>
    <row r="1371" spans="1:16">
      <c r="A1371" s="306"/>
      <c r="B1371" s="289"/>
      <c r="C1371" s="307"/>
      <c r="D1371" s="126" t="s">
        <v>415</v>
      </c>
      <c r="E1371" t="s">
        <v>654</v>
      </c>
      <c r="G1371" t="s">
        <v>428</v>
      </c>
      <c r="H1371" s="107">
        <v>43100</v>
      </c>
      <c r="I1371" s="129">
        <v>48696</v>
      </c>
      <c r="K1371" s="71">
        <v>42927</v>
      </c>
      <c r="L1371" s="72">
        <v>69611</v>
      </c>
      <c r="M1371" s="71"/>
      <c r="N1371" s="216"/>
      <c r="O1371" s="71"/>
      <c r="P1371" s="72"/>
    </row>
    <row r="1372" spans="1:16">
      <c r="A1372" s="306"/>
      <c r="B1372" s="289"/>
      <c r="C1372" s="307"/>
      <c r="D1372" s="126" t="s">
        <v>415</v>
      </c>
      <c r="E1372" t="s">
        <v>683</v>
      </c>
      <c r="G1372" t="s">
        <v>428</v>
      </c>
      <c r="H1372" s="107">
        <v>43100</v>
      </c>
      <c r="I1372" s="129">
        <v>79110</v>
      </c>
      <c r="K1372" s="71">
        <v>79505</v>
      </c>
      <c r="L1372" s="72">
        <v>62921</v>
      </c>
      <c r="M1372" s="71"/>
      <c r="N1372" s="216"/>
      <c r="O1372" s="71"/>
      <c r="P1372" s="72"/>
    </row>
    <row r="1373" spans="1:16">
      <c r="A1373" s="306"/>
      <c r="B1373" s="289"/>
      <c r="C1373" s="307"/>
      <c r="D1373" s="126" t="s">
        <v>415</v>
      </c>
      <c r="E1373" t="s">
        <v>655</v>
      </c>
      <c r="G1373" t="s">
        <v>428</v>
      </c>
      <c r="H1373" s="107">
        <v>43100</v>
      </c>
      <c r="I1373" s="129">
        <v>23196</v>
      </c>
      <c r="K1373" s="71">
        <v>25356</v>
      </c>
      <c r="L1373" s="72">
        <v>26347</v>
      </c>
      <c r="M1373" s="71"/>
      <c r="N1373" s="216"/>
      <c r="O1373" s="71"/>
      <c r="P1373" s="72"/>
    </row>
    <row r="1374" spans="1:16">
      <c r="A1374" s="306"/>
      <c r="B1374" s="289"/>
      <c r="C1374" s="307"/>
      <c r="D1374" s="126" t="s">
        <v>415</v>
      </c>
      <c r="E1374" t="s">
        <v>685</v>
      </c>
      <c r="G1374" t="s">
        <v>428</v>
      </c>
      <c r="H1374" s="107">
        <v>43100</v>
      </c>
      <c r="I1374" s="129">
        <v>15369</v>
      </c>
      <c r="K1374" s="71">
        <v>16748</v>
      </c>
      <c r="L1374" s="72">
        <v>16094</v>
      </c>
      <c r="M1374" s="71"/>
      <c r="N1374" s="216"/>
      <c r="O1374" s="71"/>
      <c r="P1374" s="72"/>
    </row>
    <row r="1375" spans="1:16">
      <c r="A1375" s="306"/>
      <c r="B1375" s="289"/>
      <c r="C1375" s="307"/>
      <c r="D1375" s="126" t="s">
        <v>415</v>
      </c>
      <c r="E1375" t="s">
        <v>656</v>
      </c>
      <c r="G1375" t="s">
        <v>428</v>
      </c>
      <c r="H1375" s="107">
        <v>43100</v>
      </c>
      <c r="I1375" s="129">
        <v>10056</v>
      </c>
      <c r="K1375" s="71">
        <v>11102</v>
      </c>
      <c r="L1375" s="72">
        <v>12303</v>
      </c>
      <c r="M1375" s="71"/>
      <c r="N1375" s="216"/>
      <c r="O1375" s="71"/>
      <c r="P1375" s="72"/>
    </row>
    <row r="1376" spans="1:16">
      <c r="A1376" s="306"/>
      <c r="B1376" s="289"/>
      <c r="C1376" s="307"/>
      <c r="D1376" s="126" t="s">
        <v>415</v>
      </c>
      <c r="E1376" t="s">
        <v>657</v>
      </c>
      <c r="G1376" t="s">
        <v>428</v>
      </c>
      <c r="H1376" s="107">
        <v>43100</v>
      </c>
      <c r="I1376" s="129">
        <v>15296</v>
      </c>
      <c r="K1376" s="71">
        <v>15756</v>
      </c>
      <c r="L1376" s="72">
        <v>16530</v>
      </c>
      <c r="M1376" s="71"/>
      <c r="N1376" s="216"/>
      <c r="O1376" s="71"/>
      <c r="P1376" s="72"/>
    </row>
    <row r="1377" spans="1:16">
      <c r="A1377" s="306"/>
      <c r="B1377" s="289"/>
      <c r="C1377" s="307"/>
      <c r="D1377" s="121" t="s">
        <v>415</v>
      </c>
      <c r="E1377" s="134" t="s">
        <v>687</v>
      </c>
      <c r="F1377" s="134"/>
      <c r="G1377" t="s">
        <v>428</v>
      </c>
      <c r="H1377" s="107">
        <v>43100</v>
      </c>
      <c r="I1377" s="129">
        <v>30879</v>
      </c>
      <c r="K1377" s="71">
        <v>31431</v>
      </c>
      <c r="L1377" s="72">
        <v>32844</v>
      </c>
      <c r="M1377" s="71"/>
      <c r="N1377" s="216"/>
      <c r="O1377" s="71"/>
      <c r="P1377" s="72"/>
    </row>
    <row r="1378" spans="1:16">
      <c r="A1378" s="306"/>
      <c r="B1378" s="289"/>
      <c r="C1378" s="307"/>
      <c r="D1378" s="121" t="s">
        <v>415</v>
      </c>
      <c r="E1378" s="134" t="s">
        <v>688</v>
      </c>
      <c r="F1378" s="134"/>
      <c r="G1378" t="s">
        <v>428</v>
      </c>
      <c r="H1378" s="107">
        <v>43100</v>
      </c>
      <c r="I1378" s="129">
        <v>11813</v>
      </c>
      <c r="K1378" s="71">
        <v>15802</v>
      </c>
      <c r="L1378" s="72">
        <v>12717</v>
      </c>
      <c r="M1378" s="71"/>
      <c r="N1378" s="216"/>
      <c r="O1378" s="71"/>
      <c r="P1378" s="72"/>
    </row>
    <row r="1379" spans="1:16">
      <c r="A1379" s="306"/>
      <c r="B1379" s="289"/>
      <c r="C1379" s="307"/>
      <c r="D1379" s="117" t="s">
        <v>417</v>
      </c>
      <c r="E1379" t="s">
        <v>661</v>
      </c>
      <c r="G1379" t="s">
        <v>689</v>
      </c>
      <c r="H1379" s="107">
        <v>43100</v>
      </c>
      <c r="I1379" s="65"/>
      <c r="K1379" s="71">
        <v>4663</v>
      </c>
      <c r="L1379" s="72">
        <v>5051</v>
      </c>
      <c r="M1379" s="71"/>
      <c r="N1379" s="216"/>
      <c r="O1379" s="71"/>
      <c r="P1379" s="72"/>
    </row>
    <row r="1380" spans="1:16">
      <c r="A1380" s="306"/>
      <c r="B1380" s="289"/>
      <c r="C1380" s="307"/>
      <c r="D1380" s="118" t="s">
        <v>418</v>
      </c>
      <c r="H1380" s="107">
        <v>43100</v>
      </c>
      <c r="I1380" s="65"/>
      <c r="K1380" s="71"/>
      <c r="L1380" s="72" t="s">
        <v>699</v>
      </c>
      <c r="M1380" s="71"/>
      <c r="N1380" s="216"/>
      <c r="O1380" s="71"/>
      <c r="P1380" s="72"/>
    </row>
    <row r="1381" spans="1:16">
      <c r="A1381" s="316"/>
      <c r="B1381" s="290"/>
      <c r="C1381" s="318"/>
      <c r="D1381" s="117"/>
      <c r="H1381" s="107"/>
      <c r="I1381" s="65"/>
      <c r="K1381" s="71"/>
      <c r="L1381" s="72"/>
      <c r="M1381" s="71"/>
      <c r="N1381" s="216"/>
      <c r="O1381" s="71"/>
      <c r="P1381" s="72"/>
    </row>
    <row r="1382" spans="1:16">
      <c r="A1382" s="319" t="s">
        <v>869</v>
      </c>
      <c r="B1382" s="320">
        <v>0</v>
      </c>
      <c r="C1382" s="323" t="s">
        <v>870</v>
      </c>
      <c r="D1382" s="123" t="s">
        <v>411</v>
      </c>
      <c r="G1382" t="s">
        <v>664</v>
      </c>
      <c r="H1382" s="107">
        <v>44561</v>
      </c>
      <c r="I1382" s="72"/>
      <c r="K1382" s="71"/>
      <c r="L1382" s="72"/>
      <c r="M1382" s="71"/>
      <c r="N1382" s="216"/>
      <c r="O1382" s="71"/>
      <c r="P1382" s="72">
        <f>SUM(P1383:P1387)</f>
        <v>18.667999999999999</v>
      </c>
    </row>
    <row r="1383" spans="1:16">
      <c r="A1383" s="319"/>
      <c r="B1383" s="321"/>
      <c r="C1383" s="323"/>
      <c r="D1383" s="123" t="s">
        <v>411</v>
      </c>
      <c r="E1383" t="s">
        <v>700</v>
      </c>
      <c r="G1383" t="s">
        <v>664</v>
      </c>
      <c r="H1383" s="107">
        <v>44561</v>
      </c>
      <c r="I1383" s="71"/>
      <c r="K1383" s="71"/>
      <c r="L1383" s="72"/>
      <c r="M1383" s="71"/>
      <c r="N1383" s="216"/>
      <c r="O1383" s="71"/>
      <c r="P1383" s="72">
        <v>18.181000000000001</v>
      </c>
    </row>
    <row r="1384" spans="1:16">
      <c r="A1384" s="319"/>
      <c r="B1384" s="321"/>
      <c r="C1384" s="323"/>
      <c r="D1384" s="123" t="s">
        <v>411</v>
      </c>
      <c r="E1384" t="s">
        <v>701</v>
      </c>
      <c r="G1384" t="s">
        <v>664</v>
      </c>
      <c r="H1384" s="107">
        <v>44561</v>
      </c>
      <c r="I1384" s="71"/>
      <c r="K1384" s="71"/>
      <c r="L1384" s="72"/>
      <c r="M1384" s="71"/>
      <c r="N1384" s="216"/>
      <c r="O1384" s="71"/>
      <c r="P1384" s="72">
        <v>0.41799999999999998</v>
      </c>
    </row>
    <row r="1385" spans="1:16">
      <c r="A1385" s="319"/>
      <c r="B1385" s="321"/>
      <c r="C1385" s="323"/>
      <c r="D1385" s="123" t="s">
        <v>411</v>
      </c>
      <c r="E1385" t="s">
        <v>702</v>
      </c>
      <c r="G1385" t="s">
        <v>664</v>
      </c>
      <c r="H1385" s="107">
        <v>44561</v>
      </c>
      <c r="I1385" s="71"/>
      <c r="K1385" s="71"/>
      <c r="L1385" s="72"/>
      <c r="M1385" s="71"/>
      <c r="N1385" s="216"/>
      <c r="O1385" s="71"/>
      <c r="P1385" s="72">
        <v>3.4000000000000002E-2</v>
      </c>
    </row>
    <row r="1386" spans="1:16">
      <c r="A1386" s="319"/>
      <c r="B1386" s="321"/>
      <c r="C1386" s="323"/>
      <c r="D1386" s="123" t="s">
        <v>411</v>
      </c>
      <c r="E1386" t="s">
        <v>703</v>
      </c>
      <c r="G1386" t="s">
        <v>664</v>
      </c>
      <c r="H1386" s="107">
        <v>44561</v>
      </c>
      <c r="I1386" s="71"/>
      <c r="K1386" s="71"/>
      <c r="L1386" s="72"/>
      <c r="M1386" s="71"/>
      <c r="N1386" s="216"/>
      <c r="O1386" s="71"/>
      <c r="P1386" s="72">
        <v>3.4000000000000002E-2</v>
      </c>
    </row>
    <row r="1387" spans="1:16">
      <c r="A1387" s="319"/>
      <c r="B1387" s="321"/>
      <c r="C1387" s="323"/>
      <c r="D1387" s="123" t="s">
        <v>411</v>
      </c>
      <c r="E1387" t="s">
        <v>704</v>
      </c>
      <c r="G1387" t="s">
        <v>664</v>
      </c>
      <c r="H1387" s="107">
        <v>44561</v>
      </c>
      <c r="I1387" s="71"/>
      <c r="K1387" s="71"/>
      <c r="L1387" s="72"/>
      <c r="M1387" s="71"/>
      <c r="N1387" s="216"/>
      <c r="O1387" s="71"/>
      <c r="P1387" s="72">
        <v>1E-3</v>
      </c>
    </row>
    <row r="1388" spans="1:16">
      <c r="A1388" s="319"/>
      <c r="B1388" s="321"/>
      <c r="C1388" s="323"/>
      <c r="D1388" s="117" t="s">
        <v>412</v>
      </c>
      <c r="E1388" t="s">
        <v>705</v>
      </c>
      <c r="G1388" t="s">
        <v>664</v>
      </c>
      <c r="H1388" s="107">
        <v>44561</v>
      </c>
      <c r="I1388" s="109"/>
      <c r="K1388" s="71"/>
      <c r="L1388" s="72"/>
      <c r="M1388" s="71"/>
      <c r="N1388" s="216"/>
      <c r="O1388" s="71"/>
      <c r="P1388" s="72">
        <v>2.464</v>
      </c>
    </row>
    <row r="1389" spans="1:16">
      <c r="A1389" s="319"/>
      <c r="B1389" s="321"/>
      <c r="C1389" s="323"/>
      <c r="D1389" s="117" t="s">
        <v>412</v>
      </c>
      <c r="E1389" t="s">
        <v>706</v>
      </c>
      <c r="G1389" t="s">
        <v>664</v>
      </c>
      <c r="H1389" s="107">
        <v>44561</v>
      </c>
      <c r="I1389" s="71"/>
      <c r="K1389" s="71"/>
      <c r="L1389" s="72"/>
      <c r="M1389" s="71"/>
      <c r="N1389" s="216"/>
      <c r="O1389" s="71"/>
      <c r="P1389" s="72">
        <v>3.67</v>
      </c>
    </row>
    <row r="1390" spans="1:16">
      <c r="A1390" s="319"/>
      <c r="B1390" s="321"/>
      <c r="C1390" s="323"/>
      <c r="D1390" s="117" t="s">
        <v>412</v>
      </c>
      <c r="E1390" t="s">
        <v>707</v>
      </c>
      <c r="G1390" t="s">
        <v>664</v>
      </c>
      <c r="H1390" s="107">
        <v>44561</v>
      </c>
      <c r="I1390" s="109"/>
      <c r="K1390" s="71"/>
      <c r="L1390" s="72"/>
      <c r="M1390" s="71"/>
      <c r="N1390" s="216"/>
      <c r="O1390" s="71"/>
      <c r="P1390" s="72">
        <v>3.3620000000000001</v>
      </c>
    </row>
    <row r="1391" spans="1:16">
      <c r="A1391" s="319"/>
      <c r="B1391" s="321"/>
      <c r="C1391" s="323"/>
      <c r="D1391" s="117" t="s">
        <v>414</v>
      </c>
      <c r="G1391" t="s">
        <v>664</v>
      </c>
      <c r="H1391" s="107">
        <v>44561</v>
      </c>
      <c r="I1391" s="72"/>
      <c r="K1391" s="71"/>
      <c r="L1391" s="72"/>
      <c r="M1391" s="71"/>
      <c r="N1391" s="216"/>
      <c r="O1391" s="71"/>
      <c r="P1391" s="72">
        <f>P1388+P1382</f>
        <v>21.131999999999998</v>
      </c>
    </row>
    <row r="1392" spans="1:16">
      <c r="A1392" s="319"/>
      <c r="B1392" s="321"/>
      <c r="C1392" s="323"/>
      <c r="D1392" s="66" t="s">
        <v>415</v>
      </c>
      <c r="E1392" t="s">
        <v>653</v>
      </c>
      <c r="G1392" t="s">
        <v>664</v>
      </c>
      <c r="H1392" s="107">
        <v>44561</v>
      </c>
      <c r="I1392" s="71"/>
      <c r="K1392" s="71"/>
      <c r="L1392" s="72"/>
      <c r="M1392" s="71"/>
      <c r="N1392" s="216"/>
      <c r="O1392" s="71"/>
      <c r="P1392" s="72">
        <v>55.195</v>
      </c>
    </row>
    <row r="1393" spans="1:16">
      <c r="A1393" s="319"/>
      <c r="B1393" s="321"/>
      <c r="C1393" s="323"/>
      <c r="D1393" s="66" t="s">
        <v>415</v>
      </c>
      <c r="E1393" t="s">
        <v>654</v>
      </c>
      <c r="G1393" t="s">
        <v>664</v>
      </c>
      <c r="H1393" s="107">
        <v>44561</v>
      </c>
      <c r="I1393" s="71"/>
      <c r="K1393" s="71"/>
      <c r="L1393" s="72"/>
      <c r="M1393" s="71"/>
      <c r="N1393" s="216"/>
      <c r="O1393" s="71"/>
      <c r="P1393" s="72">
        <v>1.7010000000000001</v>
      </c>
    </row>
    <row r="1394" spans="1:16">
      <c r="A1394" s="319"/>
      <c r="B1394" s="321"/>
      <c r="C1394" s="323"/>
      <c r="D1394" s="66" t="s">
        <v>415</v>
      </c>
      <c r="E1394" t="s">
        <v>1213</v>
      </c>
      <c r="G1394" t="s">
        <v>664</v>
      </c>
      <c r="H1394" s="107">
        <v>44561</v>
      </c>
      <c r="I1394" s="71"/>
      <c r="K1394" s="71"/>
      <c r="L1394" s="72"/>
      <c r="M1394" s="71"/>
      <c r="N1394" s="216"/>
      <c r="O1394" s="71"/>
      <c r="P1394" s="72">
        <v>2.9039999999999999</v>
      </c>
    </row>
    <row r="1395" spans="1:16">
      <c r="A1395" s="319"/>
      <c r="B1395" s="321"/>
      <c r="C1395" s="323"/>
      <c r="D1395" s="66" t="s">
        <v>415</v>
      </c>
      <c r="E1395" t="s">
        <v>708</v>
      </c>
      <c r="G1395" t="s">
        <v>664</v>
      </c>
      <c r="H1395" s="107">
        <v>44561</v>
      </c>
      <c r="I1395" s="71"/>
      <c r="K1395" s="71"/>
      <c r="L1395" s="72"/>
      <c r="M1395" s="71"/>
      <c r="N1395" s="216"/>
      <c r="O1395" s="71"/>
      <c r="P1395" s="72">
        <v>2.2519999999999998</v>
      </c>
    </row>
    <row r="1396" spans="1:16">
      <c r="A1396" s="319"/>
      <c r="B1396" s="321"/>
      <c r="C1396" s="323"/>
      <c r="D1396" s="66" t="s">
        <v>415</v>
      </c>
      <c r="E1396" t="s">
        <v>709</v>
      </c>
      <c r="G1396" t="s">
        <v>664</v>
      </c>
      <c r="H1396" s="107">
        <v>44561</v>
      </c>
      <c r="I1396" s="71"/>
      <c r="K1396" s="71"/>
      <c r="L1396" s="72"/>
      <c r="M1396" s="71"/>
      <c r="N1396" s="216"/>
      <c r="O1396" s="71"/>
      <c r="P1396" s="72">
        <v>1.742</v>
      </c>
    </row>
    <row r="1397" spans="1:16">
      <c r="A1397" s="319"/>
      <c r="B1397" s="321"/>
      <c r="C1397" s="323"/>
      <c r="D1397" s="66" t="s">
        <v>415</v>
      </c>
      <c r="E1397" t="s">
        <v>710</v>
      </c>
      <c r="G1397" t="s">
        <v>664</v>
      </c>
      <c r="H1397" s="107">
        <v>44561</v>
      </c>
      <c r="I1397" s="71"/>
      <c r="K1397" s="71"/>
      <c r="L1397" s="72"/>
      <c r="M1397" s="71"/>
      <c r="N1397" s="216"/>
      <c r="O1397" s="71"/>
      <c r="P1397" s="72">
        <v>2.7E-2</v>
      </c>
    </row>
    <row r="1398" spans="1:16">
      <c r="A1398" s="319"/>
      <c r="B1398" s="321"/>
      <c r="C1398" s="323"/>
      <c r="D1398" s="66" t="s">
        <v>415</v>
      </c>
      <c r="E1398" t="s">
        <v>657</v>
      </c>
      <c r="G1398" t="s">
        <v>664</v>
      </c>
      <c r="H1398" s="107">
        <v>44561</v>
      </c>
      <c r="I1398" s="71"/>
      <c r="K1398" s="71"/>
      <c r="L1398" s="72"/>
      <c r="M1398" s="71"/>
      <c r="N1398" s="216"/>
      <c r="O1398" s="71"/>
      <c r="P1398" s="72">
        <v>0.16300000000000001</v>
      </c>
    </row>
    <row r="1399" spans="1:16">
      <c r="A1399" s="319"/>
      <c r="B1399" s="321"/>
      <c r="C1399" s="323"/>
      <c r="D1399" s="66" t="s">
        <v>415</v>
      </c>
      <c r="E1399" t="s">
        <v>711</v>
      </c>
      <c r="G1399" t="s">
        <v>664</v>
      </c>
      <c r="H1399" s="107">
        <v>44561</v>
      </c>
      <c r="I1399" s="71"/>
      <c r="K1399" s="71"/>
      <c r="L1399" s="72"/>
      <c r="M1399" s="71"/>
      <c r="N1399" s="216"/>
      <c r="O1399" s="71"/>
      <c r="P1399" s="72">
        <v>0.14699999999999999</v>
      </c>
    </row>
    <row r="1400" spans="1:16">
      <c r="A1400" s="319"/>
      <c r="B1400" s="321"/>
      <c r="C1400" s="323"/>
      <c r="D1400" s="66" t="s">
        <v>415</v>
      </c>
      <c r="E1400" t="s">
        <v>712</v>
      </c>
      <c r="G1400" t="s">
        <v>664</v>
      </c>
      <c r="H1400" s="107">
        <v>44561</v>
      </c>
      <c r="I1400" s="71"/>
      <c r="K1400" s="71"/>
      <c r="L1400" s="72"/>
      <c r="M1400" s="71"/>
      <c r="N1400" s="216"/>
      <c r="O1400" s="71"/>
      <c r="P1400" s="72">
        <v>1.702</v>
      </c>
    </row>
    <row r="1401" spans="1:16">
      <c r="A1401" s="319"/>
      <c r="B1401" s="321"/>
      <c r="C1401" s="323"/>
      <c r="D1401" s="66" t="s">
        <v>415</v>
      </c>
      <c r="E1401" t="s">
        <v>658</v>
      </c>
      <c r="G1401" t="s">
        <v>664</v>
      </c>
      <c r="H1401" s="107">
        <v>44561</v>
      </c>
      <c r="I1401" s="71"/>
      <c r="K1401" s="71"/>
      <c r="L1401" s="72"/>
      <c r="M1401" s="71"/>
      <c r="N1401" s="216"/>
      <c r="O1401" s="71"/>
      <c r="P1401" s="72">
        <v>4.05</v>
      </c>
    </row>
    <row r="1402" spans="1:16">
      <c r="A1402" s="319"/>
      <c r="B1402" s="321"/>
      <c r="C1402" s="323"/>
      <c r="D1402" s="136" t="s">
        <v>415</v>
      </c>
      <c r="E1402" s="137" t="s">
        <v>713</v>
      </c>
      <c r="F1402" s="137"/>
      <c r="G1402" s="137" t="s">
        <v>664</v>
      </c>
      <c r="H1402" s="107">
        <v>44561</v>
      </c>
      <c r="I1402" s="138"/>
      <c r="K1402" s="71"/>
      <c r="L1402" s="72"/>
      <c r="M1402" s="71"/>
      <c r="N1402" s="216"/>
      <c r="O1402" s="71"/>
      <c r="P1402" s="72">
        <v>28.34</v>
      </c>
    </row>
    <row r="1403" spans="1:16">
      <c r="A1403" s="319"/>
      <c r="B1403" s="321"/>
      <c r="C1403" s="323"/>
      <c r="D1403" s="66" t="s">
        <v>415</v>
      </c>
      <c r="E1403" t="s">
        <v>714</v>
      </c>
      <c r="G1403" t="s">
        <v>664</v>
      </c>
      <c r="H1403" s="107">
        <v>44561</v>
      </c>
      <c r="I1403" s="71"/>
      <c r="K1403" s="71"/>
      <c r="L1403" s="72"/>
      <c r="M1403" s="71"/>
      <c r="N1403" s="216"/>
      <c r="O1403" s="71"/>
      <c r="P1403" s="72">
        <v>3.073</v>
      </c>
    </row>
    <row r="1404" spans="1:16">
      <c r="A1404" s="319"/>
      <c r="B1404" s="321"/>
      <c r="C1404" s="323"/>
      <c r="D1404" s="121" t="s">
        <v>415</v>
      </c>
      <c r="G1404" t="s">
        <v>664</v>
      </c>
      <c r="H1404" s="107">
        <v>44561</v>
      </c>
      <c r="I1404" s="109"/>
      <c r="K1404" s="71"/>
      <c r="L1404" s="72"/>
      <c r="M1404" s="71"/>
      <c r="N1404" s="216"/>
      <c r="O1404" s="71"/>
      <c r="P1404" s="72">
        <f>SUM(P1392:P1403)</f>
        <v>101.29599999999999</v>
      </c>
    </row>
    <row r="1405" spans="1:16">
      <c r="A1405" s="319"/>
      <c r="B1405" s="321"/>
      <c r="C1405" s="323"/>
      <c r="D1405" s="117" t="s">
        <v>417</v>
      </c>
      <c r="E1405" t="s">
        <v>661</v>
      </c>
      <c r="G1405" t="s">
        <v>669</v>
      </c>
      <c r="H1405" s="107">
        <v>44561</v>
      </c>
      <c r="I1405" s="71">
        <v>57550</v>
      </c>
      <c r="K1405" s="71">
        <v>57550</v>
      </c>
      <c r="L1405" s="72">
        <v>61223</v>
      </c>
      <c r="M1405" s="71">
        <v>60220</v>
      </c>
      <c r="N1405" s="216">
        <v>59316</v>
      </c>
      <c r="O1405" s="71">
        <v>59149</v>
      </c>
      <c r="P1405" s="72">
        <v>78598</v>
      </c>
    </row>
    <row r="1406" spans="1:16">
      <c r="A1406" s="319"/>
      <c r="B1406" s="321"/>
      <c r="C1406" s="323"/>
      <c r="D1406" s="118" t="s">
        <v>418</v>
      </c>
      <c r="H1406" s="107">
        <v>44561</v>
      </c>
      <c r="I1406" s="65"/>
      <c r="K1406" s="71"/>
      <c r="L1406" s="72"/>
      <c r="M1406" s="71"/>
      <c r="N1406" s="216"/>
      <c r="O1406" s="71"/>
      <c r="P1406" s="72" t="s">
        <v>715</v>
      </c>
    </row>
    <row r="1407" spans="1:16">
      <c r="A1407" s="319"/>
      <c r="B1407" s="322"/>
      <c r="C1407" s="323"/>
      <c r="D1407" s="66"/>
      <c r="H1407" s="65"/>
      <c r="I1407" s="65"/>
      <c r="K1407" s="71"/>
      <c r="L1407" s="72"/>
      <c r="M1407" s="71"/>
      <c r="N1407" s="216"/>
      <c r="O1407" s="71"/>
      <c r="P1407" s="72"/>
    </row>
    <row r="1408" spans="1:16">
      <c r="A1408" s="319" t="s">
        <v>869</v>
      </c>
      <c r="B1408" s="320">
        <v>0</v>
      </c>
      <c r="C1408" s="323" t="s">
        <v>870</v>
      </c>
      <c r="D1408" s="123" t="s">
        <v>411</v>
      </c>
      <c r="G1408" t="s">
        <v>664</v>
      </c>
      <c r="H1408" s="107">
        <v>44561</v>
      </c>
      <c r="I1408" s="72">
        <f t="shared" ref="I1408" si="61">SUM(I1409:I1413)</f>
        <v>17.82</v>
      </c>
      <c r="K1408" s="71"/>
      <c r="L1408" s="72"/>
      <c r="M1408" s="71"/>
      <c r="N1408" s="216"/>
      <c r="O1408" s="71">
        <f t="shared" ref="O1408" si="62">SUM(O1409:O1413)</f>
        <v>17.523</v>
      </c>
      <c r="P1408" s="72">
        <f>SUM(P1409:P1413)</f>
        <v>17.721</v>
      </c>
    </row>
    <row r="1409" spans="1:16">
      <c r="A1409" s="319"/>
      <c r="B1409" s="321"/>
      <c r="C1409" s="323"/>
      <c r="D1409" s="123" t="s">
        <v>411</v>
      </c>
      <c r="E1409" t="s">
        <v>700</v>
      </c>
      <c r="G1409" t="s">
        <v>664</v>
      </c>
      <c r="H1409" s="107">
        <v>44561</v>
      </c>
      <c r="I1409" s="71">
        <v>17.024999999999999</v>
      </c>
      <c r="K1409" s="71"/>
      <c r="L1409" s="72"/>
      <c r="M1409" s="71"/>
      <c r="N1409" s="216"/>
      <c r="O1409" s="71">
        <v>16.86</v>
      </c>
      <c r="P1409" s="72">
        <v>17.234000000000002</v>
      </c>
    </row>
    <row r="1410" spans="1:16">
      <c r="A1410" s="319"/>
      <c r="B1410" s="321"/>
      <c r="C1410" s="323"/>
      <c r="D1410" s="123" t="s">
        <v>411</v>
      </c>
      <c r="E1410" t="s">
        <v>701</v>
      </c>
      <c r="G1410" t="s">
        <v>664</v>
      </c>
      <c r="H1410" s="107">
        <v>44561</v>
      </c>
      <c r="I1410" s="71">
        <v>0.67700000000000005</v>
      </c>
      <c r="K1410" s="71"/>
      <c r="L1410" s="72"/>
      <c r="M1410" s="71"/>
      <c r="N1410" s="216"/>
      <c r="O1410" s="71">
        <v>0.60899999999999999</v>
      </c>
      <c r="P1410" s="72">
        <v>0.41799999999999998</v>
      </c>
    </row>
    <row r="1411" spans="1:16">
      <c r="A1411" s="319"/>
      <c r="B1411" s="321"/>
      <c r="C1411" s="323"/>
      <c r="D1411" s="123" t="s">
        <v>411</v>
      </c>
      <c r="E1411" t="s">
        <v>702</v>
      </c>
      <c r="G1411" t="s">
        <v>664</v>
      </c>
      <c r="H1411" s="107">
        <v>44561</v>
      </c>
      <c r="I1411" s="71">
        <v>2.7E-2</v>
      </c>
      <c r="K1411" s="71"/>
      <c r="L1411" s="72"/>
      <c r="M1411" s="71"/>
      <c r="N1411" s="216"/>
      <c r="O1411" s="71">
        <v>2.3E-2</v>
      </c>
      <c r="P1411" s="72">
        <v>3.4000000000000002E-2</v>
      </c>
    </row>
    <row r="1412" spans="1:16">
      <c r="A1412" s="319"/>
      <c r="B1412" s="321"/>
      <c r="C1412" s="323"/>
      <c r="D1412" s="123" t="s">
        <v>411</v>
      </c>
      <c r="E1412" t="s">
        <v>703</v>
      </c>
      <c r="G1412" t="s">
        <v>664</v>
      </c>
      <c r="H1412" s="107">
        <v>44561</v>
      </c>
      <c r="I1412" s="71">
        <v>9.0999999999999998E-2</v>
      </c>
      <c r="K1412" s="71"/>
      <c r="L1412" s="72"/>
      <c r="M1412" s="71"/>
      <c r="N1412" s="216"/>
      <c r="O1412" s="71">
        <v>3.1E-2</v>
      </c>
      <c r="P1412" s="72">
        <v>3.4000000000000002E-2</v>
      </c>
    </row>
    <row r="1413" spans="1:16">
      <c r="A1413" s="319"/>
      <c r="B1413" s="321"/>
      <c r="C1413" s="323"/>
      <c r="D1413" s="123" t="s">
        <v>411</v>
      </c>
      <c r="E1413" t="s">
        <v>704</v>
      </c>
      <c r="G1413" t="s">
        <v>664</v>
      </c>
      <c r="H1413" s="107">
        <v>44561</v>
      </c>
      <c r="I1413" s="71">
        <v>0</v>
      </c>
      <c r="K1413" s="71"/>
      <c r="L1413" s="72"/>
      <c r="M1413" s="71"/>
      <c r="N1413" s="216"/>
      <c r="O1413" s="71">
        <v>0</v>
      </c>
      <c r="P1413" s="72">
        <v>1E-3</v>
      </c>
    </row>
    <row r="1414" spans="1:16">
      <c r="A1414" s="319"/>
      <c r="B1414" s="321"/>
      <c r="C1414" s="323"/>
      <c r="D1414" s="123" t="s">
        <v>411</v>
      </c>
      <c r="E1414" t="s">
        <v>716</v>
      </c>
      <c r="G1414" t="s">
        <v>664</v>
      </c>
      <c r="H1414" s="107">
        <v>44561</v>
      </c>
      <c r="I1414" s="71">
        <v>0.77300000000000002</v>
      </c>
      <c r="K1414" s="71"/>
      <c r="L1414" s="72"/>
      <c r="M1414" s="71"/>
      <c r="N1414" s="216"/>
      <c r="O1414" s="71">
        <v>0.84499999999999997</v>
      </c>
      <c r="P1414" s="72">
        <v>0.94699999999999995</v>
      </c>
    </row>
    <row r="1415" spans="1:16">
      <c r="A1415" s="319"/>
      <c r="B1415" s="321"/>
      <c r="C1415" s="323"/>
      <c r="D1415" s="117" t="s">
        <v>412</v>
      </c>
      <c r="E1415" t="s">
        <v>705</v>
      </c>
      <c r="G1415" t="s">
        <v>664</v>
      </c>
      <c r="H1415" s="107">
        <v>44561</v>
      </c>
      <c r="I1415" s="109">
        <v>4.0670000000000002</v>
      </c>
      <c r="K1415" s="71"/>
      <c r="L1415" s="72"/>
      <c r="M1415" s="71"/>
      <c r="N1415" s="216"/>
      <c r="O1415" s="71">
        <v>3.2789999999999999</v>
      </c>
      <c r="P1415" s="72">
        <v>2.464</v>
      </c>
    </row>
    <row r="1416" spans="1:16">
      <c r="A1416" s="319"/>
      <c r="B1416" s="321"/>
      <c r="C1416" s="323"/>
      <c r="D1416" s="117" t="s">
        <v>412</v>
      </c>
      <c r="E1416" t="s">
        <v>706</v>
      </c>
      <c r="G1416" t="s">
        <v>664</v>
      </c>
      <c r="H1416" s="107">
        <v>44561</v>
      </c>
      <c r="I1416" s="109"/>
      <c r="K1416" s="71"/>
      <c r="L1416" s="72"/>
      <c r="M1416" s="71"/>
      <c r="N1416" s="216"/>
      <c r="O1416" s="71">
        <v>3.3620000000000001</v>
      </c>
      <c r="P1416" s="72">
        <v>3.67</v>
      </c>
    </row>
    <row r="1417" spans="1:16">
      <c r="A1417" s="319"/>
      <c r="B1417" s="321"/>
      <c r="C1417" s="323"/>
      <c r="D1417" s="117" t="s">
        <v>412</v>
      </c>
      <c r="E1417" t="s">
        <v>717</v>
      </c>
      <c r="G1417" t="s">
        <v>664</v>
      </c>
      <c r="H1417" s="107">
        <v>44561</v>
      </c>
      <c r="I1417" s="109"/>
      <c r="K1417" s="71"/>
      <c r="L1417" s="72"/>
      <c r="M1417" s="71"/>
      <c r="N1417" s="216"/>
      <c r="O1417" s="71">
        <v>3.3620000000000001</v>
      </c>
      <c r="P1417" s="72">
        <v>3.67</v>
      </c>
    </row>
    <row r="1418" spans="1:16">
      <c r="A1418" s="319"/>
      <c r="B1418" s="321"/>
      <c r="C1418" s="323"/>
      <c r="D1418" s="117" t="s">
        <v>414</v>
      </c>
      <c r="G1418" t="s">
        <v>664</v>
      </c>
      <c r="H1418" s="107">
        <v>44561</v>
      </c>
      <c r="I1418" s="72">
        <f>I1415+I1408</f>
        <v>21.887</v>
      </c>
      <c r="K1418" s="71"/>
      <c r="L1418" s="72"/>
      <c r="M1418" s="71"/>
      <c r="N1418" s="216"/>
      <c r="O1418" s="71">
        <f t="shared" ref="O1418" si="63">O1415+O1408</f>
        <v>20.802</v>
      </c>
      <c r="P1418" s="72">
        <f>P1415+P1408</f>
        <v>20.184999999999999</v>
      </c>
    </row>
    <row r="1419" spans="1:16">
      <c r="A1419" s="319"/>
      <c r="B1419" s="321"/>
      <c r="C1419" s="323"/>
      <c r="D1419" s="66" t="s">
        <v>415</v>
      </c>
      <c r="E1419" t="s">
        <v>718</v>
      </c>
      <c r="G1419" t="s">
        <v>664</v>
      </c>
      <c r="H1419" s="107">
        <v>44561</v>
      </c>
      <c r="I1419" s="71"/>
      <c r="K1419" s="71"/>
      <c r="L1419" s="72"/>
      <c r="M1419" s="71"/>
      <c r="N1419" s="216"/>
      <c r="O1419" s="71"/>
      <c r="P1419" s="72">
        <v>59</v>
      </c>
    </row>
    <row r="1420" spans="1:16">
      <c r="A1420" s="319"/>
      <c r="B1420" s="321"/>
      <c r="C1420" s="323"/>
      <c r="D1420" s="66" t="s">
        <v>415</v>
      </c>
      <c r="E1420" t="s">
        <v>719</v>
      </c>
      <c r="G1420" t="s">
        <v>664</v>
      </c>
      <c r="H1420" s="107">
        <v>44561</v>
      </c>
      <c r="I1420" s="71"/>
      <c r="K1420" s="71"/>
      <c r="L1420" s="72"/>
      <c r="M1420" s="71"/>
      <c r="N1420" s="216"/>
      <c r="O1420" s="71"/>
      <c r="P1420" s="72">
        <v>21</v>
      </c>
    </row>
    <row r="1421" spans="1:16">
      <c r="A1421" s="319"/>
      <c r="B1421" s="321"/>
      <c r="C1421" s="323"/>
      <c r="D1421" s="66" t="s">
        <v>415</v>
      </c>
      <c r="E1421" t="s">
        <v>720</v>
      </c>
      <c r="G1421" t="s">
        <v>664</v>
      </c>
      <c r="H1421" s="107">
        <v>44561</v>
      </c>
      <c r="I1421" s="71"/>
      <c r="K1421" s="71"/>
      <c r="L1421" s="72"/>
      <c r="M1421" s="71"/>
      <c r="N1421" s="216"/>
      <c r="O1421" s="71"/>
      <c r="P1421" s="72">
        <v>4</v>
      </c>
    </row>
    <row r="1422" spans="1:16">
      <c r="A1422" s="319"/>
      <c r="B1422" s="321"/>
      <c r="C1422" s="323"/>
      <c r="D1422" s="66" t="s">
        <v>415</v>
      </c>
      <c r="E1422" t="s">
        <v>721</v>
      </c>
      <c r="G1422" t="s">
        <v>664</v>
      </c>
      <c r="H1422" s="107">
        <v>44561</v>
      </c>
      <c r="I1422" s="71"/>
      <c r="K1422" s="71"/>
      <c r="L1422" s="72"/>
      <c r="M1422" s="71"/>
      <c r="N1422" s="216"/>
      <c r="O1422" s="71"/>
      <c r="P1422" s="72">
        <v>4</v>
      </c>
    </row>
    <row r="1423" spans="1:16">
      <c r="A1423" s="319"/>
      <c r="B1423" s="321"/>
      <c r="C1423" s="323"/>
      <c r="D1423" s="66" t="s">
        <v>415</v>
      </c>
      <c r="E1423" t="s">
        <v>722</v>
      </c>
      <c r="G1423" t="s">
        <v>664</v>
      </c>
      <c r="H1423" s="107">
        <v>44561</v>
      </c>
      <c r="I1423" s="71"/>
      <c r="K1423" s="71"/>
      <c r="L1423" s="72"/>
      <c r="M1423" s="71"/>
      <c r="N1423" s="216"/>
      <c r="O1423" s="71"/>
      <c r="P1423" s="72">
        <v>28</v>
      </c>
    </row>
    <row r="1424" spans="1:16">
      <c r="A1424" s="319"/>
      <c r="B1424" s="321"/>
      <c r="C1424" s="323"/>
      <c r="D1424" s="66" t="s">
        <v>415</v>
      </c>
      <c r="E1424" t="s">
        <v>723</v>
      </c>
      <c r="G1424" t="s">
        <v>664</v>
      </c>
      <c r="H1424" s="107">
        <v>44561</v>
      </c>
      <c r="I1424" s="71"/>
      <c r="K1424" s="71"/>
      <c r="L1424" s="72"/>
      <c r="M1424" s="71"/>
      <c r="N1424" s="216"/>
      <c r="O1424" s="71"/>
      <c r="P1424" s="72">
        <v>6</v>
      </c>
    </row>
    <row r="1425" spans="1:16">
      <c r="A1425" s="319"/>
      <c r="B1425" s="321"/>
      <c r="C1425" s="323"/>
      <c r="D1425" s="121" t="s">
        <v>415</v>
      </c>
      <c r="G1425" t="s">
        <v>664</v>
      </c>
      <c r="H1425" s="107">
        <v>44561</v>
      </c>
      <c r="I1425" s="84"/>
      <c r="K1425" s="71"/>
      <c r="L1425" s="72"/>
      <c r="M1425" s="71"/>
      <c r="N1425" s="216"/>
      <c r="O1425" s="71"/>
      <c r="P1425" s="72">
        <f>SUM(P1419:P1424)</f>
        <v>122</v>
      </c>
    </row>
    <row r="1426" spans="1:16">
      <c r="A1426" s="319"/>
      <c r="B1426" s="321"/>
      <c r="C1426" s="323"/>
      <c r="D1426" s="117" t="s">
        <v>417</v>
      </c>
      <c r="E1426" t="s">
        <v>661</v>
      </c>
      <c r="G1426" t="s">
        <v>669</v>
      </c>
      <c r="H1426" s="107">
        <v>44561</v>
      </c>
      <c r="I1426" s="71">
        <v>57550</v>
      </c>
      <c r="K1426" s="71">
        <v>57550</v>
      </c>
      <c r="L1426" s="72">
        <v>61223</v>
      </c>
      <c r="M1426" s="71">
        <v>60220</v>
      </c>
      <c r="N1426" s="216">
        <v>59316</v>
      </c>
      <c r="O1426" s="71">
        <v>59149</v>
      </c>
      <c r="P1426" s="72">
        <v>78598</v>
      </c>
    </row>
    <row r="1427" spans="1:16">
      <c r="A1427" s="319"/>
      <c r="B1427" s="321"/>
      <c r="C1427" s="323"/>
      <c r="D1427" s="118" t="s">
        <v>418</v>
      </c>
      <c r="H1427" s="107">
        <v>44561</v>
      </c>
      <c r="I1427" s="65"/>
      <c r="K1427" s="71"/>
      <c r="L1427" s="72"/>
      <c r="M1427" s="71"/>
      <c r="N1427" s="216"/>
      <c r="O1427" s="71"/>
      <c r="P1427" s="72" t="s">
        <v>724</v>
      </c>
    </row>
    <row r="1428" spans="1:16">
      <c r="A1428" s="319"/>
      <c r="B1428" s="322"/>
      <c r="C1428" s="323"/>
      <c r="D1428" s="66"/>
      <c r="H1428" s="65"/>
      <c r="I1428" s="65"/>
      <c r="K1428" s="71"/>
      <c r="L1428" s="72"/>
      <c r="M1428" s="71"/>
      <c r="N1428" s="216"/>
      <c r="O1428" s="71"/>
      <c r="P1428" s="72"/>
    </row>
    <row r="1429" spans="1:16">
      <c r="A1429" s="315" t="s">
        <v>869</v>
      </c>
      <c r="B1429" s="288">
        <v>0</v>
      </c>
      <c r="C1429" s="317" t="s">
        <v>870</v>
      </c>
      <c r="D1429" s="123" t="s">
        <v>411</v>
      </c>
      <c r="G1429" t="s">
        <v>664</v>
      </c>
      <c r="H1429" s="107">
        <v>44196</v>
      </c>
      <c r="I1429" s="65"/>
      <c r="K1429" s="71"/>
      <c r="L1429" s="72"/>
      <c r="M1429" s="71"/>
      <c r="N1429" s="216">
        <f t="shared" ref="N1429:O1429" si="64">SUM(N1430:N1434)</f>
        <v>16.558</v>
      </c>
      <c r="O1429" s="71">
        <f t="shared" si="64"/>
        <v>17.526789999999998</v>
      </c>
      <c r="P1429" s="72"/>
    </row>
    <row r="1430" spans="1:16">
      <c r="A1430" s="306"/>
      <c r="B1430" s="289"/>
      <c r="C1430" s="307"/>
      <c r="D1430" s="123" t="s">
        <v>411</v>
      </c>
      <c r="E1430" t="s">
        <v>700</v>
      </c>
      <c r="G1430" t="s">
        <v>664</v>
      </c>
      <c r="H1430" s="107">
        <v>44196</v>
      </c>
      <c r="I1430" s="65"/>
      <c r="K1430" s="71"/>
      <c r="L1430" s="72"/>
      <c r="M1430" s="71"/>
      <c r="N1430" s="216">
        <v>15.855</v>
      </c>
      <c r="O1430" s="71">
        <v>16.86</v>
      </c>
      <c r="P1430" s="72"/>
    </row>
    <row r="1431" spans="1:16">
      <c r="A1431" s="306"/>
      <c r="B1431" s="289"/>
      <c r="C1431" s="307"/>
      <c r="D1431" s="123" t="s">
        <v>411</v>
      </c>
      <c r="E1431" t="s">
        <v>701</v>
      </c>
      <c r="G1431" t="s">
        <v>664</v>
      </c>
      <c r="H1431" s="107">
        <v>44196</v>
      </c>
      <c r="I1431" s="65"/>
      <c r="K1431" s="71"/>
      <c r="L1431" s="72"/>
      <c r="M1431" s="71"/>
      <c r="N1431" s="216">
        <v>0.59799999999999998</v>
      </c>
      <c r="O1431" s="71">
        <v>0.60899999999999999</v>
      </c>
      <c r="P1431" s="72"/>
    </row>
    <row r="1432" spans="1:16">
      <c r="A1432" s="306"/>
      <c r="B1432" s="289"/>
      <c r="C1432" s="307"/>
      <c r="D1432" s="123" t="s">
        <v>411</v>
      </c>
      <c r="E1432" t="s">
        <v>702</v>
      </c>
      <c r="G1432" t="s">
        <v>664</v>
      </c>
      <c r="H1432" s="107">
        <v>44196</v>
      </c>
      <c r="I1432" s="65"/>
      <c r="K1432" s="71"/>
      <c r="L1432" s="72"/>
      <c r="M1432" s="71"/>
      <c r="N1432" s="216">
        <v>2.3E-2</v>
      </c>
      <c r="O1432" s="71">
        <v>2.5000000000000001E-2</v>
      </c>
      <c r="P1432" s="72"/>
    </row>
    <row r="1433" spans="1:16">
      <c r="A1433" s="306"/>
      <c r="B1433" s="289"/>
      <c r="C1433" s="307"/>
      <c r="D1433" s="123" t="s">
        <v>411</v>
      </c>
      <c r="E1433" t="s">
        <v>703</v>
      </c>
      <c r="G1433" t="s">
        <v>664</v>
      </c>
      <c r="H1433" s="107">
        <v>44196</v>
      </c>
      <c r="I1433" s="65"/>
      <c r="K1433" s="71"/>
      <c r="L1433" s="72"/>
      <c r="M1433" s="71"/>
      <c r="N1433" s="216">
        <v>8.2000000000000003E-2</v>
      </c>
      <c r="O1433" s="71">
        <v>3.279E-2</v>
      </c>
      <c r="P1433" s="72"/>
    </row>
    <row r="1434" spans="1:16">
      <c r="A1434" s="306"/>
      <c r="B1434" s="289"/>
      <c r="C1434" s="307"/>
      <c r="D1434" s="123" t="s">
        <v>411</v>
      </c>
      <c r="E1434" t="s">
        <v>704</v>
      </c>
      <c r="G1434" t="s">
        <v>664</v>
      </c>
      <c r="H1434" s="107">
        <v>44196</v>
      </c>
      <c r="I1434" s="65"/>
      <c r="K1434" s="71"/>
      <c r="L1434" s="72"/>
      <c r="M1434" s="71"/>
      <c r="N1434" s="216">
        <v>0</v>
      </c>
      <c r="O1434" s="71">
        <v>0</v>
      </c>
      <c r="P1434" s="72"/>
    </row>
    <row r="1435" spans="1:16">
      <c r="A1435" s="306"/>
      <c r="B1435" s="289"/>
      <c r="C1435" s="307"/>
      <c r="D1435" s="123" t="s">
        <v>411</v>
      </c>
      <c r="E1435" t="s">
        <v>716</v>
      </c>
      <c r="G1435" t="s">
        <v>664</v>
      </c>
      <c r="H1435" s="107">
        <v>44196</v>
      </c>
      <c r="I1435" s="65"/>
      <c r="K1435" s="71"/>
      <c r="L1435" s="72"/>
      <c r="M1435" s="71"/>
      <c r="N1435" s="216">
        <v>0.77900000000000003</v>
      </c>
      <c r="O1435" s="71">
        <v>0.86899999999999999</v>
      </c>
      <c r="P1435" s="72"/>
    </row>
    <row r="1436" spans="1:16">
      <c r="A1436" s="306"/>
      <c r="B1436" s="289"/>
      <c r="C1436" s="307"/>
      <c r="D1436" s="117" t="s">
        <v>412</v>
      </c>
      <c r="E1436" t="s">
        <v>420</v>
      </c>
      <c r="G1436" t="s">
        <v>664</v>
      </c>
      <c r="H1436" s="107">
        <v>44196</v>
      </c>
      <c r="I1436" s="65"/>
      <c r="K1436" s="71"/>
      <c r="L1436" s="72"/>
      <c r="M1436" s="71"/>
      <c r="N1436" s="216">
        <v>3.5190000000000001</v>
      </c>
      <c r="O1436" s="71">
        <v>3.2789999999999999</v>
      </c>
      <c r="P1436" s="72"/>
    </row>
    <row r="1437" spans="1:16">
      <c r="A1437" s="306"/>
      <c r="B1437" s="289"/>
      <c r="C1437" s="307"/>
      <c r="D1437" s="117" t="s">
        <v>412</v>
      </c>
      <c r="E1437" t="s">
        <v>706</v>
      </c>
      <c r="G1437" t="s">
        <v>664</v>
      </c>
      <c r="H1437" s="107">
        <v>44196</v>
      </c>
      <c r="I1437" s="65"/>
      <c r="K1437" s="71"/>
      <c r="L1437" s="72"/>
      <c r="M1437" s="71"/>
      <c r="N1437" s="216">
        <v>3.552</v>
      </c>
      <c r="O1437" s="71">
        <v>3.3620000000000001</v>
      </c>
      <c r="P1437" s="72"/>
    </row>
    <row r="1438" spans="1:16">
      <c r="A1438" s="306"/>
      <c r="B1438" s="289"/>
      <c r="C1438" s="307"/>
      <c r="D1438" s="117" t="s">
        <v>414</v>
      </c>
      <c r="G1438" t="s">
        <v>664</v>
      </c>
      <c r="H1438" s="107">
        <v>44196</v>
      </c>
      <c r="I1438" s="65"/>
      <c r="K1438" s="71"/>
      <c r="L1438" s="72"/>
      <c r="M1438" s="71"/>
      <c r="N1438" s="216">
        <f t="shared" ref="N1438" si="65">N1436+N1429</f>
        <v>20.076999999999998</v>
      </c>
      <c r="O1438" s="71">
        <f>O1436+O1429</f>
        <v>20.805789999999998</v>
      </c>
      <c r="P1438" s="72"/>
    </row>
    <row r="1439" spans="1:16">
      <c r="A1439" s="306"/>
      <c r="B1439" s="289"/>
      <c r="C1439" s="307"/>
      <c r="D1439" s="66" t="s">
        <v>415</v>
      </c>
      <c r="E1439" t="s">
        <v>718</v>
      </c>
      <c r="G1439" t="s">
        <v>664</v>
      </c>
      <c r="H1439" s="107">
        <v>44196</v>
      </c>
      <c r="I1439" s="71"/>
      <c r="K1439" s="71"/>
      <c r="L1439" s="72"/>
      <c r="M1439" s="71"/>
      <c r="N1439" s="216"/>
      <c r="O1439" s="71">
        <v>52</v>
      </c>
      <c r="P1439" s="72"/>
    </row>
    <row r="1440" spans="1:16">
      <c r="A1440" s="306"/>
      <c r="B1440" s="289"/>
      <c r="C1440" s="307"/>
      <c r="D1440" s="66" t="s">
        <v>415</v>
      </c>
      <c r="E1440" t="s">
        <v>719</v>
      </c>
      <c r="G1440" t="s">
        <v>664</v>
      </c>
      <c r="H1440" s="107">
        <v>44196</v>
      </c>
      <c r="I1440" s="71"/>
      <c r="K1440" s="71"/>
      <c r="L1440" s="72"/>
      <c r="M1440" s="71"/>
      <c r="N1440" s="216"/>
      <c r="O1440" s="71">
        <v>21</v>
      </c>
      <c r="P1440" s="72"/>
    </row>
    <row r="1441" spans="1:16">
      <c r="A1441" s="306"/>
      <c r="B1441" s="289"/>
      <c r="C1441" s="307"/>
      <c r="D1441" s="66" t="s">
        <v>415</v>
      </c>
      <c r="E1441" t="s">
        <v>720</v>
      </c>
      <c r="G1441" t="s">
        <v>664</v>
      </c>
      <c r="H1441" s="107">
        <v>44196</v>
      </c>
      <c r="I1441" s="71"/>
      <c r="K1441" s="71"/>
      <c r="L1441" s="72"/>
      <c r="M1441" s="71"/>
      <c r="N1441" s="216"/>
      <c r="O1441" s="71">
        <v>4</v>
      </c>
      <c r="P1441" s="72"/>
    </row>
    <row r="1442" spans="1:16">
      <c r="A1442" s="306"/>
      <c r="B1442" s="289"/>
      <c r="C1442" s="307"/>
      <c r="D1442" s="66" t="s">
        <v>415</v>
      </c>
      <c r="E1442" t="s">
        <v>721</v>
      </c>
      <c r="G1442" t="s">
        <v>664</v>
      </c>
      <c r="H1442" s="107">
        <v>44196</v>
      </c>
      <c r="I1442" s="71"/>
      <c r="K1442" s="71"/>
      <c r="L1442" s="72"/>
      <c r="M1442" s="71"/>
      <c r="N1442" s="216"/>
      <c r="O1442" s="71">
        <v>6</v>
      </c>
      <c r="P1442" s="72"/>
    </row>
    <row r="1443" spans="1:16">
      <c r="A1443" s="306"/>
      <c r="B1443" s="289"/>
      <c r="C1443" s="307"/>
      <c r="D1443" s="66" t="s">
        <v>415</v>
      </c>
      <c r="E1443" t="s">
        <v>722</v>
      </c>
      <c r="G1443" t="s">
        <v>664</v>
      </c>
      <c r="H1443" s="107">
        <v>44196</v>
      </c>
      <c r="I1443" s="71"/>
      <c r="K1443" s="71"/>
      <c r="L1443" s="72"/>
      <c r="M1443" s="71"/>
      <c r="N1443" s="216"/>
      <c r="O1443" s="71">
        <v>24</v>
      </c>
      <c r="P1443" s="72"/>
    </row>
    <row r="1444" spans="1:16">
      <c r="A1444" s="306"/>
      <c r="B1444" s="289"/>
      <c r="C1444" s="307"/>
      <c r="D1444" s="66" t="s">
        <v>415</v>
      </c>
      <c r="E1444" t="s">
        <v>723</v>
      </c>
      <c r="G1444" t="s">
        <v>664</v>
      </c>
      <c r="H1444" s="107">
        <v>44196</v>
      </c>
      <c r="I1444" s="71"/>
      <c r="K1444" s="71"/>
      <c r="L1444" s="72"/>
      <c r="M1444" s="71"/>
      <c r="N1444" s="216"/>
      <c r="O1444" s="71">
        <v>6</v>
      </c>
      <c r="P1444" s="72"/>
    </row>
    <row r="1445" spans="1:16">
      <c r="A1445" s="306"/>
      <c r="B1445" s="289"/>
      <c r="C1445" s="307"/>
      <c r="D1445" s="121" t="s">
        <v>415</v>
      </c>
      <c r="G1445" t="s">
        <v>664</v>
      </c>
      <c r="H1445" s="107">
        <v>44196</v>
      </c>
      <c r="I1445" s="65"/>
      <c r="K1445" s="71"/>
      <c r="L1445" s="72"/>
      <c r="M1445" s="71"/>
      <c r="N1445" s="216"/>
      <c r="O1445" s="71">
        <f>SUM(O1439:O1444)</f>
        <v>113</v>
      </c>
      <c r="P1445" s="72"/>
    </row>
    <row r="1446" spans="1:16">
      <c r="A1446" s="306"/>
      <c r="B1446" s="289"/>
      <c r="C1446" s="307"/>
      <c r="D1446" s="117" t="s">
        <v>417</v>
      </c>
      <c r="E1446" t="s">
        <v>661</v>
      </c>
      <c r="G1446" t="s">
        <v>669</v>
      </c>
      <c r="H1446" s="107">
        <v>44196</v>
      </c>
      <c r="I1446" s="65"/>
      <c r="K1446" s="71"/>
      <c r="L1446" s="72"/>
      <c r="M1446" s="71"/>
      <c r="N1446" s="216">
        <v>59316</v>
      </c>
      <c r="O1446" s="71">
        <v>59149</v>
      </c>
      <c r="P1446" s="72"/>
    </row>
    <row r="1447" spans="1:16">
      <c r="A1447" s="306"/>
      <c r="B1447" s="289"/>
      <c r="C1447" s="307"/>
      <c r="D1447" s="118" t="s">
        <v>418</v>
      </c>
      <c r="H1447" s="107">
        <v>44196</v>
      </c>
      <c r="I1447" s="65"/>
      <c r="K1447" s="71"/>
      <c r="L1447" s="72"/>
      <c r="M1447" s="71"/>
      <c r="N1447" s="216"/>
      <c r="O1447" s="71" t="s">
        <v>725</v>
      </c>
      <c r="P1447" s="72"/>
    </row>
    <row r="1448" spans="1:16">
      <c r="A1448" s="316"/>
      <c r="B1448" s="290"/>
      <c r="C1448" s="318"/>
      <c r="D1448" s="66"/>
      <c r="H1448" s="107"/>
      <c r="I1448" s="65"/>
      <c r="K1448" s="71"/>
      <c r="L1448" s="72"/>
      <c r="M1448" s="71"/>
      <c r="N1448" s="216"/>
      <c r="O1448" s="71"/>
      <c r="P1448" s="72"/>
    </row>
    <row r="1449" spans="1:16">
      <c r="A1449" s="319" t="s">
        <v>869</v>
      </c>
      <c r="B1449" s="320">
        <v>0</v>
      </c>
      <c r="C1449" s="323" t="s">
        <v>870</v>
      </c>
      <c r="D1449" s="123" t="s">
        <v>411</v>
      </c>
      <c r="G1449" t="s">
        <v>664</v>
      </c>
      <c r="H1449" s="107">
        <v>43830</v>
      </c>
      <c r="I1449" s="65"/>
      <c r="K1449" s="71"/>
      <c r="L1449" s="72"/>
      <c r="M1449" s="71">
        <f t="shared" ref="M1449:N1449" si="66">SUM(M1450:M1454)</f>
        <v>17.82</v>
      </c>
      <c r="N1449" s="216">
        <f t="shared" si="66"/>
        <v>16.559999999999999</v>
      </c>
      <c r="O1449" s="71"/>
      <c r="P1449" s="72"/>
    </row>
    <row r="1450" spans="1:16">
      <c r="A1450" s="319"/>
      <c r="B1450" s="321"/>
      <c r="C1450" s="323"/>
      <c r="D1450" s="123" t="s">
        <v>411</v>
      </c>
      <c r="E1450" t="s">
        <v>700</v>
      </c>
      <c r="G1450" t="s">
        <v>664</v>
      </c>
      <c r="H1450" s="107">
        <v>43830</v>
      </c>
      <c r="I1450" s="65"/>
      <c r="K1450" s="71"/>
      <c r="L1450" s="72"/>
      <c r="M1450" s="71">
        <v>17.024999999999999</v>
      </c>
      <c r="N1450" s="216">
        <v>15.855</v>
      </c>
      <c r="O1450" s="71"/>
      <c r="P1450" s="72"/>
    </row>
    <row r="1451" spans="1:16">
      <c r="A1451" s="319"/>
      <c r="B1451" s="321"/>
      <c r="C1451" s="323"/>
      <c r="D1451" s="123" t="s">
        <v>411</v>
      </c>
      <c r="E1451" t="s">
        <v>701</v>
      </c>
      <c r="G1451" t="s">
        <v>664</v>
      </c>
      <c r="H1451" s="107">
        <v>43830</v>
      </c>
      <c r="I1451" s="65"/>
      <c r="K1451" s="71"/>
      <c r="L1451" s="72"/>
      <c r="M1451" s="71">
        <v>0.67700000000000005</v>
      </c>
      <c r="N1451" s="216">
        <v>0.59799999999999998</v>
      </c>
      <c r="O1451" s="71"/>
      <c r="P1451" s="72"/>
    </row>
    <row r="1452" spans="1:16">
      <c r="A1452" s="319"/>
      <c r="B1452" s="321"/>
      <c r="C1452" s="323"/>
      <c r="D1452" s="123" t="s">
        <v>411</v>
      </c>
      <c r="E1452" t="s">
        <v>702</v>
      </c>
      <c r="G1452" t="s">
        <v>664</v>
      </c>
      <c r="H1452" s="107">
        <v>43830</v>
      </c>
      <c r="I1452" s="65"/>
      <c r="K1452" s="71"/>
      <c r="L1452" s="72"/>
      <c r="M1452" s="71">
        <v>2.7E-2</v>
      </c>
      <c r="N1452" s="216">
        <v>2.5000000000000001E-2</v>
      </c>
      <c r="O1452" s="71"/>
      <c r="P1452" s="72"/>
    </row>
    <row r="1453" spans="1:16">
      <c r="A1453" s="319"/>
      <c r="B1453" s="321"/>
      <c r="C1453" s="323"/>
      <c r="D1453" s="123" t="s">
        <v>411</v>
      </c>
      <c r="E1453" t="s">
        <v>703</v>
      </c>
      <c r="G1453" t="s">
        <v>664</v>
      </c>
      <c r="H1453" s="107">
        <v>43830</v>
      </c>
      <c r="I1453" s="65"/>
      <c r="K1453" s="71"/>
      <c r="L1453" s="72"/>
      <c r="M1453" s="71">
        <v>9.0999999999999998E-2</v>
      </c>
      <c r="N1453" s="216">
        <v>8.2000000000000003E-2</v>
      </c>
      <c r="O1453" s="71"/>
      <c r="P1453" s="72"/>
    </row>
    <row r="1454" spans="1:16">
      <c r="A1454" s="319"/>
      <c r="B1454" s="321"/>
      <c r="C1454" s="323"/>
      <c r="D1454" s="123" t="s">
        <v>411</v>
      </c>
      <c r="E1454" t="s">
        <v>704</v>
      </c>
      <c r="G1454" t="s">
        <v>664</v>
      </c>
      <c r="H1454" s="107">
        <v>43830</v>
      </c>
      <c r="I1454" s="65"/>
      <c r="K1454" s="71"/>
      <c r="L1454" s="72"/>
      <c r="M1454" s="71">
        <v>0</v>
      </c>
      <c r="N1454" s="216">
        <v>0</v>
      </c>
      <c r="O1454" s="71"/>
      <c r="P1454" s="72"/>
    </row>
    <row r="1455" spans="1:16">
      <c r="A1455" s="319"/>
      <c r="B1455" s="321"/>
      <c r="C1455" s="323"/>
      <c r="D1455" s="123" t="s">
        <v>411</v>
      </c>
      <c r="E1455" t="s">
        <v>716</v>
      </c>
      <c r="G1455" t="s">
        <v>664</v>
      </c>
      <c r="H1455" s="107">
        <v>43830</v>
      </c>
      <c r="I1455" s="65"/>
      <c r="K1455" s="71"/>
      <c r="L1455" s="72"/>
      <c r="M1455" s="71">
        <v>0.77300000000000002</v>
      </c>
      <c r="N1455" s="216">
        <v>0.76300000000000001</v>
      </c>
      <c r="O1455" s="71"/>
      <c r="P1455" s="72"/>
    </row>
    <row r="1456" spans="1:16">
      <c r="A1456" s="319"/>
      <c r="B1456" s="321"/>
      <c r="C1456" s="323"/>
      <c r="D1456" s="117" t="s">
        <v>412</v>
      </c>
      <c r="E1456" t="s">
        <v>420</v>
      </c>
      <c r="G1456" t="s">
        <v>664</v>
      </c>
      <c r="H1456" s="107">
        <v>43830</v>
      </c>
      <c r="I1456" s="65"/>
      <c r="K1456" s="71"/>
      <c r="L1456" s="72"/>
      <c r="M1456" s="71">
        <v>4.0670000000000002</v>
      </c>
      <c r="N1456" s="216">
        <v>3.5190000000000001</v>
      </c>
      <c r="O1456" s="71"/>
      <c r="P1456" s="72"/>
    </row>
    <row r="1457" spans="1:16">
      <c r="A1457" s="319"/>
      <c r="B1457" s="321"/>
      <c r="C1457" s="323"/>
      <c r="D1457" s="117" t="s">
        <v>412</v>
      </c>
      <c r="E1457" t="s">
        <v>706</v>
      </c>
      <c r="G1457" t="s">
        <v>664</v>
      </c>
      <c r="H1457" s="107">
        <v>43830</v>
      </c>
      <c r="I1457" s="65"/>
      <c r="K1457" s="71"/>
      <c r="L1457" s="72"/>
      <c r="M1457" s="71">
        <v>3.7469999999999999</v>
      </c>
      <c r="N1457" s="216">
        <v>3.552</v>
      </c>
      <c r="O1457" s="71"/>
      <c r="P1457" s="72"/>
    </row>
    <row r="1458" spans="1:16">
      <c r="A1458" s="319"/>
      <c r="B1458" s="321"/>
      <c r="C1458" s="323"/>
      <c r="D1458" s="117" t="s">
        <v>414</v>
      </c>
      <c r="G1458" t="s">
        <v>664</v>
      </c>
      <c r="H1458" s="107">
        <v>43830</v>
      </c>
      <c r="I1458" s="65"/>
      <c r="K1458" s="71"/>
      <c r="L1458" s="72"/>
      <c r="M1458" s="71">
        <f t="shared" ref="M1458:N1458" si="67">M1456+M1449</f>
        <v>21.887</v>
      </c>
      <c r="N1458" s="216">
        <f t="shared" si="67"/>
        <v>20.079000000000001</v>
      </c>
      <c r="O1458" s="71"/>
      <c r="P1458" s="72"/>
    </row>
    <row r="1459" spans="1:16">
      <c r="A1459" s="319"/>
      <c r="B1459" s="321"/>
      <c r="C1459" s="323"/>
      <c r="D1459" s="66" t="s">
        <v>415</v>
      </c>
      <c r="E1459" t="s">
        <v>718</v>
      </c>
      <c r="G1459" t="s">
        <v>664</v>
      </c>
      <c r="H1459" s="107">
        <v>43830</v>
      </c>
      <c r="I1459" s="71"/>
      <c r="K1459" s="71"/>
      <c r="L1459" s="72"/>
      <c r="M1459" s="71"/>
      <c r="N1459" s="216">
        <v>54</v>
      </c>
      <c r="O1459" s="71"/>
      <c r="P1459" s="72"/>
    </row>
    <row r="1460" spans="1:16">
      <c r="A1460" s="319"/>
      <c r="B1460" s="321"/>
      <c r="C1460" s="323"/>
      <c r="D1460" s="66" t="s">
        <v>415</v>
      </c>
      <c r="E1460" t="s">
        <v>719</v>
      </c>
      <c r="G1460" t="s">
        <v>664</v>
      </c>
      <c r="H1460" s="107">
        <v>43830</v>
      </c>
      <c r="I1460" s="71"/>
      <c r="K1460" s="71"/>
      <c r="L1460" s="72"/>
      <c r="M1460" s="71"/>
      <c r="N1460" s="216">
        <v>21</v>
      </c>
      <c r="O1460" s="71"/>
      <c r="P1460" s="72"/>
    </row>
    <row r="1461" spans="1:16">
      <c r="A1461" s="319"/>
      <c r="B1461" s="321"/>
      <c r="C1461" s="323"/>
      <c r="D1461" s="66" t="s">
        <v>415</v>
      </c>
      <c r="E1461" t="s">
        <v>720</v>
      </c>
      <c r="G1461" t="s">
        <v>664</v>
      </c>
      <c r="H1461" s="107">
        <v>43830</v>
      </c>
      <c r="I1461" s="71"/>
      <c r="K1461" s="71"/>
      <c r="L1461" s="72"/>
      <c r="M1461" s="71"/>
      <c r="N1461" s="216">
        <v>4</v>
      </c>
      <c r="O1461" s="71"/>
      <c r="P1461" s="72"/>
    </row>
    <row r="1462" spans="1:16">
      <c r="A1462" s="319"/>
      <c r="B1462" s="321"/>
      <c r="C1462" s="323"/>
      <c r="D1462" s="66" t="s">
        <v>415</v>
      </c>
      <c r="E1462" t="s">
        <v>721</v>
      </c>
      <c r="G1462" t="s">
        <v>664</v>
      </c>
      <c r="H1462" s="107">
        <v>43830</v>
      </c>
      <c r="I1462" s="71"/>
      <c r="K1462" s="71"/>
      <c r="L1462" s="72"/>
      <c r="M1462" s="71"/>
      <c r="N1462" s="216">
        <v>10</v>
      </c>
      <c r="O1462" s="71"/>
      <c r="P1462" s="72"/>
    </row>
    <row r="1463" spans="1:16">
      <c r="A1463" s="319"/>
      <c r="B1463" s="321"/>
      <c r="C1463" s="323"/>
      <c r="D1463" s="66" t="s">
        <v>415</v>
      </c>
      <c r="E1463" t="s">
        <v>726</v>
      </c>
      <c r="G1463" t="s">
        <v>664</v>
      </c>
      <c r="H1463" s="107">
        <v>43830</v>
      </c>
      <c r="I1463" s="71"/>
      <c r="K1463" s="71"/>
      <c r="L1463" s="72"/>
      <c r="M1463" s="71"/>
      <c r="N1463" s="216">
        <v>26</v>
      </c>
      <c r="O1463" s="71"/>
      <c r="P1463" s="72"/>
    </row>
    <row r="1464" spans="1:16">
      <c r="A1464" s="319"/>
      <c r="B1464" s="321"/>
      <c r="C1464" s="323"/>
      <c r="D1464" s="66" t="s">
        <v>415</v>
      </c>
      <c r="E1464" t="s">
        <v>723</v>
      </c>
      <c r="G1464" t="s">
        <v>664</v>
      </c>
      <c r="H1464" s="107">
        <v>43830</v>
      </c>
      <c r="I1464" s="71"/>
      <c r="K1464" s="71"/>
      <c r="L1464" s="72"/>
      <c r="M1464" s="71"/>
      <c r="N1464" s="216">
        <v>6</v>
      </c>
      <c r="O1464" s="71"/>
      <c r="P1464" s="72"/>
    </row>
    <row r="1465" spans="1:16">
      <c r="A1465" s="319"/>
      <c r="B1465" s="321"/>
      <c r="C1465" s="323"/>
      <c r="D1465" s="121" t="s">
        <v>415</v>
      </c>
      <c r="G1465" t="s">
        <v>664</v>
      </c>
      <c r="H1465" s="107">
        <v>43830</v>
      </c>
      <c r="I1465" s="65"/>
      <c r="K1465" s="71"/>
      <c r="L1465" s="72"/>
      <c r="M1465" s="71"/>
      <c r="N1465" s="216">
        <f>SUM(N1459:N1464)</f>
        <v>121</v>
      </c>
      <c r="O1465" s="71"/>
      <c r="P1465" s="72"/>
    </row>
    <row r="1466" spans="1:16">
      <c r="A1466" s="319"/>
      <c r="B1466" s="321"/>
      <c r="C1466" s="323"/>
      <c r="D1466" s="117" t="s">
        <v>417</v>
      </c>
      <c r="E1466" t="s">
        <v>661</v>
      </c>
      <c r="G1466" t="s">
        <v>669</v>
      </c>
      <c r="H1466" s="107">
        <v>43830</v>
      </c>
      <c r="I1466" s="65"/>
      <c r="K1466" s="71"/>
      <c r="L1466" s="72"/>
      <c r="M1466" s="71">
        <v>60220</v>
      </c>
      <c r="N1466" s="216">
        <v>59316</v>
      </c>
      <c r="O1466" s="71"/>
      <c r="P1466" s="72"/>
    </row>
    <row r="1467" spans="1:16">
      <c r="A1467" s="319"/>
      <c r="B1467" s="321"/>
      <c r="C1467" s="323"/>
      <c r="D1467" s="118" t="s">
        <v>418</v>
      </c>
      <c r="H1467" s="107">
        <v>43830</v>
      </c>
      <c r="I1467" s="65"/>
      <c r="K1467" s="71"/>
      <c r="L1467" s="72"/>
      <c r="M1467" s="71"/>
      <c r="N1467" s="216" t="s">
        <v>727</v>
      </c>
      <c r="O1467" s="71"/>
      <c r="P1467" s="72"/>
    </row>
    <row r="1468" spans="1:16">
      <c r="A1468" s="319"/>
      <c r="B1468" s="322"/>
      <c r="C1468" s="323"/>
      <c r="D1468" s="66"/>
      <c r="H1468" s="107"/>
      <c r="I1468" s="65"/>
      <c r="K1468" s="71"/>
      <c r="L1468" s="72"/>
      <c r="M1468" s="71"/>
      <c r="N1468" s="216"/>
      <c r="O1468" s="71"/>
      <c r="P1468" s="72"/>
    </row>
    <row r="1469" spans="1:16">
      <c r="A1469" s="319" t="s">
        <v>869</v>
      </c>
      <c r="B1469" s="320">
        <v>0</v>
      </c>
      <c r="C1469" s="323" t="s">
        <v>870</v>
      </c>
      <c r="D1469" s="123" t="s">
        <v>411</v>
      </c>
      <c r="G1469" t="s">
        <v>664</v>
      </c>
      <c r="H1469" s="107">
        <v>43465</v>
      </c>
      <c r="I1469" s="65"/>
      <c r="K1469" s="71"/>
      <c r="L1469" s="72">
        <f t="shared" ref="L1469:M1469" si="68">SUM(L1470:L1474)</f>
        <v>17.688999999999997</v>
      </c>
      <c r="M1469" s="71">
        <f t="shared" si="68"/>
        <v>17.850999999999999</v>
      </c>
      <c r="N1469" s="216"/>
      <c r="O1469" s="71"/>
      <c r="P1469" s="72"/>
    </row>
    <row r="1470" spans="1:16">
      <c r="A1470" s="319"/>
      <c r="B1470" s="321"/>
      <c r="C1470" s="323"/>
      <c r="D1470" s="123" t="s">
        <v>411</v>
      </c>
      <c r="E1470" t="s">
        <v>700</v>
      </c>
      <c r="G1470" t="s">
        <v>664</v>
      </c>
      <c r="H1470" s="107">
        <v>43465</v>
      </c>
      <c r="I1470" s="65"/>
      <c r="K1470" s="71"/>
      <c r="L1470" s="72">
        <v>16.812999999999999</v>
      </c>
      <c r="M1470" s="71">
        <v>16.956</v>
      </c>
      <c r="N1470" s="216"/>
      <c r="O1470" s="71"/>
      <c r="P1470" s="72"/>
    </row>
    <row r="1471" spans="1:16">
      <c r="A1471" s="319"/>
      <c r="B1471" s="321"/>
      <c r="C1471" s="323"/>
      <c r="D1471" s="123" t="s">
        <v>411</v>
      </c>
      <c r="E1471" t="s">
        <v>701</v>
      </c>
      <c r="G1471" t="s">
        <v>664</v>
      </c>
      <c r="H1471" s="107">
        <v>43465</v>
      </c>
      <c r="I1471" s="65"/>
      <c r="K1471" s="71"/>
      <c r="L1471" s="72">
        <v>0.747</v>
      </c>
      <c r="M1471" s="71">
        <v>0.74</v>
      </c>
      <c r="N1471" s="216"/>
      <c r="O1471" s="71"/>
      <c r="P1471" s="72"/>
    </row>
    <row r="1472" spans="1:16">
      <c r="A1472" s="319"/>
      <c r="B1472" s="321"/>
      <c r="C1472" s="323"/>
      <c r="D1472" s="123" t="s">
        <v>411</v>
      </c>
      <c r="E1472" t="s">
        <v>702</v>
      </c>
      <c r="G1472" t="s">
        <v>664</v>
      </c>
      <c r="H1472" s="107">
        <v>43465</v>
      </c>
      <c r="I1472" s="65"/>
      <c r="K1472" s="71"/>
      <c r="L1472" s="72">
        <v>4.8000000000000001E-2</v>
      </c>
      <c r="M1472" s="71">
        <v>6.4000000000000001E-2</v>
      </c>
      <c r="N1472" s="216"/>
      <c r="O1472" s="71"/>
      <c r="P1472" s="72"/>
    </row>
    <row r="1473" spans="1:16">
      <c r="A1473" s="319"/>
      <c r="B1473" s="321"/>
      <c r="C1473" s="323"/>
      <c r="D1473" s="123" t="s">
        <v>411</v>
      </c>
      <c r="E1473" t="s">
        <v>703</v>
      </c>
      <c r="G1473" t="s">
        <v>664</v>
      </c>
      <c r="H1473" s="107">
        <v>43465</v>
      </c>
      <c r="I1473" s="65"/>
      <c r="K1473" s="71"/>
      <c r="L1473" s="72">
        <v>8.1000000000000003E-2</v>
      </c>
      <c r="M1473" s="71">
        <v>9.0999999999999998E-2</v>
      </c>
      <c r="N1473" s="216"/>
      <c r="O1473" s="71"/>
      <c r="P1473" s="72"/>
    </row>
    <row r="1474" spans="1:16">
      <c r="A1474" s="319"/>
      <c r="B1474" s="321"/>
      <c r="C1474" s="323"/>
      <c r="D1474" s="123" t="s">
        <v>411</v>
      </c>
      <c r="E1474" t="s">
        <v>704</v>
      </c>
      <c r="G1474" t="s">
        <v>664</v>
      </c>
      <c r="H1474" s="107">
        <v>43465</v>
      </c>
      <c r="I1474" s="65"/>
      <c r="K1474" s="71"/>
      <c r="L1474" s="72">
        <v>0</v>
      </c>
      <c r="M1474" s="71">
        <v>0</v>
      </c>
      <c r="N1474" s="216"/>
      <c r="O1474" s="71"/>
      <c r="P1474" s="72"/>
    </row>
    <row r="1475" spans="1:16">
      <c r="A1475" s="319"/>
      <c r="B1475" s="321"/>
      <c r="C1475" s="323"/>
      <c r="D1475" s="123" t="s">
        <v>411</v>
      </c>
      <c r="E1475" t="s">
        <v>716</v>
      </c>
      <c r="G1475" t="s">
        <v>664</v>
      </c>
      <c r="H1475" s="107">
        <v>43465</v>
      </c>
      <c r="I1475" s="65"/>
      <c r="K1475" s="71"/>
      <c r="L1475" s="72">
        <v>1.0860000000000001</v>
      </c>
      <c r="M1475" s="71">
        <v>0.56699999999999995</v>
      </c>
      <c r="N1475" s="216"/>
      <c r="O1475" s="71"/>
      <c r="P1475" s="72"/>
    </row>
    <row r="1476" spans="1:16">
      <c r="A1476" s="319"/>
      <c r="B1476" s="321"/>
      <c r="C1476" s="323"/>
      <c r="D1476" s="117" t="s">
        <v>412</v>
      </c>
      <c r="E1476" t="s">
        <v>705</v>
      </c>
      <c r="G1476" t="s">
        <v>664</v>
      </c>
      <c r="H1476" s="107">
        <v>43465</v>
      </c>
      <c r="I1476" s="65"/>
      <c r="K1476" s="71"/>
      <c r="L1476" s="72">
        <v>3.7959999999999998</v>
      </c>
      <c r="M1476" s="71">
        <v>3.3610000000000002</v>
      </c>
      <c r="N1476" s="216"/>
      <c r="O1476" s="71"/>
      <c r="P1476" s="72"/>
    </row>
    <row r="1477" spans="1:16">
      <c r="A1477" s="319"/>
      <c r="B1477" s="321"/>
      <c r="C1477" s="323"/>
      <c r="D1477" s="117" t="s">
        <v>412</v>
      </c>
      <c r="E1477" t="s">
        <v>706</v>
      </c>
      <c r="G1477" t="s">
        <v>664</v>
      </c>
      <c r="H1477" s="107">
        <v>43465</v>
      </c>
      <c r="I1477" s="65"/>
      <c r="K1477" s="71"/>
      <c r="L1477" s="72"/>
      <c r="M1477" s="71">
        <v>3.7469999999999999</v>
      </c>
      <c r="N1477" s="216"/>
      <c r="O1477" s="71"/>
      <c r="P1477" s="72"/>
    </row>
    <row r="1478" spans="1:16">
      <c r="A1478" s="319"/>
      <c r="B1478" s="321"/>
      <c r="C1478" s="323"/>
      <c r="D1478" s="117" t="s">
        <v>412</v>
      </c>
      <c r="E1478" t="s">
        <v>728</v>
      </c>
      <c r="G1478" t="s">
        <v>664</v>
      </c>
      <c r="H1478" s="107">
        <v>43465</v>
      </c>
      <c r="I1478" s="65"/>
      <c r="K1478" s="71"/>
      <c r="L1478" s="72"/>
      <c r="M1478" s="71">
        <v>3.657</v>
      </c>
      <c r="N1478" s="216"/>
      <c r="O1478" s="71"/>
      <c r="P1478" s="72"/>
    </row>
    <row r="1479" spans="1:16">
      <c r="A1479" s="319"/>
      <c r="B1479" s="321"/>
      <c r="C1479" s="323"/>
      <c r="D1479" s="117" t="s">
        <v>414</v>
      </c>
      <c r="G1479" t="s">
        <v>664</v>
      </c>
      <c r="H1479" s="107">
        <v>43465</v>
      </c>
      <c r="I1479" s="65"/>
      <c r="K1479" s="71"/>
      <c r="L1479" s="72">
        <f>L1476+L1469</f>
        <v>21.484999999999996</v>
      </c>
      <c r="M1479" s="71">
        <f t="shared" ref="M1479" si="69">M1476+M1469</f>
        <v>21.212</v>
      </c>
      <c r="N1479" s="216"/>
      <c r="O1479" s="71"/>
      <c r="P1479" s="72"/>
    </row>
    <row r="1480" spans="1:16">
      <c r="A1480" s="319"/>
      <c r="B1480" s="321"/>
      <c r="C1480" s="323"/>
      <c r="D1480" s="66" t="s">
        <v>415</v>
      </c>
      <c r="E1480" t="s">
        <v>718</v>
      </c>
      <c r="G1480" t="s">
        <v>664</v>
      </c>
      <c r="H1480" s="107">
        <v>43465</v>
      </c>
      <c r="I1480" s="71"/>
      <c r="K1480" s="71"/>
      <c r="L1480" s="72"/>
      <c r="M1480" s="71">
        <v>52</v>
      </c>
      <c r="N1480" s="216"/>
      <c r="O1480" s="71"/>
      <c r="P1480" s="72"/>
    </row>
    <row r="1481" spans="1:16">
      <c r="A1481" s="319"/>
      <c r="B1481" s="321"/>
      <c r="C1481" s="323"/>
      <c r="D1481" s="66" t="s">
        <v>415</v>
      </c>
      <c r="E1481" t="s">
        <v>719</v>
      </c>
      <c r="G1481" t="s">
        <v>664</v>
      </c>
      <c r="H1481" s="107">
        <v>43465</v>
      </c>
      <c r="I1481" s="71"/>
      <c r="K1481" s="71"/>
      <c r="L1481" s="72"/>
      <c r="M1481" s="71">
        <v>22</v>
      </c>
      <c r="N1481" s="216"/>
      <c r="O1481" s="71"/>
      <c r="P1481" s="72"/>
    </row>
    <row r="1482" spans="1:16">
      <c r="A1482" s="319"/>
      <c r="B1482" s="321"/>
      <c r="C1482" s="323"/>
      <c r="D1482" s="66" t="s">
        <v>415</v>
      </c>
      <c r="E1482" t="s">
        <v>720</v>
      </c>
      <c r="G1482" t="s">
        <v>664</v>
      </c>
      <c r="H1482" s="107">
        <v>43465</v>
      </c>
      <c r="I1482" s="71"/>
      <c r="K1482" s="71"/>
      <c r="L1482" s="72"/>
      <c r="M1482" s="71">
        <v>4</v>
      </c>
      <c r="N1482" s="216"/>
      <c r="O1482" s="71"/>
      <c r="P1482" s="72"/>
    </row>
    <row r="1483" spans="1:16">
      <c r="A1483" s="319"/>
      <c r="B1483" s="321"/>
      <c r="C1483" s="323"/>
      <c r="D1483" s="66" t="s">
        <v>415</v>
      </c>
      <c r="E1483" t="s">
        <v>721</v>
      </c>
      <c r="G1483" t="s">
        <v>664</v>
      </c>
      <c r="H1483" s="107">
        <v>43465</v>
      </c>
      <c r="I1483" s="71"/>
      <c r="K1483" s="71"/>
      <c r="L1483" s="72"/>
      <c r="M1483" s="71">
        <v>42</v>
      </c>
      <c r="N1483" s="216"/>
      <c r="O1483" s="71"/>
      <c r="P1483" s="72"/>
    </row>
    <row r="1484" spans="1:16">
      <c r="A1484" s="319"/>
      <c r="B1484" s="321"/>
      <c r="C1484" s="323"/>
      <c r="D1484" s="66" t="s">
        <v>415</v>
      </c>
      <c r="E1484" t="s">
        <v>729</v>
      </c>
      <c r="G1484" t="s">
        <v>664</v>
      </c>
      <c r="H1484" s="107">
        <v>43465</v>
      </c>
      <c r="I1484" s="71"/>
      <c r="K1484" s="71"/>
      <c r="L1484" s="72"/>
      <c r="M1484" s="71">
        <v>16</v>
      </c>
      <c r="N1484" s="216"/>
      <c r="O1484" s="71"/>
      <c r="P1484" s="72"/>
    </row>
    <row r="1485" spans="1:16">
      <c r="A1485" s="319"/>
      <c r="B1485" s="321"/>
      <c r="C1485" s="323"/>
      <c r="D1485" s="66" t="s">
        <v>415</v>
      </c>
      <c r="E1485" t="s">
        <v>723</v>
      </c>
      <c r="G1485" t="s">
        <v>664</v>
      </c>
      <c r="H1485" s="107">
        <v>43465</v>
      </c>
      <c r="I1485" s="71"/>
      <c r="K1485" s="71"/>
      <c r="L1485" s="72"/>
      <c r="M1485" s="71">
        <v>4</v>
      </c>
      <c r="N1485" s="216"/>
      <c r="O1485" s="71"/>
      <c r="P1485" s="72"/>
    </row>
    <row r="1486" spans="1:16">
      <c r="A1486" s="319"/>
      <c r="B1486" s="321"/>
      <c r="C1486" s="323"/>
      <c r="D1486" s="121" t="s">
        <v>415</v>
      </c>
      <c r="G1486" t="s">
        <v>664</v>
      </c>
      <c r="H1486" s="107">
        <v>43465</v>
      </c>
      <c r="I1486" s="65"/>
      <c r="K1486" s="71"/>
      <c r="L1486" s="72"/>
      <c r="M1486" s="71">
        <f>SUM(M1480:M1485)</f>
        <v>140</v>
      </c>
      <c r="N1486" s="216"/>
      <c r="O1486" s="71"/>
      <c r="P1486" s="72"/>
    </row>
    <row r="1487" spans="1:16">
      <c r="A1487" s="319"/>
      <c r="B1487" s="321"/>
      <c r="C1487" s="323"/>
      <c r="D1487" s="117" t="s">
        <v>417</v>
      </c>
      <c r="E1487" t="s">
        <v>661</v>
      </c>
      <c r="G1487" t="s">
        <v>669</v>
      </c>
      <c r="H1487" s="107">
        <v>43465</v>
      </c>
      <c r="I1487" s="65"/>
      <c r="K1487" s="71"/>
      <c r="L1487" s="72">
        <v>61223</v>
      </c>
      <c r="M1487" s="71">
        <v>62675</v>
      </c>
      <c r="N1487" s="216"/>
      <c r="O1487" s="71"/>
      <c r="P1487" s="72"/>
    </row>
    <row r="1488" spans="1:16">
      <c r="A1488" s="319"/>
      <c r="B1488" s="321"/>
      <c r="C1488" s="323"/>
      <c r="D1488" s="118" t="s">
        <v>418</v>
      </c>
      <c r="H1488" s="107">
        <v>43465</v>
      </c>
      <c r="I1488" s="65"/>
      <c r="K1488" s="71"/>
      <c r="L1488" s="72"/>
      <c r="M1488" s="71" t="s">
        <v>730</v>
      </c>
      <c r="N1488" s="216"/>
      <c r="O1488" s="71"/>
      <c r="P1488" s="72"/>
    </row>
    <row r="1489" spans="1:16">
      <c r="A1489" s="326"/>
      <c r="B1489" s="322"/>
      <c r="C1489" s="320"/>
      <c r="D1489" s="66"/>
      <c r="H1489" s="107"/>
      <c r="I1489" s="65"/>
      <c r="K1489" s="71"/>
      <c r="L1489" s="72"/>
      <c r="M1489" s="71"/>
      <c r="N1489" s="216"/>
      <c r="O1489" s="71"/>
      <c r="P1489" s="72"/>
    </row>
    <row r="1490" spans="1:16">
      <c r="A1490" s="319" t="s">
        <v>869</v>
      </c>
      <c r="B1490" s="320">
        <v>0</v>
      </c>
      <c r="C1490" s="323" t="s">
        <v>870</v>
      </c>
      <c r="D1490" s="123" t="s">
        <v>411</v>
      </c>
      <c r="G1490" t="s">
        <v>664</v>
      </c>
      <c r="H1490" s="107">
        <v>43100</v>
      </c>
      <c r="I1490" s="65"/>
      <c r="K1490" s="71">
        <f t="shared" ref="K1490:L1490" si="70">SUM(K1491:K1495)</f>
        <v>16.933</v>
      </c>
      <c r="L1490" s="72">
        <f t="shared" si="70"/>
        <v>17.688999999999997</v>
      </c>
      <c r="M1490" s="71"/>
      <c r="N1490" s="216"/>
      <c r="O1490" s="71"/>
      <c r="P1490" s="72"/>
    </row>
    <row r="1491" spans="1:16">
      <c r="A1491" s="319"/>
      <c r="B1491" s="321"/>
      <c r="C1491" s="323"/>
      <c r="D1491" s="123" t="s">
        <v>411</v>
      </c>
      <c r="E1491" t="s">
        <v>700</v>
      </c>
      <c r="G1491" t="s">
        <v>664</v>
      </c>
      <c r="H1491" s="107">
        <v>43100</v>
      </c>
      <c r="I1491" s="65"/>
      <c r="K1491" s="71">
        <v>16.215</v>
      </c>
      <c r="L1491" s="72">
        <v>16.812999999999999</v>
      </c>
      <c r="M1491" s="71"/>
      <c r="N1491" s="216"/>
      <c r="O1491" s="71"/>
      <c r="P1491" s="72"/>
    </row>
    <row r="1492" spans="1:16">
      <c r="A1492" s="319"/>
      <c r="B1492" s="321"/>
      <c r="C1492" s="323"/>
      <c r="D1492" s="123" t="s">
        <v>411</v>
      </c>
      <c r="E1492" t="s">
        <v>701</v>
      </c>
      <c r="G1492" t="s">
        <v>664</v>
      </c>
      <c r="H1492" s="107">
        <v>43100</v>
      </c>
      <c r="I1492" s="65"/>
      <c r="K1492" s="71">
        <v>0.58599999999999997</v>
      </c>
      <c r="L1492" s="72">
        <v>0.747</v>
      </c>
      <c r="M1492" s="71"/>
      <c r="N1492" s="216"/>
      <c r="O1492" s="71"/>
      <c r="P1492" s="72"/>
    </row>
    <row r="1493" spans="1:16">
      <c r="A1493" s="319"/>
      <c r="B1493" s="321"/>
      <c r="C1493" s="323"/>
      <c r="D1493" s="123" t="s">
        <v>411</v>
      </c>
      <c r="E1493" t="s">
        <v>702</v>
      </c>
      <c r="G1493" t="s">
        <v>664</v>
      </c>
      <c r="H1493" s="107">
        <v>43100</v>
      </c>
      <c r="I1493" s="65"/>
      <c r="K1493" s="71">
        <v>4.4999999999999998E-2</v>
      </c>
      <c r="L1493" s="72">
        <v>4.8000000000000001E-2</v>
      </c>
      <c r="M1493" s="71"/>
      <c r="N1493" s="216"/>
      <c r="O1493" s="71"/>
      <c r="P1493" s="72"/>
    </row>
    <row r="1494" spans="1:16">
      <c r="A1494" s="319"/>
      <c r="B1494" s="321"/>
      <c r="C1494" s="323"/>
      <c r="D1494" s="123" t="s">
        <v>411</v>
      </c>
      <c r="E1494" t="s">
        <v>703</v>
      </c>
      <c r="G1494" t="s">
        <v>664</v>
      </c>
      <c r="H1494" s="107">
        <v>43100</v>
      </c>
      <c r="I1494" s="65"/>
      <c r="K1494" s="71">
        <v>8.6999999999999994E-2</v>
      </c>
      <c r="L1494" s="72">
        <v>8.1000000000000003E-2</v>
      </c>
      <c r="M1494" s="71"/>
      <c r="N1494" s="216"/>
      <c r="O1494" s="71"/>
      <c r="P1494" s="72"/>
    </row>
    <row r="1495" spans="1:16">
      <c r="A1495" s="319"/>
      <c r="B1495" s="321"/>
      <c r="C1495" s="323"/>
      <c r="D1495" s="123" t="s">
        <v>411</v>
      </c>
      <c r="E1495" t="s">
        <v>704</v>
      </c>
      <c r="G1495" t="s">
        <v>664</v>
      </c>
      <c r="H1495" s="107">
        <v>43100</v>
      </c>
      <c r="I1495" s="65"/>
      <c r="K1495" s="71">
        <v>0</v>
      </c>
      <c r="L1495" s="72">
        <v>0</v>
      </c>
      <c r="M1495" s="71"/>
      <c r="N1495" s="216"/>
      <c r="O1495" s="71"/>
      <c r="P1495" s="72"/>
    </row>
    <row r="1496" spans="1:16">
      <c r="A1496" s="319"/>
      <c r="B1496" s="321"/>
      <c r="C1496" s="323"/>
      <c r="D1496" s="123" t="s">
        <v>411</v>
      </c>
      <c r="E1496" t="s">
        <v>716</v>
      </c>
      <c r="G1496" t="s">
        <v>664</v>
      </c>
      <c r="H1496" s="107">
        <v>43100</v>
      </c>
      <c r="I1496" s="65"/>
      <c r="K1496" s="71">
        <v>1.161</v>
      </c>
      <c r="L1496" s="72">
        <v>1.0860000000000001</v>
      </c>
      <c r="M1496" s="71"/>
      <c r="N1496" s="216"/>
      <c r="O1496" s="71"/>
      <c r="P1496" s="72"/>
    </row>
    <row r="1497" spans="1:16">
      <c r="A1497" s="319"/>
      <c r="B1497" s="321"/>
      <c r="C1497" s="323"/>
      <c r="D1497" s="117" t="s">
        <v>412</v>
      </c>
      <c r="E1497" t="s">
        <v>705</v>
      </c>
      <c r="G1497" t="s">
        <v>664</v>
      </c>
      <c r="H1497" s="107">
        <v>43100</v>
      </c>
      <c r="I1497" s="65"/>
      <c r="K1497" s="71">
        <v>3.8839999999999999</v>
      </c>
      <c r="L1497" s="72">
        <v>3.7959999999999998</v>
      </c>
      <c r="M1497" s="71"/>
      <c r="N1497" s="216"/>
      <c r="O1497" s="71"/>
      <c r="P1497" s="72"/>
    </row>
    <row r="1498" spans="1:16">
      <c r="A1498" s="319"/>
      <c r="B1498" s="321"/>
      <c r="C1498" s="323"/>
      <c r="D1498" s="117" t="s">
        <v>412</v>
      </c>
      <c r="E1498" t="s">
        <v>706</v>
      </c>
      <c r="G1498" t="s">
        <v>664</v>
      </c>
      <c r="H1498" s="107">
        <v>43100</v>
      </c>
      <c r="I1498" s="65"/>
      <c r="K1498" s="71"/>
      <c r="L1498" s="72"/>
      <c r="M1498" s="71"/>
      <c r="N1498" s="216"/>
      <c r="O1498" s="71"/>
      <c r="P1498" s="72"/>
    </row>
    <row r="1499" spans="1:16">
      <c r="A1499" s="319"/>
      <c r="B1499" s="321"/>
      <c r="C1499" s="323"/>
      <c r="D1499" s="117" t="s">
        <v>412</v>
      </c>
      <c r="E1499" t="s">
        <v>728</v>
      </c>
      <c r="G1499" t="s">
        <v>664</v>
      </c>
      <c r="H1499" s="107">
        <v>43465</v>
      </c>
      <c r="I1499" s="65"/>
      <c r="K1499" s="71"/>
      <c r="L1499" s="72"/>
      <c r="M1499" s="71"/>
      <c r="N1499" s="216"/>
      <c r="O1499" s="71"/>
      <c r="P1499" s="72"/>
    </row>
    <row r="1500" spans="1:16">
      <c r="A1500" s="319"/>
      <c r="B1500" s="321"/>
      <c r="C1500" s="323"/>
      <c r="D1500" s="117" t="s">
        <v>414</v>
      </c>
      <c r="G1500" t="s">
        <v>664</v>
      </c>
      <c r="H1500" s="107">
        <v>43100</v>
      </c>
      <c r="I1500" s="65"/>
      <c r="K1500" s="71">
        <f t="shared" ref="K1500:L1500" si="71">K1497+K1490</f>
        <v>20.817</v>
      </c>
      <c r="L1500" s="72">
        <f t="shared" si="71"/>
        <v>21.484999999999996</v>
      </c>
      <c r="M1500" s="71"/>
      <c r="N1500" s="216"/>
      <c r="O1500" s="71"/>
      <c r="P1500" s="72"/>
    </row>
    <row r="1501" spans="1:16">
      <c r="A1501" s="319"/>
      <c r="B1501" s="321"/>
      <c r="C1501" s="323"/>
      <c r="D1501" s="66" t="s">
        <v>415</v>
      </c>
      <c r="E1501" t="s">
        <v>718</v>
      </c>
      <c r="G1501" t="s">
        <v>664</v>
      </c>
      <c r="H1501" s="107">
        <v>43100</v>
      </c>
      <c r="I1501" s="71"/>
      <c r="K1501" s="71"/>
      <c r="L1501" s="72">
        <v>59</v>
      </c>
      <c r="M1501" s="71"/>
      <c r="N1501" s="216"/>
      <c r="O1501" s="71"/>
      <c r="P1501" s="72"/>
    </row>
    <row r="1502" spans="1:16">
      <c r="A1502" s="319"/>
      <c r="B1502" s="321"/>
      <c r="C1502" s="323"/>
      <c r="D1502" s="66" t="s">
        <v>415</v>
      </c>
      <c r="E1502" t="s">
        <v>719</v>
      </c>
      <c r="G1502" t="s">
        <v>664</v>
      </c>
      <c r="H1502" s="107">
        <v>43100</v>
      </c>
      <c r="I1502" s="71"/>
      <c r="K1502" s="71"/>
      <c r="L1502" s="72">
        <v>23</v>
      </c>
      <c r="M1502" s="71"/>
      <c r="N1502" s="216"/>
      <c r="O1502" s="71"/>
      <c r="P1502" s="72"/>
    </row>
    <row r="1503" spans="1:16">
      <c r="A1503" s="319"/>
      <c r="B1503" s="321"/>
      <c r="C1503" s="323"/>
      <c r="D1503" s="66" t="s">
        <v>415</v>
      </c>
      <c r="E1503" t="s">
        <v>720</v>
      </c>
      <c r="G1503" t="s">
        <v>664</v>
      </c>
      <c r="H1503" s="107">
        <v>43100</v>
      </c>
      <c r="I1503" s="71"/>
      <c r="K1503" s="71"/>
      <c r="L1503" s="72">
        <v>4</v>
      </c>
      <c r="M1503" s="71"/>
      <c r="N1503" s="216"/>
      <c r="O1503" s="71"/>
      <c r="P1503" s="72"/>
    </row>
    <row r="1504" spans="1:16">
      <c r="A1504" s="319"/>
      <c r="B1504" s="321"/>
      <c r="C1504" s="323"/>
      <c r="D1504" s="66" t="s">
        <v>415</v>
      </c>
      <c r="E1504" t="s">
        <v>721</v>
      </c>
      <c r="G1504" t="s">
        <v>664</v>
      </c>
      <c r="H1504" s="107">
        <v>43100</v>
      </c>
      <c r="I1504" s="71"/>
      <c r="K1504" s="71"/>
      <c r="L1504" s="72">
        <v>43</v>
      </c>
      <c r="M1504" s="71"/>
      <c r="N1504" s="216"/>
      <c r="O1504" s="71"/>
      <c r="P1504" s="72"/>
    </row>
    <row r="1505" spans="1:16">
      <c r="A1505" s="319"/>
      <c r="B1505" s="321"/>
      <c r="C1505" s="323"/>
      <c r="D1505" s="66" t="s">
        <v>415</v>
      </c>
      <c r="E1505" t="s">
        <v>729</v>
      </c>
      <c r="G1505" t="s">
        <v>664</v>
      </c>
      <c r="H1505" s="107">
        <v>43100</v>
      </c>
      <c r="I1505" s="71"/>
      <c r="K1505" s="71"/>
      <c r="L1505" s="72">
        <v>20</v>
      </c>
      <c r="M1505" s="71"/>
      <c r="N1505" s="216"/>
      <c r="O1505" s="71"/>
      <c r="P1505" s="72"/>
    </row>
    <row r="1506" spans="1:16">
      <c r="A1506" s="319"/>
      <c r="B1506" s="321"/>
      <c r="C1506" s="323"/>
      <c r="D1506" s="66" t="s">
        <v>415</v>
      </c>
      <c r="E1506" t="s">
        <v>723</v>
      </c>
      <c r="G1506" t="s">
        <v>664</v>
      </c>
      <c r="H1506" s="107">
        <v>43100</v>
      </c>
      <c r="I1506" s="71"/>
      <c r="K1506" s="71"/>
      <c r="L1506" s="72">
        <v>4</v>
      </c>
      <c r="M1506" s="71"/>
      <c r="N1506" s="216"/>
      <c r="O1506" s="71"/>
      <c r="P1506" s="72"/>
    </row>
    <row r="1507" spans="1:16">
      <c r="A1507" s="319"/>
      <c r="B1507" s="321"/>
      <c r="C1507" s="323"/>
      <c r="D1507" s="121" t="s">
        <v>415</v>
      </c>
      <c r="G1507" t="s">
        <v>664</v>
      </c>
      <c r="H1507" s="107">
        <v>43100</v>
      </c>
      <c r="I1507" s="65"/>
      <c r="K1507" s="71"/>
      <c r="L1507" s="72">
        <f>SUM(L1501:L1506)</f>
        <v>153</v>
      </c>
      <c r="M1507" s="71"/>
      <c r="N1507" s="216"/>
      <c r="O1507" s="71"/>
      <c r="P1507" s="72"/>
    </row>
    <row r="1508" spans="1:16">
      <c r="A1508" s="319"/>
      <c r="B1508" s="321"/>
      <c r="C1508" s="323"/>
      <c r="D1508" s="117" t="s">
        <v>417</v>
      </c>
      <c r="E1508" t="s">
        <v>661</v>
      </c>
      <c r="G1508" t="s">
        <v>669</v>
      </c>
      <c r="H1508" s="107">
        <v>43100</v>
      </c>
      <c r="I1508" s="65"/>
      <c r="K1508" s="71">
        <v>57550</v>
      </c>
      <c r="L1508" s="72">
        <v>64475</v>
      </c>
      <c r="M1508" s="71"/>
      <c r="N1508" s="216"/>
      <c r="O1508" s="71"/>
      <c r="P1508" s="72"/>
    </row>
    <row r="1509" spans="1:16">
      <c r="A1509" s="319"/>
      <c r="B1509" s="321"/>
      <c r="C1509" s="323"/>
      <c r="D1509" s="118" t="s">
        <v>418</v>
      </c>
      <c r="H1509" s="107">
        <v>43100</v>
      </c>
      <c r="I1509" s="65"/>
      <c r="K1509" s="71"/>
      <c r="L1509" s="72" t="s">
        <v>731</v>
      </c>
      <c r="M1509" s="71"/>
      <c r="N1509" s="216"/>
      <c r="O1509" s="71"/>
      <c r="P1509" s="72"/>
    </row>
    <row r="1510" spans="1:16">
      <c r="A1510" s="319"/>
      <c r="B1510" s="322"/>
      <c r="C1510" s="323"/>
      <c r="D1510" s="112"/>
      <c r="H1510" s="107"/>
      <c r="I1510" s="65"/>
      <c r="K1510" s="71"/>
      <c r="L1510" s="72"/>
      <c r="M1510" s="71"/>
      <c r="N1510" s="216"/>
      <c r="O1510" s="71"/>
      <c r="P1510" s="72"/>
    </row>
    <row r="1511" spans="1:16">
      <c r="A1511" s="315" t="s">
        <v>872</v>
      </c>
      <c r="B1511" s="288">
        <v>0</v>
      </c>
      <c r="C1511" s="317" t="s">
        <v>873</v>
      </c>
      <c r="D1511" s="139" t="s">
        <v>411</v>
      </c>
      <c r="E1511" t="s">
        <v>732</v>
      </c>
      <c r="G1511" t="s">
        <v>427</v>
      </c>
      <c r="H1511" s="107">
        <v>44561</v>
      </c>
      <c r="I1511" s="65"/>
      <c r="K1511" s="71"/>
      <c r="L1511" s="72"/>
      <c r="M1511" s="71"/>
      <c r="N1511" s="216">
        <v>1490</v>
      </c>
      <c r="O1511" s="71">
        <v>1495</v>
      </c>
      <c r="P1511" s="72">
        <v>1436</v>
      </c>
    </row>
    <row r="1512" spans="1:16">
      <c r="A1512" s="315"/>
      <c r="B1512" s="289"/>
      <c r="C1512" s="317"/>
      <c r="D1512" s="139" t="s">
        <v>411</v>
      </c>
      <c r="E1512" t="s">
        <v>733</v>
      </c>
      <c r="G1512" t="s">
        <v>427</v>
      </c>
      <c r="H1512" s="107">
        <v>44561</v>
      </c>
      <c r="I1512" s="65"/>
      <c r="K1512" s="71"/>
      <c r="L1512" s="72"/>
      <c r="M1512" s="71"/>
      <c r="N1512" s="216">
        <v>1174</v>
      </c>
      <c r="O1512" s="71">
        <v>742</v>
      </c>
      <c r="P1512" s="72">
        <v>349</v>
      </c>
    </row>
    <row r="1513" spans="1:16">
      <c r="A1513" s="315"/>
      <c r="B1513" s="289"/>
      <c r="C1513" s="317"/>
      <c r="D1513" s="139" t="s">
        <v>411</v>
      </c>
      <c r="E1513" t="s">
        <v>734</v>
      </c>
      <c r="G1513" t="s">
        <v>427</v>
      </c>
      <c r="H1513" s="107">
        <v>44561</v>
      </c>
      <c r="I1513" s="65"/>
      <c r="K1513" s="71"/>
      <c r="L1513" s="72"/>
      <c r="M1513" s="71"/>
      <c r="N1513" s="216">
        <v>34</v>
      </c>
      <c r="O1513" s="71">
        <v>31</v>
      </c>
      <c r="P1513" s="72">
        <v>37</v>
      </c>
    </row>
    <row r="1514" spans="1:16">
      <c r="A1514" s="315"/>
      <c r="B1514" s="289"/>
      <c r="C1514" s="317"/>
      <c r="D1514" s="139" t="s">
        <v>411</v>
      </c>
      <c r="E1514" t="s">
        <v>735</v>
      </c>
      <c r="G1514" t="s">
        <v>427</v>
      </c>
      <c r="H1514" s="107">
        <v>44561</v>
      </c>
      <c r="I1514" s="65"/>
      <c r="K1514" s="71"/>
      <c r="L1514" s="72"/>
      <c r="M1514" s="71"/>
      <c r="N1514" s="216">
        <v>247</v>
      </c>
      <c r="O1514" s="71">
        <v>257</v>
      </c>
      <c r="P1514" s="72">
        <v>234</v>
      </c>
    </row>
    <row r="1515" spans="1:16">
      <c r="A1515" s="315"/>
      <c r="B1515" s="289"/>
      <c r="C1515" s="317"/>
      <c r="D1515" s="139" t="s">
        <v>411</v>
      </c>
      <c r="E1515" t="s">
        <v>660</v>
      </c>
      <c r="G1515" t="s">
        <v>427</v>
      </c>
      <c r="H1515" s="107">
        <v>44561</v>
      </c>
      <c r="I1515" s="65"/>
      <c r="K1515" s="71"/>
      <c r="L1515" s="72"/>
      <c r="M1515" s="71"/>
      <c r="N1515" s="216">
        <f>SUM(N1511:N1514)</f>
        <v>2945</v>
      </c>
      <c r="O1515" s="71">
        <f t="shared" ref="O1515:P1515" si="72">SUM(O1511:O1514)</f>
        <v>2525</v>
      </c>
      <c r="P1515" s="72">
        <f t="shared" si="72"/>
        <v>2056</v>
      </c>
    </row>
    <row r="1516" spans="1:16">
      <c r="A1516" s="306"/>
      <c r="B1516" s="289"/>
      <c r="C1516" s="307"/>
      <c r="D1516" s="139" t="s">
        <v>412</v>
      </c>
      <c r="E1516" t="s">
        <v>420</v>
      </c>
      <c r="G1516" t="s">
        <v>427</v>
      </c>
      <c r="H1516" s="107">
        <v>44561</v>
      </c>
      <c r="I1516" s="65"/>
      <c r="K1516" s="71"/>
      <c r="L1516" s="72"/>
      <c r="M1516" s="71"/>
      <c r="N1516" s="216">
        <v>1142</v>
      </c>
      <c r="O1516" s="71">
        <v>1103</v>
      </c>
      <c r="P1516" s="72">
        <v>1061</v>
      </c>
    </row>
    <row r="1517" spans="1:16">
      <c r="A1517" s="306"/>
      <c r="B1517" s="289"/>
      <c r="C1517" s="307"/>
      <c r="D1517" s="139" t="s">
        <v>414</v>
      </c>
      <c r="E1517" t="s">
        <v>660</v>
      </c>
      <c r="G1517" t="s">
        <v>427</v>
      </c>
      <c r="H1517" s="107">
        <v>44561</v>
      </c>
      <c r="I1517" s="65"/>
      <c r="J1517">
        <v>4.72</v>
      </c>
      <c r="K1517" s="71"/>
      <c r="L1517" s="72"/>
      <c r="M1517" s="71"/>
      <c r="N1517" s="216">
        <f>SUM(N1515:N1516)</f>
        <v>4087</v>
      </c>
      <c r="O1517" s="71">
        <f t="shared" ref="O1517:P1517" si="73">SUM(O1515:O1516)</f>
        <v>3628</v>
      </c>
      <c r="P1517" s="72">
        <f t="shared" si="73"/>
        <v>3117</v>
      </c>
    </row>
    <row r="1518" spans="1:16">
      <c r="A1518" s="306"/>
      <c r="B1518" s="289"/>
      <c r="C1518" s="307"/>
      <c r="D1518" s="140" t="s">
        <v>414</v>
      </c>
      <c r="E1518" s="45" t="s">
        <v>736</v>
      </c>
      <c r="F1518" s="45"/>
      <c r="G1518" s="45" t="s">
        <v>429</v>
      </c>
      <c r="H1518" s="122">
        <v>44561</v>
      </c>
      <c r="I1518" s="120"/>
      <c r="J1518" s="45"/>
      <c r="K1518" s="84"/>
      <c r="L1518" s="84"/>
      <c r="M1518" s="84"/>
      <c r="N1518" s="216">
        <v>3.7</v>
      </c>
      <c r="O1518" s="84"/>
      <c r="P1518" s="84">
        <v>2.9</v>
      </c>
    </row>
    <row r="1519" spans="1:16">
      <c r="A1519" s="306"/>
      <c r="B1519" s="289"/>
      <c r="C1519" s="307"/>
      <c r="D1519" s="139" t="s">
        <v>415</v>
      </c>
      <c r="E1519" t="s">
        <v>653</v>
      </c>
      <c r="G1519" t="s">
        <v>427</v>
      </c>
      <c r="H1519" s="107">
        <v>44561</v>
      </c>
      <c r="I1519" s="65"/>
      <c r="K1519" s="71"/>
      <c r="L1519" s="72"/>
      <c r="M1519" s="71"/>
      <c r="N1519" s="216"/>
      <c r="O1519" s="71"/>
      <c r="P1519" s="72">
        <v>7515</v>
      </c>
    </row>
    <row r="1520" spans="1:16">
      <c r="A1520" s="306"/>
      <c r="B1520" s="289"/>
      <c r="C1520" s="307"/>
      <c r="D1520" s="139" t="s">
        <v>415</v>
      </c>
      <c r="E1520" t="s">
        <v>654</v>
      </c>
      <c r="G1520" t="s">
        <v>427</v>
      </c>
      <c r="H1520" s="107">
        <v>44561</v>
      </c>
      <c r="I1520" s="65"/>
      <c r="K1520" s="71"/>
      <c r="L1520" s="72"/>
      <c r="M1520" s="71"/>
      <c r="N1520" s="216"/>
      <c r="O1520" s="71"/>
      <c r="P1520" s="72">
        <v>440</v>
      </c>
    </row>
    <row r="1521" spans="1:16">
      <c r="A1521" s="306"/>
      <c r="B1521" s="289"/>
      <c r="C1521" s="307"/>
      <c r="D1521" s="139" t="s">
        <v>415</v>
      </c>
      <c r="E1521" t="s">
        <v>737</v>
      </c>
      <c r="G1521" t="s">
        <v>427</v>
      </c>
      <c r="H1521" s="107">
        <v>44561</v>
      </c>
      <c r="I1521" s="65"/>
      <c r="K1521" s="71"/>
      <c r="L1521" s="72"/>
      <c r="M1521" s="71"/>
      <c r="N1521" s="216"/>
      <c r="O1521" s="71"/>
      <c r="P1521" s="72">
        <v>677</v>
      </c>
    </row>
    <row r="1522" spans="1:16">
      <c r="A1522" s="306"/>
      <c r="B1522" s="289"/>
      <c r="C1522" s="307"/>
      <c r="D1522" s="139" t="s">
        <v>415</v>
      </c>
      <c r="E1522" t="s">
        <v>684</v>
      </c>
      <c r="G1522" t="s">
        <v>427</v>
      </c>
      <c r="H1522" s="107">
        <v>44561</v>
      </c>
      <c r="I1522" s="65"/>
      <c r="K1522" s="71"/>
      <c r="L1522" s="72"/>
      <c r="M1522" s="71"/>
      <c r="N1522" s="216"/>
      <c r="O1522" s="71"/>
      <c r="P1522" s="72">
        <v>278</v>
      </c>
    </row>
    <row r="1523" spans="1:16">
      <c r="A1523" s="306"/>
      <c r="B1523" s="289"/>
      <c r="C1523" s="307"/>
      <c r="D1523" s="139" t="s">
        <v>415</v>
      </c>
      <c r="E1523" t="s">
        <v>685</v>
      </c>
      <c r="G1523" t="s">
        <v>427</v>
      </c>
      <c r="H1523" s="107">
        <v>44561</v>
      </c>
      <c r="I1523" s="65"/>
      <c r="K1523" s="71"/>
      <c r="L1523" s="72"/>
      <c r="M1523" s="71"/>
      <c r="N1523" s="216"/>
      <c r="O1523" s="71"/>
      <c r="P1523" s="72">
        <v>430</v>
      </c>
    </row>
    <row r="1524" spans="1:16">
      <c r="A1524" s="306"/>
      <c r="B1524" s="289"/>
      <c r="C1524" s="307"/>
      <c r="D1524" s="139" t="s">
        <v>415</v>
      </c>
      <c r="E1524" t="s">
        <v>710</v>
      </c>
      <c r="G1524" t="s">
        <v>427</v>
      </c>
      <c r="H1524" s="107">
        <v>44561</v>
      </c>
      <c r="I1524" s="65"/>
      <c r="K1524" s="71"/>
      <c r="L1524" s="72"/>
      <c r="M1524" s="71"/>
      <c r="N1524" s="216"/>
      <c r="O1524" s="71"/>
      <c r="P1524" s="72">
        <v>5</v>
      </c>
    </row>
    <row r="1525" spans="1:16">
      <c r="A1525" s="306"/>
      <c r="B1525" s="289"/>
      <c r="C1525" s="307"/>
      <c r="D1525" s="139" t="s">
        <v>415</v>
      </c>
      <c r="E1525" t="s">
        <v>657</v>
      </c>
      <c r="G1525" t="s">
        <v>427</v>
      </c>
      <c r="H1525" s="107">
        <v>44561</v>
      </c>
      <c r="I1525" s="65"/>
      <c r="K1525" s="71"/>
      <c r="L1525" s="72"/>
      <c r="M1525" s="71"/>
      <c r="N1525" s="216"/>
      <c r="O1525" s="71"/>
      <c r="P1525" s="72">
        <v>32</v>
      </c>
    </row>
    <row r="1526" spans="1:16">
      <c r="A1526" s="306"/>
      <c r="B1526" s="289"/>
      <c r="C1526" s="307"/>
      <c r="D1526" s="139" t="s">
        <v>415</v>
      </c>
      <c r="E1526" t="s">
        <v>738</v>
      </c>
      <c r="G1526" t="s">
        <v>427</v>
      </c>
      <c r="H1526" s="107">
        <v>44561</v>
      </c>
      <c r="I1526" s="65"/>
      <c r="K1526" s="71"/>
      <c r="L1526" s="72"/>
      <c r="M1526" s="71"/>
      <c r="N1526" s="216"/>
      <c r="O1526" s="71"/>
      <c r="P1526" s="72">
        <v>5</v>
      </c>
    </row>
    <row r="1527" spans="1:16">
      <c r="A1527" s="306"/>
      <c r="B1527" s="289"/>
      <c r="C1527" s="307"/>
      <c r="D1527" s="139" t="s">
        <v>415</v>
      </c>
      <c r="E1527" t="s">
        <v>739</v>
      </c>
      <c r="G1527" t="s">
        <v>427</v>
      </c>
      <c r="H1527" s="107">
        <v>44561</v>
      </c>
      <c r="I1527" s="65"/>
      <c r="K1527" s="71"/>
      <c r="L1527" s="72"/>
      <c r="M1527" s="71"/>
      <c r="N1527" s="216"/>
      <c r="O1527" s="71"/>
      <c r="P1527" s="72">
        <v>292</v>
      </c>
    </row>
    <row r="1528" spans="1:16">
      <c r="A1528" s="306"/>
      <c r="B1528" s="289"/>
      <c r="C1528" s="307"/>
      <c r="D1528" s="139" t="s">
        <v>415</v>
      </c>
      <c r="E1528" t="s">
        <v>740</v>
      </c>
      <c r="G1528" t="s">
        <v>427</v>
      </c>
      <c r="H1528" s="107">
        <v>44561</v>
      </c>
      <c r="I1528" s="65"/>
      <c r="K1528" s="71"/>
      <c r="L1528" s="72"/>
      <c r="M1528" s="71"/>
      <c r="N1528" s="216"/>
      <c r="O1528" s="71"/>
      <c r="P1528" s="72" t="s">
        <v>586</v>
      </c>
    </row>
    <row r="1529" spans="1:16">
      <c r="A1529" s="306"/>
      <c r="B1529" s="289"/>
      <c r="C1529" s="307"/>
      <c r="D1529" s="139" t="s">
        <v>415</v>
      </c>
      <c r="E1529" s="141" t="s">
        <v>658</v>
      </c>
      <c r="F1529" s="141"/>
      <c r="G1529" t="s">
        <v>427</v>
      </c>
      <c r="H1529" s="107">
        <v>44561</v>
      </c>
      <c r="I1529" s="65"/>
      <c r="K1529" s="71"/>
      <c r="L1529" s="72"/>
      <c r="M1529" s="71"/>
      <c r="N1529" s="216"/>
      <c r="O1529" s="71"/>
      <c r="P1529" s="72" t="s">
        <v>586</v>
      </c>
    </row>
    <row r="1530" spans="1:16">
      <c r="A1530" s="306"/>
      <c r="B1530" s="289"/>
      <c r="C1530" s="307"/>
      <c r="D1530" s="139" t="s">
        <v>415</v>
      </c>
      <c r="E1530" t="s">
        <v>741</v>
      </c>
      <c r="G1530" t="s">
        <v>427</v>
      </c>
      <c r="H1530" s="107">
        <v>44561</v>
      </c>
      <c r="I1530" s="65"/>
      <c r="K1530" s="71"/>
      <c r="L1530" s="72"/>
      <c r="M1530" s="71"/>
      <c r="N1530" s="216"/>
      <c r="O1530" s="71"/>
      <c r="P1530" s="72">
        <v>2568</v>
      </c>
    </row>
    <row r="1531" spans="1:16">
      <c r="A1531" s="306"/>
      <c r="B1531" s="289"/>
      <c r="C1531" s="307"/>
      <c r="D1531" s="139" t="s">
        <v>415</v>
      </c>
      <c r="E1531" t="s">
        <v>659</v>
      </c>
      <c r="G1531" t="s">
        <v>427</v>
      </c>
      <c r="H1531" s="107">
        <v>44561</v>
      </c>
      <c r="I1531" s="65"/>
      <c r="K1531" s="71"/>
      <c r="L1531" s="72"/>
      <c r="M1531" s="71"/>
      <c r="N1531" s="216"/>
      <c r="O1531" s="71"/>
      <c r="P1531" s="72">
        <v>0</v>
      </c>
    </row>
    <row r="1532" spans="1:16">
      <c r="A1532" s="306"/>
      <c r="B1532" s="289"/>
      <c r="C1532" s="307"/>
      <c r="D1532" s="139" t="s">
        <v>415</v>
      </c>
      <c r="E1532" t="s">
        <v>742</v>
      </c>
      <c r="G1532" t="s">
        <v>427</v>
      </c>
      <c r="H1532" s="107">
        <v>44561</v>
      </c>
      <c r="I1532" s="65"/>
      <c r="K1532" s="71"/>
      <c r="L1532" s="72"/>
      <c r="M1532" s="71"/>
      <c r="N1532" s="216"/>
      <c r="O1532" s="71"/>
      <c r="P1532" s="72">
        <v>0</v>
      </c>
    </row>
    <row r="1533" spans="1:16">
      <c r="A1533" s="306"/>
      <c r="B1533" s="289"/>
      <c r="C1533" s="307"/>
      <c r="D1533" s="139" t="s">
        <v>415</v>
      </c>
      <c r="E1533" t="s">
        <v>714</v>
      </c>
      <c r="G1533" t="s">
        <v>427</v>
      </c>
      <c r="H1533" s="107">
        <v>44561</v>
      </c>
      <c r="I1533" s="65"/>
      <c r="K1533" s="71"/>
      <c r="L1533" s="72"/>
      <c r="M1533" s="71"/>
      <c r="N1533" s="216"/>
      <c r="O1533" s="71"/>
      <c r="P1533" s="72">
        <v>0</v>
      </c>
    </row>
    <row r="1534" spans="1:16">
      <c r="A1534" s="306"/>
      <c r="B1534" s="289"/>
      <c r="C1534" s="307"/>
      <c r="D1534" s="139" t="s">
        <v>415</v>
      </c>
      <c r="E1534" t="s">
        <v>743</v>
      </c>
      <c r="G1534" t="s">
        <v>427</v>
      </c>
      <c r="H1534" s="107">
        <v>44561</v>
      </c>
      <c r="I1534" s="65"/>
      <c r="K1534" s="71"/>
      <c r="L1534" s="72"/>
      <c r="M1534" s="71"/>
      <c r="N1534" s="216"/>
      <c r="O1534" s="71"/>
      <c r="P1534" s="72">
        <f>SUM(P1530:P1533,P1519:P1527)</f>
        <v>12242</v>
      </c>
    </row>
    <row r="1535" spans="1:16">
      <c r="A1535" s="306"/>
      <c r="B1535" s="289"/>
      <c r="C1535" s="307"/>
      <c r="D1535" s="140" t="s">
        <v>415</v>
      </c>
      <c r="E1535" s="45" t="s">
        <v>744</v>
      </c>
      <c r="F1535" s="45"/>
      <c r="G1535" s="45" t="s">
        <v>429</v>
      </c>
      <c r="H1535" s="122">
        <v>44561</v>
      </c>
      <c r="I1535" s="120"/>
      <c r="J1535" s="45"/>
      <c r="K1535" s="84"/>
      <c r="L1535" s="84"/>
      <c r="M1535" s="84"/>
      <c r="N1535" s="216">
        <v>158</v>
      </c>
      <c r="O1535" s="84"/>
      <c r="P1535" s="84">
        <v>99</v>
      </c>
    </row>
    <row r="1536" spans="1:16">
      <c r="A1536" s="306"/>
      <c r="B1536" s="289"/>
      <c r="C1536" s="307"/>
      <c r="D1536" s="139" t="s">
        <v>417</v>
      </c>
      <c r="E1536" t="s">
        <v>661</v>
      </c>
      <c r="G1536" t="s">
        <v>669</v>
      </c>
      <c r="H1536" s="65"/>
      <c r="I1536" s="65"/>
      <c r="K1536" s="71">
        <v>7535</v>
      </c>
      <c r="L1536" s="72">
        <v>8326</v>
      </c>
      <c r="M1536" s="71">
        <v>8816</v>
      </c>
      <c r="N1536" s="216">
        <v>8738</v>
      </c>
      <c r="O1536" s="71">
        <v>7884</v>
      </c>
      <c r="P1536" s="72">
        <v>9519</v>
      </c>
    </row>
    <row r="1537" spans="1:17">
      <c r="A1537" s="306"/>
      <c r="B1537" s="289"/>
      <c r="C1537" s="307"/>
      <c r="D1537" s="139" t="s">
        <v>418</v>
      </c>
      <c r="H1537" s="65"/>
      <c r="I1537" s="65"/>
      <c r="K1537" s="71"/>
      <c r="L1537" s="72"/>
      <c r="M1537" s="71"/>
      <c r="N1537" s="216"/>
      <c r="O1537" s="71"/>
      <c r="P1537" s="72" t="s">
        <v>745</v>
      </c>
    </row>
    <row r="1538" spans="1:17">
      <c r="A1538" s="316"/>
      <c r="B1538" s="293"/>
      <c r="C1538" s="318"/>
      <c r="D1538" s="139"/>
      <c r="H1538" s="65"/>
      <c r="I1538" s="65"/>
      <c r="K1538" s="71"/>
      <c r="L1538" s="72"/>
      <c r="M1538" s="71"/>
      <c r="N1538" s="216"/>
      <c r="O1538" s="71"/>
      <c r="P1538" s="72"/>
    </row>
    <row r="1539" spans="1:17">
      <c r="A1539" s="306" t="s">
        <v>874</v>
      </c>
      <c r="B1539" s="292">
        <v>0</v>
      </c>
      <c r="C1539" s="307" t="s">
        <v>875</v>
      </c>
      <c r="D1539" s="139" t="s">
        <v>411</v>
      </c>
      <c r="G1539" t="s">
        <v>428</v>
      </c>
      <c r="H1539" s="107">
        <v>44561</v>
      </c>
      <c r="I1539" s="65"/>
      <c r="K1539" s="71"/>
      <c r="L1539" s="72"/>
      <c r="M1539" s="71">
        <v>16872000</v>
      </c>
      <c r="N1539" s="216">
        <v>16461000</v>
      </c>
      <c r="O1539" s="71">
        <v>16247000</v>
      </c>
      <c r="P1539" s="72">
        <v>16321000</v>
      </c>
      <c r="Q1539" s="71">
        <v>16321000</v>
      </c>
    </row>
    <row r="1540" spans="1:17">
      <c r="A1540" s="306"/>
      <c r="B1540" s="289"/>
      <c r="C1540" s="307"/>
      <c r="D1540" s="139" t="s">
        <v>412</v>
      </c>
      <c r="E1540" t="s">
        <v>705</v>
      </c>
      <c r="G1540" t="s">
        <v>428</v>
      </c>
      <c r="H1540" s="107">
        <v>44561</v>
      </c>
      <c r="I1540" s="65"/>
      <c r="K1540" s="71"/>
      <c r="L1540" s="72"/>
      <c r="M1540" s="71">
        <v>23517835.5</v>
      </c>
      <c r="N1540" s="216">
        <v>23447639.800000001</v>
      </c>
      <c r="O1540" s="71">
        <v>22298976.899999999</v>
      </c>
      <c r="P1540" s="72">
        <v>23573000</v>
      </c>
      <c r="Q1540" s="71">
        <v>23573000</v>
      </c>
    </row>
    <row r="1541" spans="1:17">
      <c r="A1541" s="306"/>
      <c r="B1541" s="289"/>
      <c r="C1541" s="307"/>
      <c r="D1541" s="139" t="s">
        <v>412</v>
      </c>
      <c r="E1541" t="s">
        <v>707</v>
      </c>
      <c r="G1541" t="s">
        <v>428</v>
      </c>
      <c r="H1541" s="107">
        <v>44561</v>
      </c>
      <c r="I1541" s="65"/>
      <c r="K1541" s="71"/>
      <c r="L1541" s="72"/>
      <c r="M1541" s="71"/>
      <c r="N1541" s="216"/>
      <c r="O1541" s="71"/>
      <c r="P1541" s="72">
        <v>21400000</v>
      </c>
      <c r="Q1541" s="71">
        <v>21400000</v>
      </c>
    </row>
    <row r="1542" spans="1:17">
      <c r="A1542" s="306"/>
      <c r="B1542" s="289"/>
      <c r="C1542" s="307"/>
      <c r="D1542" s="139" t="s">
        <v>415</v>
      </c>
      <c r="E1542" t="s">
        <v>686</v>
      </c>
      <c r="G1542" t="s">
        <v>428</v>
      </c>
      <c r="H1542" s="107">
        <v>44561</v>
      </c>
      <c r="I1542" s="65"/>
      <c r="K1542" s="71"/>
      <c r="L1542" s="72"/>
      <c r="M1542" s="71"/>
      <c r="N1542" s="216"/>
      <c r="O1542" s="71"/>
      <c r="P1542" s="72">
        <v>606000</v>
      </c>
      <c r="Q1542" s="71">
        <v>606000</v>
      </c>
    </row>
    <row r="1543" spans="1:17">
      <c r="A1543" s="306"/>
      <c r="B1543" s="289"/>
      <c r="C1543" s="307"/>
      <c r="D1543" s="139" t="s">
        <v>415</v>
      </c>
      <c r="E1543" t="s">
        <v>683</v>
      </c>
      <c r="G1543" t="s">
        <v>428</v>
      </c>
      <c r="H1543" s="107">
        <v>44561</v>
      </c>
      <c r="I1543" s="65"/>
      <c r="K1543" s="71"/>
      <c r="L1543" s="72"/>
      <c r="M1543" s="71">
        <v>5060000</v>
      </c>
      <c r="N1543" s="216">
        <v>5590000</v>
      </c>
      <c r="O1543" s="71">
        <v>5290000</v>
      </c>
      <c r="P1543" s="72">
        <v>7430000</v>
      </c>
      <c r="Q1543" s="71">
        <v>7430000</v>
      </c>
    </row>
    <row r="1544" spans="1:17">
      <c r="A1544" s="306"/>
      <c r="B1544" s="289"/>
      <c r="C1544" s="307"/>
      <c r="D1544" s="139" t="s">
        <v>415</v>
      </c>
      <c r="E1544" t="s">
        <v>653</v>
      </c>
      <c r="G1544" t="s">
        <v>428</v>
      </c>
      <c r="H1544" s="107">
        <v>44561</v>
      </c>
      <c r="I1544" s="65"/>
      <c r="K1544" s="71"/>
      <c r="L1544" s="72"/>
      <c r="M1544" s="71">
        <v>1540000</v>
      </c>
      <c r="N1544" s="216">
        <v>1540000</v>
      </c>
      <c r="O1544" s="71">
        <v>1640000</v>
      </c>
      <c r="P1544" s="72">
        <v>4250000</v>
      </c>
      <c r="Q1544" s="71">
        <v>4250000</v>
      </c>
    </row>
    <row r="1545" spans="1:17">
      <c r="A1545" s="306"/>
      <c r="B1545" s="289"/>
      <c r="C1545" s="307"/>
      <c r="D1545" s="139" t="s">
        <v>415</v>
      </c>
      <c r="E1545" t="s">
        <v>654</v>
      </c>
      <c r="G1545" t="s">
        <v>428</v>
      </c>
      <c r="H1545" s="107">
        <v>44561</v>
      </c>
      <c r="I1545" s="65"/>
      <c r="K1545" s="71"/>
      <c r="L1545" s="72"/>
      <c r="M1545" s="71">
        <v>965000</v>
      </c>
      <c r="N1545" s="216">
        <v>965000</v>
      </c>
      <c r="O1545" s="71">
        <v>931000</v>
      </c>
      <c r="P1545" s="72">
        <v>810000</v>
      </c>
      <c r="Q1545" s="71">
        <v>810000</v>
      </c>
    </row>
    <row r="1546" spans="1:17">
      <c r="A1546" s="306"/>
      <c r="B1546" s="289"/>
      <c r="C1546" s="307"/>
      <c r="D1546" s="139" t="s">
        <v>415</v>
      </c>
      <c r="E1546" t="s">
        <v>655</v>
      </c>
      <c r="G1546" t="s">
        <v>428</v>
      </c>
      <c r="H1546" s="107">
        <v>44561</v>
      </c>
      <c r="I1546" s="65"/>
      <c r="K1546" s="71"/>
      <c r="L1546" s="72"/>
      <c r="M1546" s="71">
        <v>661000</v>
      </c>
      <c r="N1546" s="216">
        <v>577000</v>
      </c>
      <c r="O1546" s="71">
        <v>562000</v>
      </c>
      <c r="P1546" s="72">
        <v>780000</v>
      </c>
      <c r="Q1546" s="71">
        <v>780000</v>
      </c>
    </row>
    <row r="1547" spans="1:17">
      <c r="A1547" s="306"/>
      <c r="B1547" s="289"/>
      <c r="C1547" s="307"/>
      <c r="D1547" s="139" t="s">
        <v>415</v>
      </c>
      <c r="E1547" t="s">
        <v>656</v>
      </c>
      <c r="G1547" t="s">
        <v>428</v>
      </c>
      <c r="H1547" s="107">
        <v>44561</v>
      </c>
      <c r="I1547" s="65"/>
      <c r="K1547" s="71"/>
      <c r="L1547" s="72"/>
      <c r="M1547" s="71"/>
      <c r="N1547" s="216"/>
      <c r="O1547" s="71"/>
      <c r="P1547" s="72">
        <v>21000</v>
      </c>
      <c r="Q1547" s="71">
        <v>21000</v>
      </c>
    </row>
    <row r="1548" spans="1:17">
      <c r="A1548" s="306"/>
      <c r="B1548" s="289"/>
      <c r="C1548" s="307"/>
      <c r="D1548" s="139" t="s">
        <v>415</v>
      </c>
      <c r="E1548" t="s">
        <v>714</v>
      </c>
      <c r="G1548" t="s">
        <v>428</v>
      </c>
      <c r="H1548" s="107">
        <v>44561</v>
      </c>
      <c r="I1548" s="65"/>
      <c r="K1548" s="71"/>
      <c r="L1548" s="72"/>
      <c r="M1548" s="71">
        <v>4460000</v>
      </c>
      <c r="N1548" s="216">
        <v>4460000</v>
      </c>
      <c r="O1548" s="71">
        <v>3930000</v>
      </c>
      <c r="P1548" s="72">
        <v>5450000</v>
      </c>
      <c r="Q1548" s="71">
        <v>5450000</v>
      </c>
    </row>
    <row r="1549" spans="1:17">
      <c r="A1549" s="306"/>
      <c r="B1549" s="289"/>
      <c r="C1549" s="307"/>
      <c r="D1549" s="139" t="s">
        <v>415</v>
      </c>
      <c r="E1549" t="s">
        <v>746</v>
      </c>
      <c r="G1549" t="s">
        <v>428</v>
      </c>
      <c r="H1549" s="107">
        <v>44561</v>
      </c>
      <c r="I1549" s="65"/>
      <c r="K1549" s="71"/>
      <c r="L1549" s="72"/>
      <c r="M1549" s="71">
        <v>2163000</v>
      </c>
      <c r="N1549" s="216">
        <v>2280000</v>
      </c>
      <c r="O1549" s="71">
        <v>2050000</v>
      </c>
      <c r="P1549" s="72">
        <v>2520000</v>
      </c>
      <c r="Q1549" s="71">
        <v>2520000</v>
      </c>
    </row>
    <row r="1550" spans="1:17">
      <c r="A1550" s="306"/>
      <c r="B1550" s="289"/>
      <c r="C1550" s="307"/>
      <c r="D1550" s="139" t="s">
        <v>415</v>
      </c>
      <c r="E1550" t="s">
        <v>660</v>
      </c>
      <c r="G1550" t="s">
        <v>428</v>
      </c>
      <c r="H1550" s="107">
        <v>44196</v>
      </c>
      <c r="I1550"/>
      <c r="K1550" s="71"/>
      <c r="L1550" s="72"/>
      <c r="M1550" s="71">
        <f>SUM(M1543:M1549)</f>
        <v>14849000</v>
      </c>
      <c r="N1550" s="216">
        <f t="shared" ref="N1550:P1550" si="74">SUM(N1543:N1549)</f>
        <v>15412000</v>
      </c>
      <c r="O1550" s="71">
        <f t="shared" si="74"/>
        <v>14403000</v>
      </c>
      <c r="P1550" s="72">
        <f t="shared" si="74"/>
        <v>21261000</v>
      </c>
      <c r="Q1550" s="71">
        <f t="shared" ref="Q1550" si="75">SUM(Q1543:Q1549)</f>
        <v>21261000</v>
      </c>
    </row>
    <row r="1551" spans="1:17">
      <c r="A1551" s="306"/>
      <c r="B1551" s="289"/>
      <c r="C1551" s="307"/>
      <c r="D1551" s="139" t="s">
        <v>417</v>
      </c>
      <c r="E1551" t="s">
        <v>661</v>
      </c>
      <c r="G1551" t="s">
        <v>748</v>
      </c>
      <c r="H1551" s="107">
        <v>44561</v>
      </c>
      <c r="I1551" s="65"/>
      <c r="K1551" s="71"/>
      <c r="L1551" s="72"/>
      <c r="M1551" s="71">
        <v>28084</v>
      </c>
      <c r="N1551" s="216">
        <v>28228</v>
      </c>
      <c r="O1551" s="71">
        <v>27243</v>
      </c>
      <c r="P1551" s="72">
        <v>30793</v>
      </c>
      <c r="Q1551" s="71">
        <v>33400</v>
      </c>
    </row>
    <row r="1552" spans="1:17">
      <c r="A1552" s="306"/>
      <c r="B1552" s="289"/>
      <c r="C1552" s="307"/>
      <c r="D1552" s="139" t="s">
        <v>418</v>
      </c>
      <c r="H1552" s="107">
        <v>44561</v>
      </c>
      <c r="I1552" s="65"/>
      <c r="K1552" s="71"/>
      <c r="L1552" s="72"/>
      <c r="M1552" s="71"/>
      <c r="N1552" s="216"/>
      <c r="O1552" s="71"/>
      <c r="P1552" s="72" t="s">
        <v>747</v>
      </c>
    </row>
    <row r="1553" spans="1:16">
      <c r="A1553" s="316"/>
      <c r="B1553" s="293"/>
      <c r="C1553" s="318"/>
      <c r="D1553" s="139"/>
      <c r="H1553" s="65"/>
      <c r="I1553" s="65"/>
      <c r="K1553" s="71"/>
      <c r="L1553" s="72"/>
      <c r="M1553" s="71"/>
      <c r="N1553" s="216"/>
      <c r="O1553" s="71"/>
      <c r="P1553" s="72"/>
    </row>
    <row r="1554" spans="1:16">
      <c r="A1554" s="306" t="s">
        <v>874</v>
      </c>
      <c r="B1554" s="292">
        <v>0</v>
      </c>
      <c r="C1554" s="307" t="s">
        <v>875</v>
      </c>
      <c r="D1554" s="139" t="s">
        <v>411</v>
      </c>
      <c r="G1554" t="s">
        <v>428</v>
      </c>
      <c r="H1554" s="107">
        <v>44196</v>
      </c>
      <c r="I1554" s="65"/>
      <c r="K1554" s="71"/>
      <c r="L1554" s="72">
        <v>8820000</v>
      </c>
      <c r="M1554" s="71">
        <v>16872000</v>
      </c>
      <c r="N1554" s="216">
        <v>16461000</v>
      </c>
      <c r="O1554" s="71">
        <v>16247000</v>
      </c>
      <c r="P1554" s="72"/>
    </row>
    <row r="1555" spans="1:16">
      <c r="A1555" s="306"/>
      <c r="B1555" s="289"/>
      <c r="C1555" s="307"/>
      <c r="D1555" s="139" t="s">
        <v>412</v>
      </c>
      <c r="E1555" t="s">
        <v>705</v>
      </c>
      <c r="G1555" t="s">
        <v>428</v>
      </c>
      <c r="H1555" s="107">
        <v>44196</v>
      </c>
      <c r="I1555" s="65"/>
      <c r="K1555" s="71"/>
      <c r="L1555" s="72">
        <v>12836000</v>
      </c>
      <c r="M1555" s="71">
        <v>22333000</v>
      </c>
      <c r="N1555" s="216">
        <v>22250000</v>
      </c>
      <c r="O1555" s="71">
        <v>22969000</v>
      </c>
      <c r="P1555" s="72"/>
    </row>
    <row r="1556" spans="1:16">
      <c r="A1556" s="306"/>
      <c r="B1556" s="289"/>
      <c r="C1556" s="307"/>
      <c r="D1556" s="139" t="s">
        <v>412</v>
      </c>
      <c r="E1556" t="s">
        <v>707</v>
      </c>
      <c r="G1556" t="s">
        <v>428</v>
      </c>
      <c r="H1556" s="107">
        <v>44196</v>
      </c>
      <c r="I1556" s="65"/>
      <c r="K1556" s="71"/>
      <c r="L1556" s="72"/>
      <c r="M1556" s="71"/>
      <c r="N1556" s="216"/>
      <c r="O1556" s="71">
        <v>20100000</v>
      </c>
      <c r="P1556" s="72"/>
    </row>
    <row r="1557" spans="1:16">
      <c r="A1557" s="306"/>
      <c r="B1557" s="289"/>
      <c r="C1557" s="307"/>
      <c r="D1557" s="139" t="s">
        <v>415</v>
      </c>
      <c r="E1557" t="s">
        <v>683</v>
      </c>
      <c r="G1557" t="s">
        <v>428</v>
      </c>
      <c r="H1557" s="107">
        <v>44196</v>
      </c>
      <c r="I1557" s="65"/>
      <c r="K1557" s="71"/>
      <c r="L1557" s="72">
        <v>2199000</v>
      </c>
      <c r="M1557" s="71">
        <v>5060000</v>
      </c>
      <c r="N1557" s="216">
        <v>5590000</v>
      </c>
      <c r="O1557" s="71">
        <v>5290000</v>
      </c>
      <c r="P1557" s="72"/>
    </row>
    <row r="1558" spans="1:16">
      <c r="A1558" s="306"/>
      <c r="B1558" s="289"/>
      <c r="C1558" s="307"/>
      <c r="D1558" s="139" t="s">
        <v>415</v>
      </c>
      <c r="E1558" t="s">
        <v>653</v>
      </c>
      <c r="G1558" t="s">
        <v>428</v>
      </c>
      <c r="H1558" s="107">
        <v>44196</v>
      </c>
      <c r="I1558" s="65"/>
      <c r="K1558" s="71"/>
      <c r="L1558" s="72" t="s">
        <v>586</v>
      </c>
      <c r="M1558" s="71">
        <v>1540000</v>
      </c>
      <c r="N1558" s="216">
        <v>1540000</v>
      </c>
      <c r="O1558" s="71">
        <v>1640000</v>
      </c>
      <c r="P1558" s="72"/>
    </row>
    <row r="1559" spans="1:16">
      <c r="A1559" s="306"/>
      <c r="B1559" s="289"/>
      <c r="C1559" s="307"/>
      <c r="D1559" s="139" t="s">
        <v>415</v>
      </c>
      <c r="E1559" t="s">
        <v>654</v>
      </c>
      <c r="G1559" t="s">
        <v>428</v>
      </c>
      <c r="H1559" s="107">
        <v>44196</v>
      </c>
      <c r="I1559" s="65"/>
      <c r="K1559" s="71"/>
      <c r="L1559" s="72">
        <v>515000</v>
      </c>
      <c r="M1559" s="71">
        <v>965000</v>
      </c>
      <c r="N1559" s="216">
        <v>965000</v>
      </c>
      <c r="O1559" s="71">
        <v>931000</v>
      </c>
      <c r="P1559" s="72"/>
    </row>
    <row r="1560" spans="1:16">
      <c r="A1560" s="306"/>
      <c r="B1560" s="289"/>
      <c r="C1560" s="307"/>
      <c r="D1560" s="139" t="s">
        <v>415</v>
      </c>
      <c r="E1560" t="s">
        <v>714</v>
      </c>
      <c r="G1560" t="s">
        <v>428</v>
      </c>
      <c r="H1560" s="107">
        <v>44196</v>
      </c>
      <c r="I1560" s="65"/>
      <c r="K1560" s="71"/>
      <c r="L1560" s="72" t="s">
        <v>586</v>
      </c>
      <c r="M1560" s="71">
        <v>4460000</v>
      </c>
      <c r="N1560" s="216">
        <v>4460000</v>
      </c>
      <c r="O1560" s="71">
        <v>3930000</v>
      </c>
      <c r="P1560" s="72"/>
    </row>
    <row r="1561" spans="1:16">
      <c r="A1561" s="306"/>
      <c r="B1561" s="289"/>
      <c r="C1561" s="307"/>
      <c r="D1561" s="139" t="s">
        <v>415</v>
      </c>
      <c r="E1561" t="s">
        <v>746</v>
      </c>
      <c r="G1561" t="s">
        <v>428</v>
      </c>
      <c r="H1561" s="107">
        <v>44196</v>
      </c>
      <c r="I1561" s="65"/>
      <c r="K1561" s="71"/>
      <c r="L1561" s="72" t="s">
        <v>586</v>
      </c>
      <c r="M1561" s="71">
        <v>2163000</v>
      </c>
      <c r="N1561" s="216">
        <v>2280000</v>
      </c>
      <c r="O1561" s="71">
        <v>2050000</v>
      </c>
      <c r="P1561" s="72"/>
    </row>
    <row r="1562" spans="1:16">
      <c r="A1562" s="306"/>
      <c r="B1562" s="289"/>
      <c r="C1562" s="307"/>
      <c r="D1562" s="139" t="s">
        <v>415</v>
      </c>
      <c r="E1562" t="s">
        <v>686</v>
      </c>
      <c r="G1562" t="s">
        <v>428</v>
      </c>
      <c r="H1562" s="107">
        <v>44561</v>
      </c>
      <c r="I1562" s="65"/>
      <c r="K1562" s="71"/>
      <c r="L1562" s="72">
        <v>282000</v>
      </c>
      <c r="M1562" s="71">
        <v>661000</v>
      </c>
      <c r="N1562" s="216">
        <v>577000</v>
      </c>
      <c r="O1562" s="71">
        <v>562000</v>
      </c>
      <c r="P1562" s="72"/>
    </row>
    <row r="1563" spans="1:16">
      <c r="A1563" s="306"/>
      <c r="B1563" s="289"/>
      <c r="C1563" s="307"/>
      <c r="D1563" s="139" t="s">
        <v>415</v>
      </c>
      <c r="E1563" t="s">
        <v>660</v>
      </c>
      <c r="G1563" t="s">
        <v>428</v>
      </c>
      <c r="H1563" s="107">
        <v>44196</v>
      </c>
      <c r="I1563" s="65"/>
      <c r="K1563" s="71"/>
      <c r="L1563" s="72">
        <f>SUM(L1557:L1562)</f>
        <v>2996000</v>
      </c>
      <c r="M1563" s="71">
        <f t="shared" ref="M1563:N1563" si="76">SUM(M1557:M1562)</f>
        <v>14849000</v>
      </c>
      <c r="N1563" s="216">
        <f t="shared" si="76"/>
        <v>15412000</v>
      </c>
      <c r="O1563" s="71">
        <f>SUM(O1557:O1562)</f>
        <v>14403000</v>
      </c>
      <c r="P1563" s="72"/>
    </row>
    <row r="1564" spans="1:16">
      <c r="A1564" s="306"/>
      <c r="B1564" s="289"/>
      <c r="C1564" s="307"/>
      <c r="D1564" s="139" t="s">
        <v>417</v>
      </c>
      <c r="E1564" t="s">
        <v>661</v>
      </c>
      <c r="G1564" t="s">
        <v>748</v>
      </c>
      <c r="H1564" s="107">
        <v>44196</v>
      </c>
      <c r="I1564" s="65"/>
      <c r="K1564" s="71"/>
      <c r="L1564" s="72">
        <v>11437</v>
      </c>
      <c r="M1564" s="71">
        <v>28084</v>
      </c>
      <c r="N1564" s="216">
        <v>28228</v>
      </c>
      <c r="O1564" s="71">
        <v>27243</v>
      </c>
      <c r="P1564" s="72"/>
    </row>
    <row r="1565" spans="1:16">
      <c r="A1565" s="306"/>
      <c r="B1565" s="289"/>
      <c r="C1565" s="307"/>
      <c r="D1565" s="139" t="s">
        <v>418</v>
      </c>
      <c r="H1565" s="107">
        <v>44196</v>
      </c>
      <c r="I1565" s="65"/>
      <c r="K1565" s="71"/>
      <c r="L1565" s="72"/>
      <c r="M1565" s="71"/>
      <c r="N1565" s="216"/>
      <c r="O1565" s="71" t="s">
        <v>749</v>
      </c>
      <c r="P1565" s="72"/>
    </row>
    <row r="1566" spans="1:16">
      <c r="A1566" s="316"/>
      <c r="B1566" s="293"/>
      <c r="C1566" s="318"/>
      <c r="D1566" s="139"/>
      <c r="H1566" s="65"/>
      <c r="I1566" s="65"/>
      <c r="K1566" s="71"/>
      <c r="L1566" s="72"/>
      <c r="M1566" s="71"/>
      <c r="N1566" s="216"/>
      <c r="O1566" s="71"/>
      <c r="P1566" s="72"/>
    </row>
    <row r="1567" spans="1:16">
      <c r="A1567" s="306" t="s">
        <v>874</v>
      </c>
      <c r="B1567" s="292">
        <v>0</v>
      </c>
      <c r="C1567" s="307" t="s">
        <v>875</v>
      </c>
      <c r="D1567" s="139" t="s">
        <v>411</v>
      </c>
      <c r="G1567" t="s">
        <v>428</v>
      </c>
      <c r="H1567" s="107">
        <v>43830</v>
      </c>
      <c r="I1567" s="65"/>
      <c r="K1567" s="71">
        <v>8348000</v>
      </c>
      <c r="L1567" s="72">
        <v>8820000</v>
      </c>
      <c r="M1567" s="71">
        <v>16872000</v>
      </c>
      <c r="N1567" s="216">
        <v>16461000</v>
      </c>
      <c r="O1567" s="71"/>
      <c r="P1567" s="72"/>
    </row>
    <row r="1568" spans="1:16">
      <c r="A1568" s="306"/>
      <c r="B1568" s="289"/>
      <c r="C1568" s="307"/>
      <c r="D1568" s="139" t="s">
        <v>412</v>
      </c>
      <c r="E1568" t="s">
        <v>705</v>
      </c>
      <c r="G1568" t="s">
        <v>428</v>
      </c>
      <c r="H1568" s="107">
        <v>43830</v>
      </c>
      <c r="I1568" s="65"/>
      <c r="K1568" s="71">
        <v>12881000</v>
      </c>
      <c r="L1568" s="72">
        <v>12836000</v>
      </c>
      <c r="M1568" s="71">
        <v>22333000</v>
      </c>
      <c r="N1568" s="216">
        <v>22250000</v>
      </c>
      <c r="O1568" s="71"/>
      <c r="P1568" s="72"/>
    </row>
    <row r="1569" spans="1:16">
      <c r="A1569" s="306"/>
      <c r="B1569" s="289"/>
      <c r="C1569" s="307"/>
      <c r="D1569" s="139" t="s">
        <v>412</v>
      </c>
      <c r="E1569" t="s">
        <v>707</v>
      </c>
      <c r="G1569" t="s">
        <v>428</v>
      </c>
      <c r="H1569" s="107">
        <v>43830</v>
      </c>
      <c r="I1569" s="65"/>
      <c r="K1569" s="71"/>
      <c r="L1569" s="72"/>
      <c r="M1569" s="71"/>
      <c r="N1569" s="216">
        <v>19900000</v>
      </c>
      <c r="O1569" s="71"/>
      <c r="P1569" s="72"/>
    </row>
    <row r="1570" spans="1:16">
      <c r="A1570" s="306"/>
      <c r="B1570" s="289"/>
      <c r="C1570" s="307"/>
      <c r="D1570" s="139" t="s">
        <v>415</v>
      </c>
      <c r="E1570" t="s">
        <v>683</v>
      </c>
      <c r="G1570" t="s">
        <v>428</v>
      </c>
      <c r="H1570" s="107">
        <v>43830</v>
      </c>
      <c r="I1570" s="65"/>
      <c r="K1570" s="71">
        <v>2166000</v>
      </c>
      <c r="L1570" s="72">
        <v>2199000</v>
      </c>
      <c r="M1570" s="71">
        <v>5060000</v>
      </c>
      <c r="N1570" s="216">
        <v>5590000</v>
      </c>
      <c r="O1570" s="71"/>
      <c r="P1570" s="72"/>
    </row>
    <row r="1571" spans="1:16">
      <c r="A1571" s="306"/>
      <c r="B1571" s="289"/>
      <c r="C1571" s="307"/>
      <c r="D1571" s="139" t="s">
        <v>415</v>
      </c>
      <c r="E1571" t="s">
        <v>653</v>
      </c>
      <c r="G1571" t="s">
        <v>428</v>
      </c>
      <c r="H1571" s="107">
        <v>43830</v>
      </c>
      <c r="I1571" s="65"/>
      <c r="K1571" s="71" t="s">
        <v>586</v>
      </c>
      <c r="L1571" s="72" t="s">
        <v>586</v>
      </c>
      <c r="M1571" s="71">
        <v>1540000</v>
      </c>
      <c r="N1571" s="216">
        <v>1540000</v>
      </c>
      <c r="O1571" s="71"/>
      <c r="P1571" s="72"/>
    </row>
    <row r="1572" spans="1:16">
      <c r="A1572" s="306"/>
      <c r="B1572" s="289"/>
      <c r="C1572" s="307"/>
      <c r="D1572" s="139" t="s">
        <v>415</v>
      </c>
      <c r="E1572" t="s">
        <v>654</v>
      </c>
      <c r="G1572" t="s">
        <v>428</v>
      </c>
      <c r="H1572" s="107">
        <v>43830</v>
      </c>
      <c r="I1572" s="65"/>
      <c r="K1572" s="71">
        <v>483000</v>
      </c>
      <c r="L1572" s="72">
        <v>515000</v>
      </c>
      <c r="M1572" s="71">
        <v>965000</v>
      </c>
      <c r="N1572" s="216">
        <v>965000</v>
      </c>
      <c r="O1572" s="71"/>
      <c r="P1572" s="72"/>
    </row>
    <row r="1573" spans="1:16">
      <c r="A1573" s="306"/>
      <c r="B1573" s="289"/>
      <c r="C1573" s="307"/>
      <c r="D1573" s="139" t="s">
        <v>415</v>
      </c>
      <c r="E1573" t="s">
        <v>714</v>
      </c>
      <c r="G1573" t="s">
        <v>428</v>
      </c>
      <c r="H1573" s="107">
        <v>43830</v>
      </c>
      <c r="I1573" s="65"/>
      <c r="K1573" s="71" t="s">
        <v>586</v>
      </c>
      <c r="L1573" s="72" t="s">
        <v>586</v>
      </c>
      <c r="M1573" s="71">
        <v>4460000</v>
      </c>
      <c r="N1573" s="216">
        <v>4460000</v>
      </c>
      <c r="O1573" s="71"/>
      <c r="P1573" s="72"/>
    </row>
    <row r="1574" spans="1:16">
      <c r="A1574" s="306"/>
      <c r="B1574" s="289"/>
      <c r="C1574" s="307"/>
      <c r="D1574" s="139" t="s">
        <v>415</v>
      </c>
      <c r="E1574" t="s">
        <v>746</v>
      </c>
      <c r="G1574" t="s">
        <v>428</v>
      </c>
      <c r="H1574" s="107">
        <v>43830</v>
      </c>
      <c r="I1574" s="65"/>
      <c r="K1574" s="71" t="s">
        <v>586</v>
      </c>
      <c r="L1574" s="72" t="s">
        <v>586</v>
      </c>
      <c r="M1574" s="71">
        <v>2163000</v>
      </c>
      <c r="N1574" s="216">
        <v>2280000</v>
      </c>
      <c r="O1574" s="71"/>
      <c r="P1574" s="72"/>
    </row>
    <row r="1575" spans="1:16">
      <c r="A1575" s="306"/>
      <c r="B1575" s="289"/>
      <c r="C1575" s="307"/>
      <c r="D1575" s="139" t="s">
        <v>415</v>
      </c>
      <c r="E1575" t="s">
        <v>686</v>
      </c>
      <c r="G1575" t="s">
        <v>428</v>
      </c>
      <c r="H1575" s="107">
        <v>43830</v>
      </c>
      <c r="I1575" s="65"/>
      <c r="K1575" s="71">
        <v>260000</v>
      </c>
      <c r="L1575" s="72">
        <v>282000</v>
      </c>
      <c r="M1575" s="71">
        <v>661000</v>
      </c>
      <c r="N1575" s="216">
        <v>577000</v>
      </c>
      <c r="O1575" s="71"/>
      <c r="P1575" s="72"/>
    </row>
    <row r="1576" spans="1:16">
      <c r="A1576" s="306"/>
      <c r="B1576" s="289"/>
      <c r="C1576" s="307"/>
      <c r="D1576" s="139" t="s">
        <v>415</v>
      </c>
      <c r="E1576" t="s">
        <v>660</v>
      </c>
      <c r="G1576" t="s">
        <v>428</v>
      </c>
      <c r="H1576" s="107">
        <v>43830</v>
      </c>
      <c r="I1576" s="65"/>
      <c r="K1576" s="71">
        <f>SUM(K1570:K1575)</f>
        <v>2909000</v>
      </c>
      <c r="L1576" s="72">
        <f>SUM(L1570:L1575)</f>
        <v>2996000</v>
      </c>
      <c r="M1576" s="71">
        <f t="shared" ref="M1576:N1576" si="77">SUM(M1570:M1575)</f>
        <v>14849000</v>
      </c>
      <c r="N1576" s="216">
        <f t="shared" si="77"/>
        <v>15412000</v>
      </c>
      <c r="O1576" s="71"/>
      <c r="P1576" s="72"/>
    </row>
    <row r="1577" spans="1:16">
      <c r="A1577" s="306"/>
      <c r="B1577" s="289"/>
      <c r="C1577" s="307"/>
      <c r="D1577" s="139" t="s">
        <v>417</v>
      </c>
      <c r="E1577" t="s">
        <v>661</v>
      </c>
      <c r="G1577" t="s">
        <v>748</v>
      </c>
      <c r="H1577" s="107">
        <v>43830</v>
      </c>
      <c r="I1577" s="65"/>
      <c r="K1577" s="71">
        <v>10469</v>
      </c>
      <c r="L1577" s="72">
        <v>11437</v>
      </c>
      <c r="M1577" s="71">
        <v>28084</v>
      </c>
      <c r="N1577" s="216">
        <v>28228</v>
      </c>
      <c r="O1577" s="71"/>
      <c r="P1577" s="72"/>
    </row>
    <row r="1578" spans="1:16">
      <c r="A1578" s="306"/>
      <c r="B1578" s="289"/>
      <c r="C1578" s="307"/>
      <c r="D1578" s="139" t="s">
        <v>418</v>
      </c>
      <c r="H1578" s="107">
        <v>43830</v>
      </c>
      <c r="I1578" s="65"/>
      <c r="K1578" s="71"/>
      <c r="L1578" s="72"/>
      <c r="M1578" s="71" t="s">
        <v>750</v>
      </c>
      <c r="N1578" s="216" t="s">
        <v>751</v>
      </c>
      <c r="O1578" s="71"/>
      <c r="P1578" s="72"/>
    </row>
    <row r="1579" spans="1:16">
      <c r="A1579" s="316"/>
      <c r="B1579" s="293"/>
      <c r="C1579" s="318"/>
      <c r="D1579" s="139"/>
      <c r="H1579" s="65"/>
      <c r="I1579" s="65"/>
      <c r="K1579" s="71"/>
      <c r="L1579" s="72"/>
      <c r="M1579" s="71"/>
      <c r="N1579" s="216"/>
      <c r="O1579" s="71"/>
      <c r="P1579" s="72"/>
    </row>
    <row r="1580" spans="1:16">
      <c r="A1580" s="306" t="s">
        <v>874</v>
      </c>
      <c r="B1580" s="292">
        <v>0</v>
      </c>
      <c r="C1580" s="307" t="s">
        <v>875</v>
      </c>
      <c r="D1580" s="139" t="s">
        <v>411</v>
      </c>
      <c r="E1580" t="s">
        <v>752</v>
      </c>
      <c r="G1580" t="s">
        <v>428</v>
      </c>
      <c r="H1580" s="107">
        <v>43465</v>
      </c>
      <c r="I1580" s="65"/>
      <c r="J1580">
        <v>8200000</v>
      </c>
      <c r="K1580" s="71">
        <v>8300000</v>
      </c>
      <c r="L1580" s="72">
        <v>8800000</v>
      </c>
      <c r="M1580" s="71">
        <v>8300000</v>
      </c>
      <c r="N1580" s="216"/>
      <c r="O1580" s="71"/>
      <c r="P1580" s="72"/>
    </row>
    <row r="1581" spans="1:16">
      <c r="A1581" s="306"/>
      <c r="B1581" s="289"/>
      <c r="C1581" s="307"/>
      <c r="D1581" s="139" t="s">
        <v>411</v>
      </c>
      <c r="E1581" t="s">
        <v>753</v>
      </c>
      <c r="G1581" t="s">
        <v>428</v>
      </c>
      <c r="H1581" s="107">
        <v>43465</v>
      </c>
      <c r="I1581" s="65"/>
      <c r="K1581" s="71"/>
      <c r="L1581" s="72"/>
      <c r="M1581" s="71">
        <v>1400000</v>
      </c>
      <c r="N1581" s="216"/>
      <c r="O1581" s="71"/>
      <c r="P1581" s="72"/>
    </row>
    <row r="1582" spans="1:16">
      <c r="A1582" s="306"/>
      <c r="B1582" s="289"/>
      <c r="C1582" s="307"/>
      <c r="D1582" s="139" t="s">
        <v>412</v>
      </c>
      <c r="E1582" t="s">
        <v>705</v>
      </c>
      <c r="G1582" t="s">
        <v>428</v>
      </c>
      <c r="H1582" s="107">
        <v>43465</v>
      </c>
      <c r="I1582" s="65"/>
      <c r="K1582" s="71">
        <v>12881000</v>
      </c>
      <c r="L1582" s="72">
        <v>12836000</v>
      </c>
      <c r="M1582" s="71">
        <v>21093000</v>
      </c>
      <c r="N1582" s="216"/>
      <c r="O1582" s="71"/>
      <c r="P1582" s="72"/>
    </row>
    <row r="1583" spans="1:16">
      <c r="A1583" s="306"/>
      <c r="B1583" s="289"/>
      <c r="C1583" s="307"/>
      <c r="D1583" s="139" t="s">
        <v>412</v>
      </c>
      <c r="E1583" t="s">
        <v>707</v>
      </c>
      <c r="F1583" t="s">
        <v>752</v>
      </c>
      <c r="G1583" t="s">
        <v>428</v>
      </c>
      <c r="H1583" s="107">
        <v>43465</v>
      </c>
      <c r="I1583" s="65"/>
      <c r="J1583">
        <v>12600000</v>
      </c>
      <c r="K1583" s="71">
        <v>12900000</v>
      </c>
      <c r="L1583" s="72">
        <v>12800000</v>
      </c>
      <c r="M1583" s="71">
        <v>13000000</v>
      </c>
      <c r="N1583" s="216"/>
      <c r="O1583" s="71"/>
      <c r="P1583" s="72"/>
    </row>
    <row r="1584" spans="1:16">
      <c r="A1584" s="306"/>
      <c r="B1584" s="289"/>
      <c r="C1584" s="307"/>
      <c r="D1584" s="139" t="s">
        <v>412</v>
      </c>
      <c r="E1584" t="s">
        <v>707</v>
      </c>
      <c r="F1584" t="s">
        <v>753</v>
      </c>
      <c r="G1584" t="s">
        <v>428</v>
      </c>
      <c r="H1584" s="107">
        <v>43465</v>
      </c>
      <c r="I1584" s="65"/>
      <c r="K1584" s="71"/>
      <c r="L1584" s="72"/>
      <c r="M1584" s="71">
        <v>2200000</v>
      </c>
      <c r="N1584" s="216"/>
      <c r="O1584" s="71"/>
      <c r="P1584" s="72"/>
    </row>
    <row r="1585" spans="1:16">
      <c r="A1585" s="306"/>
      <c r="B1585" s="289"/>
      <c r="C1585" s="307"/>
      <c r="D1585" s="139" t="s">
        <v>415</v>
      </c>
      <c r="E1585" t="s">
        <v>683</v>
      </c>
      <c r="F1585" t="s">
        <v>752</v>
      </c>
      <c r="G1585" t="s">
        <v>428</v>
      </c>
      <c r="H1585" s="107">
        <v>43465</v>
      </c>
      <c r="I1585" s="65"/>
      <c r="J1585">
        <v>2173000</v>
      </c>
      <c r="K1585" s="71">
        <v>2166000</v>
      </c>
      <c r="L1585" s="72">
        <v>2199000</v>
      </c>
      <c r="M1585" s="71">
        <v>2210000</v>
      </c>
      <c r="N1585" s="216"/>
      <c r="O1585" s="71"/>
      <c r="P1585" s="72"/>
    </row>
    <row r="1586" spans="1:16">
      <c r="A1586" s="306"/>
      <c r="B1586" s="289"/>
      <c r="C1586" s="307"/>
      <c r="D1586" s="139" t="s">
        <v>415</v>
      </c>
      <c r="E1586" t="s">
        <v>683</v>
      </c>
      <c r="F1586" t="s">
        <v>753</v>
      </c>
      <c r="G1586" t="s">
        <v>428</v>
      </c>
      <c r="H1586" s="107">
        <v>43465</v>
      </c>
      <c r="I1586" s="65"/>
      <c r="K1586" s="71"/>
      <c r="L1586" s="72"/>
      <c r="M1586" s="71">
        <v>729000</v>
      </c>
      <c r="N1586" s="216"/>
      <c r="O1586" s="71"/>
      <c r="P1586" s="72"/>
    </row>
    <row r="1587" spans="1:16">
      <c r="A1587" s="306"/>
      <c r="B1587" s="289"/>
      <c r="C1587" s="307"/>
      <c r="D1587" s="139" t="s">
        <v>415</v>
      </c>
      <c r="E1587" t="s">
        <v>654</v>
      </c>
      <c r="F1587" t="s">
        <v>752</v>
      </c>
      <c r="G1587" t="s">
        <v>428</v>
      </c>
      <c r="H1587" s="107">
        <v>43465</v>
      </c>
      <c r="I1587" s="65"/>
      <c r="J1587">
        <v>505000</v>
      </c>
      <c r="K1587" s="71">
        <v>483000</v>
      </c>
      <c r="L1587" s="72">
        <v>515000</v>
      </c>
      <c r="M1587" s="71">
        <v>323000</v>
      </c>
      <c r="N1587" s="216"/>
      <c r="O1587" s="71"/>
      <c r="P1587" s="72"/>
    </row>
    <row r="1588" spans="1:16">
      <c r="A1588" s="306"/>
      <c r="B1588" s="289"/>
      <c r="C1588" s="307"/>
      <c r="D1588" s="139" t="s">
        <v>415</v>
      </c>
      <c r="E1588" t="s">
        <v>654</v>
      </c>
      <c r="F1588" t="s">
        <v>753</v>
      </c>
      <c r="G1588" t="s">
        <v>428</v>
      </c>
      <c r="H1588" s="107">
        <v>43465</v>
      </c>
      <c r="I1588" s="65"/>
      <c r="K1588" s="71"/>
      <c r="L1588" s="72"/>
      <c r="M1588" s="71">
        <v>107000</v>
      </c>
      <c r="N1588" s="216"/>
      <c r="O1588" s="71"/>
      <c r="P1588" s="72"/>
    </row>
    <row r="1589" spans="1:16">
      <c r="A1589" s="306"/>
      <c r="B1589" s="289"/>
      <c r="C1589" s="307"/>
      <c r="D1589" s="139" t="s">
        <v>415</v>
      </c>
      <c r="E1589" t="s">
        <v>1217</v>
      </c>
      <c r="G1589" t="s">
        <v>428</v>
      </c>
      <c r="H1589" s="107">
        <v>43465</v>
      </c>
      <c r="I1589" s="65"/>
      <c r="J1589">
        <v>17000</v>
      </c>
      <c r="K1589" s="71">
        <v>14000</v>
      </c>
      <c r="L1589" s="72">
        <v>14000</v>
      </c>
      <c r="M1589" s="71">
        <v>15000</v>
      </c>
      <c r="N1589" s="216"/>
      <c r="O1589" s="71"/>
      <c r="P1589" s="72"/>
    </row>
    <row r="1590" spans="1:16">
      <c r="A1590" s="306"/>
      <c r="B1590" s="289"/>
      <c r="C1590" s="307"/>
      <c r="D1590" s="139" t="s">
        <v>415</v>
      </c>
      <c r="E1590" t="s">
        <v>1217</v>
      </c>
      <c r="G1590" t="s">
        <v>428</v>
      </c>
      <c r="H1590" s="107">
        <v>43465</v>
      </c>
      <c r="I1590" s="65"/>
      <c r="K1590" s="71"/>
      <c r="L1590" s="72"/>
      <c r="M1590" s="71">
        <v>1000</v>
      </c>
      <c r="N1590" s="216"/>
      <c r="O1590" s="71"/>
      <c r="P1590" s="72"/>
    </row>
    <row r="1591" spans="1:16">
      <c r="A1591" s="306"/>
      <c r="B1591" s="289"/>
      <c r="C1591" s="307"/>
      <c r="D1591" s="139" t="s">
        <v>415</v>
      </c>
      <c r="E1591" t="s">
        <v>686</v>
      </c>
      <c r="F1591" t="s">
        <v>752</v>
      </c>
      <c r="G1591" t="s">
        <v>428</v>
      </c>
      <c r="H1591" s="107">
        <v>43465</v>
      </c>
      <c r="I1591" s="65"/>
      <c r="J1591">
        <v>260000</v>
      </c>
      <c r="K1591" s="71">
        <v>276000</v>
      </c>
      <c r="L1591" s="72">
        <v>282000</v>
      </c>
      <c r="M1591" s="71">
        <v>271000</v>
      </c>
      <c r="N1591" s="216"/>
      <c r="O1591" s="71"/>
      <c r="P1591" s="72"/>
    </row>
    <row r="1592" spans="1:16">
      <c r="A1592" s="306"/>
      <c r="B1592" s="289"/>
      <c r="C1592" s="307"/>
      <c r="D1592" s="139" t="s">
        <v>415</v>
      </c>
      <c r="E1592" t="s">
        <v>686</v>
      </c>
      <c r="F1592" t="s">
        <v>753</v>
      </c>
      <c r="G1592" t="s">
        <v>428</v>
      </c>
      <c r="H1592" s="107">
        <v>43465</v>
      </c>
      <c r="I1592" s="65"/>
      <c r="K1592" s="71"/>
      <c r="L1592" s="72"/>
      <c r="M1592" s="71">
        <v>65000</v>
      </c>
      <c r="N1592" s="216"/>
      <c r="O1592" s="71"/>
      <c r="P1592" s="72"/>
    </row>
    <row r="1593" spans="1:16">
      <c r="A1593" s="306"/>
      <c r="B1593" s="289"/>
      <c r="C1593" s="307"/>
      <c r="D1593" s="139" t="s">
        <v>415</v>
      </c>
      <c r="E1593" t="s">
        <v>660</v>
      </c>
      <c r="G1593" t="s">
        <v>428</v>
      </c>
      <c r="H1593" s="107">
        <v>43465</v>
      </c>
      <c r="I1593" s="65"/>
      <c r="J1593">
        <f t="shared" ref="J1593:L1593" si="78">SUM(J1585:J1592)</f>
        <v>2955000</v>
      </c>
      <c r="K1593" s="71">
        <f t="shared" si="78"/>
        <v>2939000</v>
      </c>
      <c r="L1593" s="72">
        <f t="shared" si="78"/>
        <v>3010000</v>
      </c>
      <c r="M1593" s="71">
        <f>SUM(M1585:M1592)</f>
        <v>3721000</v>
      </c>
      <c r="N1593" s="216"/>
      <c r="O1593" s="71"/>
      <c r="P1593" s="72"/>
    </row>
    <row r="1594" spans="1:16">
      <c r="A1594" s="306"/>
      <c r="B1594" s="289"/>
      <c r="C1594" s="307"/>
      <c r="D1594" s="139" t="s">
        <v>417</v>
      </c>
      <c r="E1594" t="s">
        <v>661</v>
      </c>
      <c r="G1594" t="s">
        <v>748</v>
      </c>
      <c r="H1594" s="107">
        <v>43465</v>
      </c>
      <c r="I1594" s="65"/>
      <c r="J1594">
        <v>10710</v>
      </c>
      <c r="K1594" s="71">
        <v>10469</v>
      </c>
      <c r="L1594" s="72">
        <v>11437</v>
      </c>
      <c r="M1594" s="71">
        <v>28084</v>
      </c>
      <c r="N1594" s="216"/>
      <c r="O1594" s="71"/>
      <c r="P1594" s="72"/>
    </row>
    <row r="1595" spans="1:16">
      <c r="A1595" s="306"/>
      <c r="B1595" s="289"/>
      <c r="C1595" s="307"/>
      <c r="D1595" s="139" t="s">
        <v>418</v>
      </c>
      <c r="H1595" s="107">
        <v>43465</v>
      </c>
      <c r="I1595" s="65"/>
      <c r="K1595" s="71"/>
      <c r="L1595" s="72"/>
      <c r="M1595" s="71" t="s">
        <v>750</v>
      </c>
      <c r="N1595" s="216"/>
      <c r="O1595" s="71"/>
      <c r="P1595" s="72"/>
    </row>
    <row r="1596" spans="1:16">
      <c r="A1596" s="316"/>
      <c r="B1596" s="289"/>
      <c r="C1596" s="318"/>
      <c r="D1596" s="139" t="s">
        <v>418</v>
      </c>
      <c r="H1596" s="107"/>
      <c r="I1596" s="65"/>
      <c r="K1596" s="71"/>
      <c r="L1596" s="72"/>
      <c r="M1596" s="71" t="s">
        <v>754</v>
      </c>
      <c r="N1596" s="216"/>
      <c r="O1596" s="71"/>
      <c r="P1596" s="72"/>
    </row>
    <row r="1597" spans="1:16">
      <c r="A1597" s="316"/>
      <c r="B1597" s="293"/>
      <c r="C1597" s="318"/>
      <c r="D1597" s="139"/>
      <c r="H1597" s="65"/>
      <c r="I1597" s="65"/>
      <c r="K1597" s="71"/>
      <c r="L1597" s="72"/>
      <c r="M1597" s="71"/>
      <c r="N1597" s="216"/>
      <c r="O1597" s="71"/>
      <c r="P1597" s="72"/>
    </row>
    <row r="1598" spans="1:16">
      <c r="A1598" s="306" t="s">
        <v>874</v>
      </c>
      <c r="B1598" s="292">
        <v>0</v>
      </c>
      <c r="C1598" s="307" t="s">
        <v>875</v>
      </c>
      <c r="D1598" s="139" t="s">
        <v>411</v>
      </c>
      <c r="E1598" t="s">
        <v>757</v>
      </c>
      <c r="G1598" t="s">
        <v>428</v>
      </c>
      <c r="H1598" s="107">
        <v>43100</v>
      </c>
      <c r="I1598" s="65"/>
      <c r="J1598">
        <v>7100000</v>
      </c>
      <c r="K1598" s="71">
        <v>7000000</v>
      </c>
      <c r="L1598" s="72">
        <v>8300000</v>
      </c>
      <c r="M1598" s="71"/>
      <c r="N1598" s="216"/>
      <c r="O1598" s="71"/>
      <c r="P1598" s="72"/>
    </row>
    <row r="1599" spans="1:16">
      <c r="A1599" s="306"/>
      <c r="B1599" s="289"/>
      <c r="C1599" s="307"/>
      <c r="D1599" s="139" t="s">
        <v>411</v>
      </c>
      <c r="E1599" s="97" t="s">
        <v>755</v>
      </c>
      <c r="F1599" s="97"/>
      <c r="G1599" t="s">
        <v>428</v>
      </c>
      <c r="H1599" s="107">
        <v>43100</v>
      </c>
      <c r="I1599" s="65" t="s">
        <v>970</v>
      </c>
      <c r="J1599">
        <v>4000000</v>
      </c>
      <c r="K1599" s="71">
        <v>4700000</v>
      </c>
      <c r="L1599" s="72">
        <v>5700000</v>
      </c>
      <c r="M1599" s="71"/>
      <c r="N1599" s="216"/>
      <c r="O1599" s="71"/>
      <c r="P1599" s="72"/>
    </row>
    <row r="1600" spans="1:16">
      <c r="A1600" s="306"/>
      <c r="B1600" s="289"/>
      <c r="C1600" s="307"/>
      <c r="D1600" s="139" t="s">
        <v>411</v>
      </c>
      <c r="E1600" t="s">
        <v>1218</v>
      </c>
      <c r="F1600" t="s">
        <v>753</v>
      </c>
      <c r="G1600" t="s">
        <v>428</v>
      </c>
      <c r="H1600" s="107">
        <v>43100</v>
      </c>
      <c r="I1600" s="65"/>
      <c r="J1600">
        <v>780000</v>
      </c>
      <c r="K1600" s="71">
        <v>800000</v>
      </c>
      <c r="L1600" s="72">
        <v>760000</v>
      </c>
      <c r="M1600" s="71"/>
      <c r="N1600" s="216"/>
      <c r="O1600" s="71"/>
      <c r="P1600" s="72"/>
    </row>
    <row r="1601" spans="1:16">
      <c r="A1601" s="306"/>
      <c r="B1601" s="289"/>
      <c r="C1601" s="307"/>
      <c r="D1601" s="139" t="s">
        <v>411</v>
      </c>
      <c r="E1601" s="134" t="s">
        <v>756</v>
      </c>
      <c r="F1601" s="134"/>
      <c r="G1601" t="s">
        <v>428</v>
      </c>
      <c r="H1601" s="107">
        <v>43100</v>
      </c>
      <c r="I1601" s="65"/>
      <c r="J1601">
        <v>1700000</v>
      </c>
      <c r="K1601" s="71">
        <v>1800000</v>
      </c>
      <c r="L1601" s="72">
        <v>1900000</v>
      </c>
      <c r="M1601" s="71"/>
      <c r="N1601" s="216"/>
      <c r="O1601" s="71"/>
      <c r="P1601" s="72"/>
    </row>
    <row r="1602" spans="1:16">
      <c r="A1602" s="306"/>
      <c r="B1602" s="289"/>
      <c r="C1602" s="307"/>
      <c r="D1602" s="139" t="s">
        <v>411</v>
      </c>
      <c r="E1602" s="143" t="s">
        <v>660</v>
      </c>
      <c r="F1602" s="143"/>
      <c r="G1602" s="124" t="s">
        <v>428</v>
      </c>
      <c r="H1602" s="107">
        <v>43100</v>
      </c>
      <c r="I1602" s="107"/>
      <c r="J1602">
        <f>J1598+J1600+J1601</f>
        <v>9580000</v>
      </c>
      <c r="K1602" s="71">
        <f t="shared" ref="K1602:L1602" si="79">K1598+K1600+K1601</f>
        <v>9600000</v>
      </c>
      <c r="L1602" s="72">
        <f t="shared" si="79"/>
        <v>10960000</v>
      </c>
      <c r="M1602" s="71"/>
      <c r="N1602" s="216"/>
      <c r="O1602" s="71"/>
      <c r="P1602" s="72"/>
    </row>
    <row r="1603" spans="1:16">
      <c r="A1603" s="306"/>
      <c r="B1603" s="289"/>
      <c r="C1603" s="307"/>
      <c r="D1603" s="139" t="s">
        <v>412</v>
      </c>
      <c r="E1603" t="s">
        <v>757</v>
      </c>
      <c r="G1603" t="s">
        <v>428</v>
      </c>
      <c r="H1603" s="107">
        <v>43100</v>
      </c>
      <c r="I1603" s="65"/>
      <c r="J1603">
        <v>15400000</v>
      </c>
      <c r="K1603" s="71">
        <v>16200000</v>
      </c>
      <c r="L1603" s="72">
        <v>17400000</v>
      </c>
      <c r="M1603" s="71"/>
      <c r="N1603" s="216"/>
      <c r="O1603" s="71"/>
      <c r="P1603" s="72"/>
    </row>
    <row r="1604" spans="1:16">
      <c r="A1604" s="306"/>
      <c r="B1604" s="289"/>
      <c r="C1604" s="307"/>
      <c r="D1604" s="139" t="s">
        <v>412</v>
      </c>
      <c r="E1604" s="97" t="s">
        <v>758</v>
      </c>
      <c r="F1604" s="97"/>
      <c r="G1604" t="s">
        <v>428</v>
      </c>
      <c r="H1604" s="107">
        <v>43100</v>
      </c>
      <c r="I1604" s="65"/>
      <c r="J1604">
        <v>13700000</v>
      </c>
      <c r="K1604" s="71">
        <v>14700000</v>
      </c>
      <c r="L1604" s="72">
        <v>15900000</v>
      </c>
      <c r="M1604" s="71"/>
      <c r="N1604" s="216"/>
      <c r="O1604" s="71"/>
      <c r="P1604" s="72"/>
    </row>
    <row r="1605" spans="1:16">
      <c r="A1605" s="306"/>
      <c r="B1605" s="289"/>
      <c r="C1605" s="307"/>
      <c r="D1605" s="139" t="s">
        <v>415</v>
      </c>
      <c r="E1605" t="s">
        <v>710</v>
      </c>
      <c r="G1605" t="s">
        <v>428</v>
      </c>
      <c r="H1605" s="107">
        <v>43100</v>
      </c>
      <c r="I1605" s="65"/>
      <c r="J1605">
        <v>68500000</v>
      </c>
      <c r="K1605" s="71">
        <v>58000000</v>
      </c>
      <c r="L1605" s="72">
        <v>53000000</v>
      </c>
      <c r="M1605" s="71"/>
      <c r="N1605" s="216"/>
      <c r="O1605" s="71"/>
      <c r="P1605" s="72"/>
    </row>
    <row r="1606" spans="1:16">
      <c r="A1606" s="306"/>
      <c r="B1606" s="289"/>
      <c r="C1606" s="307"/>
      <c r="D1606" s="139" t="s">
        <v>417</v>
      </c>
      <c r="E1606" t="s">
        <v>661</v>
      </c>
      <c r="G1606" t="s">
        <v>748</v>
      </c>
      <c r="H1606" s="107">
        <v>43100</v>
      </c>
      <c r="I1606" s="65"/>
      <c r="J1606">
        <v>10710</v>
      </c>
      <c r="K1606" s="71">
        <v>10469</v>
      </c>
      <c r="L1606" s="72">
        <v>11437</v>
      </c>
      <c r="M1606" s="71"/>
      <c r="N1606" s="216"/>
      <c r="O1606" s="71"/>
      <c r="P1606" s="72"/>
    </row>
    <row r="1607" spans="1:16">
      <c r="A1607" s="306"/>
      <c r="B1607" s="289"/>
      <c r="C1607" s="307"/>
      <c r="D1607" s="139" t="s">
        <v>418</v>
      </c>
      <c r="H1607" s="107">
        <v>43100</v>
      </c>
      <c r="I1607" s="65"/>
      <c r="K1607" s="71"/>
      <c r="L1607" s="72" t="s">
        <v>759</v>
      </c>
      <c r="M1607" s="71"/>
      <c r="N1607" s="216"/>
      <c r="O1607" s="71"/>
      <c r="P1607" s="72"/>
    </row>
    <row r="1608" spans="1:16">
      <c r="A1608" s="316"/>
      <c r="B1608" s="289"/>
      <c r="C1608" s="318"/>
      <c r="D1608" s="139" t="s">
        <v>418</v>
      </c>
      <c r="H1608" s="107"/>
      <c r="I1608" s="65"/>
      <c r="K1608" s="71"/>
      <c r="L1608" s="72"/>
      <c r="M1608" s="71"/>
      <c r="N1608" s="216"/>
      <c r="O1608" s="71"/>
      <c r="P1608" s="72"/>
    </row>
    <row r="1609" spans="1:16">
      <c r="A1609" s="316"/>
      <c r="B1609" s="290"/>
      <c r="C1609" s="318"/>
      <c r="D1609" s="139"/>
      <c r="H1609" s="65"/>
      <c r="I1609" s="65"/>
      <c r="K1609" s="71"/>
      <c r="L1609" s="72"/>
      <c r="M1609" s="71"/>
      <c r="N1609" s="216"/>
      <c r="O1609" s="71"/>
      <c r="P1609" s="72"/>
    </row>
    <row r="1610" spans="1:16">
      <c r="A1610" s="319" t="s">
        <v>877</v>
      </c>
      <c r="B1610" s="320">
        <v>0</v>
      </c>
      <c r="C1610" s="323" t="s">
        <v>878</v>
      </c>
      <c r="D1610" s="123" t="s">
        <v>411</v>
      </c>
      <c r="G1610" t="s">
        <v>428</v>
      </c>
      <c r="H1610" s="107">
        <v>44561</v>
      </c>
      <c r="I1610" s="65"/>
      <c r="K1610" s="71"/>
      <c r="L1610" s="72"/>
      <c r="M1610" s="71"/>
      <c r="N1610" s="216"/>
      <c r="O1610" s="71"/>
      <c r="P1610" s="72"/>
    </row>
    <row r="1611" spans="1:16">
      <c r="A1611" s="319"/>
      <c r="B1611" s="321"/>
      <c r="C1611" s="323"/>
      <c r="D1611" s="117" t="s">
        <v>412</v>
      </c>
      <c r="E1611" t="s">
        <v>420</v>
      </c>
      <c r="G1611" t="s">
        <v>428</v>
      </c>
      <c r="H1611" s="107">
        <v>44561</v>
      </c>
      <c r="I1611" s="65"/>
      <c r="K1611" s="71"/>
      <c r="L1611" s="72"/>
      <c r="M1611" s="71"/>
      <c r="N1611" s="216"/>
      <c r="O1611" s="71"/>
      <c r="P1611" s="72"/>
    </row>
    <row r="1612" spans="1:16">
      <c r="A1612" s="319"/>
      <c r="B1612" s="321"/>
      <c r="C1612" s="323"/>
      <c r="D1612" s="117" t="s">
        <v>414</v>
      </c>
      <c r="G1612" t="s">
        <v>428</v>
      </c>
      <c r="H1612" s="107">
        <v>44561</v>
      </c>
      <c r="I1612" s="65"/>
      <c r="J1612">
        <v>57200</v>
      </c>
      <c r="K1612" s="71">
        <v>51200</v>
      </c>
      <c r="L1612" s="72">
        <v>49000</v>
      </c>
      <c r="M1612" s="71">
        <v>36600</v>
      </c>
      <c r="N1612" s="216">
        <v>33900</v>
      </c>
      <c r="O1612" s="71">
        <v>36500</v>
      </c>
      <c r="P1612" s="72">
        <v>38000</v>
      </c>
    </row>
    <row r="1613" spans="1:16">
      <c r="A1613" s="319"/>
      <c r="B1613" s="321"/>
      <c r="C1613" s="323"/>
      <c r="D1613" s="121" t="s">
        <v>415</v>
      </c>
      <c r="E1613" t="s">
        <v>760</v>
      </c>
      <c r="G1613" t="s">
        <v>428</v>
      </c>
      <c r="H1613" s="107">
        <v>44561</v>
      </c>
      <c r="I1613" s="65"/>
      <c r="K1613" s="135"/>
      <c r="L1613" s="110"/>
      <c r="M1613" s="135"/>
      <c r="N1613" s="216"/>
      <c r="O1613" s="135">
        <v>1300</v>
      </c>
      <c r="P1613" s="110">
        <v>900</v>
      </c>
    </row>
    <row r="1614" spans="1:16">
      <c r="A1614" s="319"/>
      <c r="B1614" s="321"/>
      <c r="C1614" s="323"/>
      <c r="D1614" s="117" t="s">
        <v>417</v>
      </c>
      <c r="E1614" t="s">
        <v>661</v>
      </c>
      <c r="G1614" t="s">
        <v>761</v>
      </c>
      <c r="H1614" s="107">
        <v>44561</v>
      </c>
      <c r="I1614" s="65"/>
      <c r="K1614" s="135"/>
      <c r="L1614" s="110">
        <v>6720</v>
      </c>
      <c r="M1614" s="135">
        <v>8102</v>
      </c>
      <c r="N1614" s="220">
        <v>7919</v>
      </c>
      <c r="O1614" s="135">
        <v>9539</v>
      </c>
      <c r="P1614" s="110">
        <v>11610</v>
      </c>
    </row>
    <row r="1615" spans="1:16">
      <c r="A1615" s="319"/>
      <c r="B1615" s="321"/>
      <c r="C1615" s="323"/>
      <c r="D1615" s="118" t="s">
        <v>418</v>
      </c>
      <c r="H1615" s="107">
        <v>44561</v>
      </c>
      <c r="I1615" s="65"/>
      <c r="K1615" s="71"/>
      <c r="L1615" s="72"/>
      <c r="M1615" s="71"/>
      <c r="N1615" s="216"/>
      <c r="O1615" s="71"/>
      <c r="P1615" s="72" t="s">
        <v>762</v>
      </c>
    </row>
    <row r="1616" spans="1:16">
      <c r="A1616" s="319"/>
      <c r="B1616" s="322"/>
      <c r="C1616" s="323"/>
      <c r="D1616" s="66"/>
      <c r="H1616" s="65"/>
      <c r="I1616" s="65"/>
      <c r="K1616" s="71"/>
      <c r="L1616" s="72"/>
      <c r="M1616" s="71"/>
      <c r="N1616" s="216"/>
      <c r="O1616" s="71"/>
      <c r="P1616" s="72"/>
    </row>
    <row r="1617" spans="1:16">
      <c r="A1617" s="319" t="s">
        <v>877</v>
      </c>
      <c r="B1617" s="320">
        <v>0</v>
      </c>
      <c r="C1617" s="323" t="s">
        <v>878</v>
      </c>
      <c r="D1617" s="123" t="s">
        <v>411</v>
      </c>
      <c r="G1617" t="s">
        <v>428</v>
      </c>
      <c r="H1617" s="107">
        <v>44196</v>
      </c>
      <c r="I1617" s="65"/>
      <c r="K1617" s="71"/>
      <c r="L1617" s="72"/>
      <c r="M1617" s="71"/>
      <c r="N1617" s="216"/>
      <c r="O1617" s="71"/>
      <c r="P1617" s="72"/>
    </row>
    <row r="1618" spans="1:16">
      <c r="A1618" s="319"/>
      <c r="B1618" s="321"/>
      <c r="C1618" s="323"/>
      <c r="D1618" s="117" t="s">
        <v>412</v>
      </c>
      <c r="E1618" t="s">
        <v>420</v>
      </c>
      <c r="G1618" t="s">
        <v>428</v>
      </c>
      <c r="H1618" s="107">
        <v>44196</v>
      </c>
      <c r="I1618" s="65"/>
      <c r="K1618" s="71"/>
      <c r="L1618" s="72"/>
      <c r="M1618" s="71"/>
      <c r="N1618" s="216"/>
      <c r="O1618" s="71"/>
      <c r="P1618" s="72"/>
    </row>
    <row r="1619" spans="1:16">
      <c r="A1619" s="319"/>
      <c r="B1619" s="321"/>
      <c r="C1619" s="323"/>
      <c r="D1619" s="117" t="s">
        <v>414</v>
      </c>
      <c r="G1619" t="s">
        <v>428</v>
      </c>
      <c r="H1619" s="107">
        <v>44196</v>
      </c>
      <c r="I1619" s="65"/>
      <c r="J1619">
        <v>57200</v>
      </c>
      <c r="K1619" s="71">
        <v>51200</v>
      </c>
      <c r="L1619" s="72">
        <v>49000</v>
      </c>
      <c r="M1619" s="71">
        <v>36600</v>
      </c>
      <c r="N1619" s="216">
        <v>33900</v>
      </c>
      <c r="O1619" s="71">
        <v>44300</v>
      </c>
      <c r="P1619" s="72"/>
    </row>
    <row r="1620" spans="1:16">
      <c r="A1620" s="319"/>
      <c r="B1620" s="321"/>
      <c r="C1620" s="323"/>
      <c r="D1620" s="117" t="s">
        <v>417</v>
      </c>
      <c r="E1620" t="s">
        <v>661</v>
      </c>
      <c r="G1620" t="s">
        <v>761</v>
      </c>
      <c r="H1620" s="107">
        <v>44196</v>
      </c>
      <c r="I1620" s="65"/>
      <c r="K1620" s="71"/>
      <c r="L1620" s="72">
        <v>6720</v>
      </c>
      <c r="M1620" s="71">
        <v>8102</v>
      </c>
      <c r="N1620" s="216">
        <v>7919</v>
      </c>
      <c r="O1620" s="71">
        <v>9539</v>
      </c>
      <c r="P1620" s="72"/>
    </row>
    <row r="1621" spans="1:16">
      <c r="A1621" s="319"/>
      <c r="B1621" s="321"/>
      <c r="C1621" s="323"/>
      <c r="D1621" s="118" t="s">
        <v>418</v>
      </c>
      <c r="H1621" s="107">
        <v>44196</v>
      </c>
      <c r="I1621" s="65"/>
      <c r="K1621" s="71"/>
      <c r="L1621" s="72"/>
      <c r="M1621" s="71"/>
      <c r="N1621" s="216"/>
      <c r="O1621" s="71" t="s">
        <v>764</v>
      </c>
      <c r="P1621" s="72"/>
    </row>
    <row r="1622" spans="1:16">
      <c r="A1622" s="319"/>
      <c r="B1622" s="322"/>
      <c r="C1622" s="323"/>
      <c r="D1622" s="66"/>
      <c r="H1622" s="65"/>
      <c r="I1622" s="65"/>
      <c r="K1622" s="71"/>
      <c r="L1622" s="72"/>
      <c r="M1622" s="71"/>
      <c r="N1622" s="216"/>
      <c r="O1622" s="71"/>
      <c r="P1622" s="72"/>
    </row>
    <row r="1623" spans="1:16">
      <c r="A1623" s="319" t="s">
        <v>877</v>
      </c>
      <c r="B1623" s="320">
        <v>0</v>
      </c>
      <c r="C1623" s="323" t="s">
        <v>878</v>
      </c>
      <c r="D1623" s="123" t="s">
        <v>411</v>
      </c>
      <c r="G1623" t="s">
        <v>428</v>
      </c>
      <c r="H1623" s="107">
        <v>43830</v>
      </c>
      <c r="I1623" s="65"/>
      <c r="K1623" s="71"/>
      <c r="L1623" s="72"/>
      <c r="M1623" s="71"/>
      <c r="N1623" s="216"/>
      <c r="O1623" s="71"/>
      <c r="P1623" s="72"/>
    </row>
    <row r="1624" spans="1:16">
      <c r="A1624" s="319"/>
      <c r="B1624" s="321"/>
      <c r="C1624" s="323"/>
      <c r="D1624" s="117" t="s">
        <v>412</v>
      </c>
      <c r="E1624" t="s">
        <v>420</v>
      </c>
      <c r="G1624" t="s">
        <v>428</v>
      </c>
      <c r="H1624" s="107">
        <v>43830</v>
      </c>
      <c r="I1624" s="65"/>
      <c r="K1624" s="71"/>
      <c r="L1624" s="72"/>
      <c r="M1624" s="71"/>
      <c r="N1624" s="216"/>
      <c r="O1624" s="71"/>
      <c r="P1624" s="72"/>
    </row>
    <row r="1625" spans="1:16">
      <c r="A1625" s="319"/>
      <c r="B1625" s="321"/>
      <c r="C1625" s="323"/>
      <c r="D1625" s="117" t="s">
        <v>414</v>
      </c>
      <c r="G1625" t="s">
        <v>428</v>
      </c>
      <c r="H1625" s="107">
        <v>43830</v>
      </c>
      <c r="I1625" s="65"/>
      <c r="J1625">
        <v>57200</v>
      </c>
      <c r="K1625" s="71">
        <v>51200</v>
      </c>
      <c r="L1625" s="72">
        <v>49000</v>
      </c>
      <c r="M1625" s="71">
        <v>36600</v>
      </c>
      <c r="N1625" s="216">
        <v>33900</v>
      </c>
      <c r="O1625" s="71"/>
      <c r="P1625" s="72"/>
    </row>
    <row r="1626" spans="1:16">
      <c r="A1626" s="319"/>
      <c r="B1626" s="321"/>
      <c r="C1626" s="323"/>
      <c r="D1626" s="117" t="s">
        <v>417</v>
      </c>
      <c r="E1626" t="s">
        <v>661</v>
      </c>
      <c r="G1626" t="s">
        <v>761</v>
      </c>
      <c r="H1626" s="107">
        <v>43830</v>
      </c>
      <c r="I1626" s="65"/>
      <c r="K1626" s="71"/>
      <c r="L1626" s="72">
        <v>6720</v>
      </c>
      <c r="M1626" s="71">
        <v>8102</v>
      </c>
      <c r="N1626" s="216">
        <v>7919</v>
      </c>
      <c r="O1626" s="71"/>
      <c r="P1626" s="72"/>
    </row>
    <row r="1627" spans="1:16">
      <c r="A1627" s="319"/>
      <c r="B1627" s="321"/>
      <c r="C1627" s="323"/>
      <c r="D1627" s="118" t="s">
        <v>418</v>
      </c>
      <c r="H1627" s="107">
        <v>43830</v>
      </c>
      <c r="I1627" s="65"/>
      <c r="K1627" s="71"/>
      <c r="L1627" s="72"/>
      <c r="M1627" s="71"/>
      <c r="N1627" s="216" t="s">
        <v>765</v>
      </c>
      <c r="O1627" s="71"/>
      <c r="P1627" s="72"/>
    </row>
    <row r="1628" spans="1:16">
      <c r="A1628" s="319"/>
      <c r="B1628" s="322"/>
      <c r="C1628" s="323"/>
      <c r="D1628" s="66"/>
      <c r="H1628" s="65"/>
      <c r="I1628" s="65"/>
      <c r="K1628" s="71"/>
      <c r="L1628" s="72"/>
      <c r="M1628" s="71"/>
      <c r="N1628" s="216"/>
      <c r="O1628" s="71"/>
      <c r="P1628" s="72"/>
    </row>
    <row r="1629" spans="1:16">
      <c r="A1629" s="328" t="s">
        <v>877</v>
      </c>
      <c r="B1629" s="320">
        <v>0</v>
      </c>
      <c r="C1629" s="322" t="s">
        <v>878</v>
      </c>
      <c r="D1629" s="123" t="s">
        <v>411</v>
      </c>
      <c r="G1629" t="s">
        <v>428</v>
      </c>
      <c r="H1629" s="107">
        <v>43465</v>
      </c>
      <c r="I1629" s="65"/>
      <c r="K1629" s="71"/>
      <c r="L1629" s="72"/>
      <c r="M1629" s="71"/>
      <c r="N1629" s="216"/>
      <c r="O1629" s="71"/>
      <c r="P1629" s="72"/>
    </row>
    <row r="1630" spans="1:16">
      <c r="A1630" s="319"/>
      <c r="B1630" s="321"/>
      <c r="C1630" s="323"/>
      <c r="D1630" s="117" t="s">
        <v>412</v>
      </c>
      <c r="E1630" t="s">
        <v>420</v>
      </c>
      <c r="G1630" t="s">
        <v>428</v>
      </c>
      <c r="H1630" s="107">
        <v>43465</v>
      </c>
      <c r="I1630" s="65"/>
      <c r="K1630" s="71"/>
      <c r="L1630" s="72"/>
      <c r="M1630" s="71"/>
      <c r="N1630" s="216"/>
      <c r="O1630" s="71"/>
      <c r="P1630" s="72"/>
    </row>
    <row r="1631" spans="1:16">
      <c r="A1631" s="319"/>
      <c r="B1631" s="321"/>
      <c r="C1631" s="323"/>
      <c r="D1631" s="117" t="s">
        <v>414</v>
      </c>
      <c r="G1631" t="s">
        <v>428</v>
      </c>
      <c r="H1631" s="107">
        <v>43465</v>
      </c>
      <c r="I1631" s="65"/>
      <c r="J1631">
        <v>57200</v>
      </c>
      <c r="K1631" s="71">
        <v>51200</v>
      </c>
      <c r="L1631" s="72">
        <v>49000</v>
      </c>
      <c r="M1631" s="71">
        <v>36600</v>
      </c>
      <c r="N1631" s="216"/>
      <c r="O1631" s="71"/>
      <c r="P1631" s="72"/>
    </row>
    <row r="1632" spans="1:16">
      <c r="A1632" s="319"/>
      <c r="B1632" s="321"/>
      <c r="C1632" s="323"/>
      <c r="D1632" s="117" t="s">
        <v>417</v>
      </c>
      <c r="E1632" t="s">
        <v>661</v>
      </c>
      <c r="G1632" t="s">
        <v>761</v>
      </c>
      <c r="H1632" s="107">
        <v>43465</v>
      </c>
      <c r="I1632" s="65"/>
      <c r="K1632" s="71">
        <v>4447</v>
      </c>
      <c r="L1632" s="72">
        <v>6720</v>
      </c>
      <c r="M1632" s="71">
        <v>8102</v>
      </c>
      <c r="N1632" s="216"/>
      <c r="O1632" s="71"/>
      <c r="P1632" s="72"/>
    </row>
    <row r="1633" spans="1:16">
      <c r="A1633" s="319"/>
      <c r="B1633" s="321"/>
      <c r="C1633" s="323"/>
      <c r="D1633" s="118" t="s">
        <v>418</v>
      </c>
      <c r="H1633" s="107">
        <v>43465</v>
      </c>
      <c r="I1633" s="65"/>
      <c r="K1633" s="71"/>
      <c r="L1633" s="72"/>
      <c r="M1633" s="71" t="s">
        <v>766</v>
      </c>
      <c r="N1633" s="216"/>
      <c r="O1633" s="71"/>
      <c r="P1633" s="72"/>
    </row>
    <row r="1634" spans="1:16">
      <c r="A1634" s="319"/>
      <c r="B1634" s="322"/>
      <c r="C1634" s="323"/>
      <c r="D1634" s="66"/>
      <c r="H1634" s="65"/>
      <c r="I1634" s="65"/>
      <c r="K1634" s="71"/>
      <c r="L1634" s="72"/>
      <c r="M1634" s="71"/>
      <c r="N1634" s="216"/>
      <c r="O1634" s="71"/>
      <c r="P1634" s="72"/>
    </row>
    <row r="1635" spans="1:16">
      <c r="A1635" s="319" t="s">
        <v>877</v>
      </c>
      <c r="B1635" s="320">
        <v>0</v>
      </c>
      <c r="C1635" s="323" t="s">
        <v>878</v>
      </c>
      <c r="D1635" s="123" t="s">
        <v>411</v>
      </c>
      <c r="G1635" t="s">
        <v>428</v>
      </c>
      <c r="H1635" s="107">
        <v>43100</v>
      </c>
      <c r="I1635" s="65"/>
      <c r="K1635" s="71"/>
      <c r="L1635" s="72"/>
      <c r="M1635" s="71"/>
      <c r="N1635" s="216"/>
      <c r="O1635" s="71"/>
      <c r="P1635" s="72"/>
    </row>
    <row r="1636" spans="1:16">
      <c r="A1636" s="319"/>
      <c r="B1636" s="321"/>
      <c r="C1636" s="323"/>
      <c r="D1636" s="117" t="s">
        <v>412</v>
      </c>
      <c r="E1636" t="s">
        <v>420</v>
      </c>
      <c r="G1636" t="s">
        <v>428</v>
      </c>
      <c r="H1636" s="107">
        <v>43100</v>
      </c>
      <c r="I1636" s="65"/>
      <c r="K1636" s="71"/>
      <c r="L1636" s="72"/>
      <c r="M1636" s="71"/>
      <c r="N1636" s="216"/>
      <c r="O1636" s="71"/>
      <c r="P1636" s="72"/>
    </row>
    <row r="1637" spans="1:16">
      <c r="A1637" s="319"/>
      <c r="B1637" s="321"/>
      <c r="C1637" s="323"/>
      <c r="D1637" s="117" t="s">
        <v>414</v>
      </c>
      <c r="G1637" t="s">
        <v>428</v>
      </c>
      <c r="H1637" s="107">
        <v>43100</v>
      </c>
      <c r="I1637" s="65"/>
      <c r="J1637">
        <v>57200</v>
      </c>
      <c r="K1637" s="71">
        <v>51200</v>
      </c>
      <c r="L1637" s="72">
        <v>49000</v>
      </c>
      <c r="M1637" s="71"/>
      <c r="N1637" s="216"/>
      <c r="O1637" s="71"/>
      <c r="P1637" s="72"/>
    </row>
    <row r="1638" spans="1:16">
      <c r="A1638" s="319"/>
      <c r="B1638" s="321"/>
      <c r="C1638" s="323"/>
      <c r="D1638" s="117" t="s">
        <v>417</v>
      </c>
      <c r="E1638" t="s">
        <v>661</v>
      </c>
      <c r="G1638" t="s">
        <v>761</v>
      </c>
      <c r="H1638" s="107">
        <v>43100</v>
      </c>
      <c r="I1638" s="65"/>
      <c r="J1638">
        <v>4726</v>
      </c>
      <c r="K1638" s="71">
        <v>4447</v>
      </c>
      <c r="L1638" s="72">
        <v>6720</v>
      </c>
      <c r="M1638" s="71"/>
      <c r="N1638" s="216"/>
      <c r="O1638" s="71"/>
      <c r="P1638" s="72"/>
    </row>
    <row r="1639" spans="1:16">
      <c r="A1639" s="319"/>
      <c r="B1639" s="321"/>
      <c r="C1639" s="323"/>
      <c r="D1639" s="118" t="s">
        <v>418</v>
      </c>
      <c r="H1639" s="107">
        <v>43100</v>
      </c>
      <c r="I1639" s="65"/>
      <c r="K1639" s="71"/>
      <c r="L1639" s="72" t="s">
        <v>767</v>
      </c>
      <c r="M1639" s="71"/>
      <c r="N1639" s="216"/>
      <c r="O1639" s="71"/>
      <c r="P1639" s="72"/>
    </row>
    <row r="1640" spans="1:16">
      <c r="A1640" s="319"/>
      <c r="B1640" s="322"/>
      <c r="C1640" s="323"/>
      <c r="D1640" s="66"/>
      <c r="H1640" s="65"/>
      <c r="I1640" s="65"/>
      <c r="K1640" s="71"/>
      <c r="L1640" s="72"/>
      <c r="M1640" s="71"/>
      <c r="N1640" s="216"/>
      <c r="O1640" s="71"/>
      <c r="P1640" s="72"/>
    </row>
    <row r="1641" spans="1:16">
      <c r="A1641" s="328" t="s">
        <v>881</v>
      </c>
      <c r="B1641" s="320">
        <v>0</v>
      </c>
      <c r="C1641" s="322" t="s">
        <v>882</v>
      </c>
      <c r="D1641" s="123" t="s">
        <v>411</v>
      </c>
      <c r="G1641" t="s">
        <v>428</v>
      </c>
      <c r="H1641" s="107">
        <v>44926</v>
      </c>
      <c r="I1641" s="65"/>
      <c r="K1641" s="71"/>
      <c r="L1641" s="72">
        <v>1734</v>
      </c>
      <c r="M1641" s="71">
        <v>1679</v>
      </c>
      <c r="N1641" s="216">
        <v>1890</v>
      </c>
      <c r="O1641" s="71">
        <v>2111</v>
      </c>
      <c r="P1641" s="72">
        <v>2077</v>
      </c>
    </row>
    <row r="1642" spans="1:16">
      <c r="A1642" s="319"/>
      <c r="B1642" s="321"/>
      <c r="C1642" s="323"/>
      <c r="D1642" s="117" t="s">
        <v>412</v>
      </c>
      <c r="G1642" t="s">
        <v>428</v>
      </c>
      <c r="H1642" s="107">
        <v>44926</v>
      </c>
      <c r="I1642" s="65"/>
      <c r="K1642" s="71"/>
      <c r="L1642" s="72">
        <v>3510</v>
      </c>
      <c r="M1642" s="71">
        <v>4280</v>
      </c>
      <c r="N1642" s="216">
        <v>4226</v>
      </c>
      <c r="O1642" s="71">
        <v>4163</v>
      </c>
      <c r="P1642" s="72">
        <v>4003</v>
      </c>
    </row>
    <row r="1643" spans="1:16">
      <c r="A1643" s="319"/>
      <c r="B1643" s="321"/>
      <c r="C1643" s="323"/>
      <c r="D1643" s="117" t="s">
        <v>414</v>
      </c>
      <c r="G1643" t="s">
        <v>428</v>
      </c>
      <c r="H1643" s="107">
        <v>44926</v>
      </c>
      <c r="I1643" s="65"/>
      <c r="K1643" s="71">
        <f t="shared" ref="K1643:O1643" si="80">SUM(K1641:K1642)</f>
        <v>0</v>
      </c>
      <c r="L1643" s="72">
        <f t="shared" si="80"/>
        <v>5244</v>
      </c>
      <c r="M1643" s="71">
        <f t="shared" si="80"/>
        <v>5959</v>
      </c>
      <c r="N1643" s="216">
        <f t="shared" si="80"/>
        <v>6116</v>
      </c>
      <c r="O1643" s="71">
        <f t="shared" si="80"/>
        <v>6274</v>
      </c>
      <c r="P1643" s="72">
        <f>SUM(P1641:P1642)</f>
        <v>6080</v>
      </c>
    </row>
    <row r="1644" spans="1:16">
      <c r="A1644" s="319"/>
      <c r="B1644" s="321"/>
      <c r="C1644" s="323"/>
      <c r="D1644" s="117" t="s">
        <v>415</v>
      </c>
      <c r="E1644" t="s">
        <v>653</v>
      </c>
      <c r="G1644" t="s">
        <v>428</v>
      </c>
      <c r="H1644" s="107">
        <v>44926</v>
      </c>
      <c r="I1644" s="65"/>
      <c r="K1644" s="71"/>
      <c r="L1644" s="72"/>
      <c r="M1644" s="71"/>
      <c r="N1644" s="216"/>
      <c r="O1644" s="71">
        <v>5117</v>
      </c>
      <c r="P1644" s="72">
        <v>5150</v>
      </c>
    </row>
    <row r="1645" spans="1:16">
      <c r="A1645" s="319"/>
      <c r="B1645" s="321"/>
      <c r="C1645" s="323"/>
      <c r="D1645" s="117" t="s">
        <v>415</v>
      </c>
      <c r="E1645" t="s">
        <v>654</v>
      </c>
      <c r="G1645" t="s">
        <v>428</v>
      </c>
      <c r="H1645" s="107">
        <v>44926</v>
      </c>
      <c r="I1645" s="65"/>
      <c r="K1645" s="71"/>
      <c r="L1645" s="72"/>
      <c r="M1645" s="71"/>
      <c r="N1645" s="216"/>
      <c r="O1645" s="71">
        <v>625</v>
      </c>
      <c r="P1645" s="72">
        <v>584</v>
      </c>
    </row>
    <row r="1646" spans="1:16">
      <c r="A1646" s="319"/>
      <c r="B1646" s="321"/>
      <c r="C1646" s="323"/>
      <c r="D1646" s="117" t="s">
        <v>415</v>
      </c>
      <c r="E1646" t="s">
        <v>768</v>
      </c>
      <c r="G1646" t="s">
        <v>428</v>
      </c>
      <c r="H1646" s="107">
        <v>44926</v>
      </c>
      <c r="I1646" s="65"/>
      <c r="K1646" s="71"/>
      <c r="L1646" s="72"/>
      <c r="M1646" s="71"/>
      <c r="N1646" s="216"/>
      <c r="O1646" s="71">
        <v>799</v>
      </c>
      <c r="P1646" s="72">
        <v>806</v>
      </c>
    </row>
    <row r="1647" spans="1:16">
      <c r="A1647" s="319"/>
      <c r="B1647" s="321"/>
      <c r="C1647" s="323"/>
      <c r="D1647" s="117" t="s">
        <v>415</v>
      </c>
      <c r="E1647" t="s">
        <v>791</v>
      </c>
      <c r="G1647" t="s">
        <v>428</v>
      </c>
      <c r="H1647" s="107">
        <v>44926</v>
      </c>
      <c r="I1647" s="65"/>
      <c r="K1647" s="71"/>
      <c r="L1647" s="72"/>
      <c r="M1647" s="71"/>
      <c r="N1647" s="216"/>
      <c r="O1647" s="71">
        <v>882</v>
      </c>
      <c r="P1647" s="72">
        <v>921</v>
      </c>
    </row>
    <row r="1648" spans="1:16">
      <c r="A1648" s="319"/>
      <c r="B1648" s="321"/>
      <c r="C1648" s="323"/>
      <c r="D1648" s="117" t="s">
        <v>415</v>
      </c>
      <c r="E1648" t="s">
        <v>685</v>
      </c>
      <c r="G1648" t="s">
        <v>428</v>
      </c>
      <c r="H1648" s="107">
        <v>44926</v>
      </c>
      <c r="I1648" s="65"/>
      <c r="K1648" s="71"/>
      <c r="L1648" s="72"/>
      <c r="M1648" s="71"/>
      <c r="N1648" s="216"/>
      <c r="O1648" s="71">
        <v>40</v>
      </c>
      <c r="P1648" s="72">
        <v>44</v>
      </c>
    </row>
    <row r="1649" spans="1:16">
      <c r="A1649" s="319"/>
      <c r="B1649" s="321"/>
      <c r="C1649" s="323"/>
      <c r="D1649" s="117" t="s">
        <v>415</v>
      </c>
      <c r="E1649" t="s">
        <v>656</v>
      </c>
      <c r="G1649" t="s">
        <v>428</v>
      </c>
      <c r="H1649" s="107">
        <v>44926</v>
      </c>
      <c r="I1649" s="65"/>
      <c r="K1649" s="71"/>
      <c r="L1649" s="72"/>
      <c r="M1649" s="71"/>
      <c r="N1649" s="216"/>
      <c r="O1649" s="71">
        <v>2</v>
      </c>
      <c r="P1649" s="72">
        <v>2</v>
      </c>
    </row>
    <row r="1650" spans="1:16">
      <c r="A1650" s="319"/>
      <c r="B1650" s="321"/>
      <c r="C1650" s="323"/>
      <c r="D1650" s="117" t="s">
        <v>415</v>
      </c>
      <c r="E1650" t="s">
        <v>657</v>
      </c>
      <c r="G1650" t="s">
        <v>428</v>
      </c>
      <c r="H1650" s="107">
        <v>44926</v>
      </c>
      <c r="I1650" s="65"/>
      <c r="K1650" s="71"/>
      <c r="L1650" s="72"/>
      <c r="M1650" s="71"/>
      <c r="N1650" s="216"/>
      <c r="O1650" s="71">
        <v>21</v>
      </c>
      <c r="P1650" s="72">
        <v>22</v>
      </c>
    </row>
    <row r="1651" spans="1:16">
      <c r="A1651" s="319"/>
      <c r="B1651" s="321"/>
      <c r="C1651" s="323"/>
      <c r="D1651" s="117" t="s">
        <v>415</v>
      </c>
      <c r="E1651" t="s">
        <v>738</v>
      </c>
      <c r="G1651" t="s">
        <v>428</v>
      </c>
      <c r="H1651" s="107">
        <v>44926</v>
      </c>
      <c r="I1651" s="65"/>
      <c r="K1651" s="71"/>
      <c r="L1651" s="72"/>
      <c r="M1651" s="71"/>
      <c r="N1651" s="216"/>
      <c r="O1651" s="71"/>
      <c r="P1651" s="72"/>
    </row>
    <row r="1652" spans="1:16">
      <c r="A1652" s="319"/>
      <c r="B1652" s="321"/>
      <c r="C1652" s="323"/>
      <c r="D1652" s="117" t="s">
        <v>415</v>
      </c>
      <c r="E1652" t="s">
        <v>739</v>
      </c>
      <c r="G1652" t="s">
        <v>428</v>
      </c>
      <c r="H1652" s="107">
        <v>44926</v>
      </c>
      <c r="I1652" s="65"/>
      <c r="K1652" s="71"/>
      <c r="L1652" s="72"/>
      <c r="M1652" s="71"/>
      <c r="N1652" s="216"/>
      <c r="O1652" s="71">
        <v>146</v>
      </c>
      <c r="P1652" s="72">
        <v>215</v>
      </c>
    </row>
    <row r="1653" spans="1:16">
      <c r="A1653" s="319"/>
      <c r="B1653" s="321"/>
      <c r="C1653" s="323"/>
      <c r="D1653" s="117" t="s">
        <v>415</v>
      </c>
      <c r="E1653" t="s">
        <v>740</v>
      </c>
      <c r="G1653" t="s">
        <v>428</v>
      </c>
      <c r="H1653" s="107">
        <v>44926</v>
      </c>
      <c r="I1653" s="65"/>
      <c r="K1653" s="71"/>
      <c r="L1653" s="72"/>
      <c r="M1653" s="71"/>
      <c r="N1653" s="216"/>
      <c r="O1653" s="71"/>
      <c r="P1653" s="72"/>
    </row>
    <row r="1654" spans="1:16">
      <c r="A1654" s="319"/>
      <c r="B1654" s="321"/>
      <c r="C1654" s="323"/>
      <c r="D1654" s="117" t="s">
        <v>415</v>
      </c>
      <c r="E1654" t="s">
        <v>658</v>
      </c>
      <c r="G1654" t="s">
        <v>428</v>
      </c>
      <c r="H1654" s="107">
        <v>44926</v>
      </c>
      <c r="I1654" s="65"/>
      <c r="K1654" s="71"/>
      <c r="L1654" s="72"/>
      <c r="M1654" s="71"/>
      <c r="N1654" s="216"/>
      <c r="O1654" s="71"/>
      <c r="P1654" s="72"/>
    </row>
    <row r="1655" spans="1:16">
      <c r="A1655" s="319"/>
      <c r="B1655" s="321"/>
      <c r="C1655" s="323"/>
      <c r="D1655" s="117" t="s">
        <v>415</v>
      </c>
      <c r="E1655" t="s">
        <v>1219</v>
      </c>
      <c r="G1655" t="s">
        <v>428</v>
      </c>
      <c r="H1655" s="107">
        <v>44926</v>
      </c>
      <c r="I1655" s="65"/>
      <c r="K1655" s="71"/>
      <c r="L1655" s="72"/>
      <c r="M1655" s="71"/>
      <c r="N1655" s="216"/>
      <c r="O1655" s="71">
        <v>2576</v>
      </c>
      <c r="P1655" s="72">
        <v>2571</v>
      </c>
    </row>
    <row r="1656" spans="1:16">
      <c r="A1656" s="319"/>
      <c r="B1656" s="321"/>
      <c r="C1656" s="323"/>
      <c r="D1656" s="117" t="s">
        <v>415</v>
      </c>
      <c r="E1656" t="s">
        <v>659</v>
      </c>
      <c r="G1656" t="s">
        <v>428</v>
      </c>
      <c r="H1656" s="107">
        <v>44926</v>
      </c>
      <c r="I1656" s="65"/>
      <c r="K1656" s="71"/>
      <c r="L1656" s="72"/>
      <c r="M1656" s="71"/>
      <c r="N1656" s="216"/>
      <c r="O1656" s="71"/>
      <c r="P1656" s="72"/>
    </row>
    <row r="1657" spans="1:16">
      <c r="A1657" s="319"/>
      <c r="B1657" s="321"/>
      <c r="C1657" s="323"/>
      <c r="D1657" s="117" t="s">
        <v>415</v>
      </c>
      <c r="E1657" t="s">
        <v>771</v>
      </c>
      <c r="G1657" t="s">
        <v>428</v>
      </c>
      <c r="H1657" s="107">
        <v>44926</v>
      </c>
      <c r="I1657" s="65"/>
      <c r="K1657" s="71"/>
      <c r="L1657" s="72"/>
      <c r="M1657" s="71"/>
      <c r="N1657" s="216"/>
      <c r="O1657" s="71"/>
      <c r="P1657" s="72"/>
    </row>
    <row r="1658" spans="1:16">
      <c r="A1658" s="319"/>
      <c r="B1658" s="321"/>
      <c r="C1658" s="323"/>
      <c r="D1658" s="117" t="s">
        <v>415</v>
      </c>
      <c r="E1658" t="s">
        <v>772</v>
      </c>
      <c r="G1658" t="s">
        <v>428</v>
      </c>
      <c r="H1658" s="107">
        <v>44926</v>
      </c>
      <c r="I1658" s="65"/>
      <c r="K1658" s="71"/>
      <c r="L1658" s="72"/>
      <c r="M1658" s="71"/>
      <c r="N1658" s="216"/>
      <c r="O1658" s="71"/>
      <c r="P1658" s="72"/>
    </row>
    <row r="1659" spans="1:16">
      <c r="A1659" s="319"/>
      <c r="B1659" s="321"/>
      <c r="C1659" s="323"/>
      <c r="D1659" s="121" t="s">
        <v>415</v>
      </c>
      <c r="G1659" t="s">
        <v>428</v>
      </c>
      <c r="H1659" s="107">
        <v>44926</v>
      </c>
      <c r="I1659" s="65"/>
      <c r="K1659" s="71"/>
      <c r="L1659" s="72">
        <v>16754</v>
      </c>
      <c r="M1659" s="71">
        <v>11030</v>
      </c>
      <c r="N1659" s="216">
        <v>11012</v>
      </c>
      <c r="O1659" s="71">
        <f>SUM(O1644:O1658)</f>
        <v>10208</v>
      </c>
      <c r="P1659" s="72">
        <f>SUM(P1644:P1658)</f>
        <v>10315</v>
      </c>
    </row>
    <row r="1660" spans="1:16">
      <c r="A1660" s="319"/>
      <c r="B1660" s="321"/>
      <c r="C1660" s="323"/>
      <c r="D1660" s="117" t="s">
        <v>417</v>
      </c>
      <c r="E1660" s="134" t="s">
        <v>661</v>
      </c>
      <c r="G1660" t="s">
        <v>763</v>
      </c>
      <c r="H1660" s="107">
        <v>44926</v>
      </c>
      <c r="I1660" s="65"/>
      <c r="K1660" s="71"/>
      <c r="L1660" s="72">
        <v>1441.4</v>
      </c>
      <c r="M1660" s="71">
        <v>1594</v>
      </c>
      <c r="N1660" s="216">
        <v>1543.5</v>
      </c>
      <c r="O1660" s="71">
        <v>1496.9</v>
      </c>
      <c r="P1660" s="72">
        <v>2074.4</v>
      </c>
    </row>
    <row r="1661" spans="1:16">
      <c r="A1661" s="319"/>
      <c r="B1661" s="321"/>
      <c r="C1661" s="323"/>
      <c r="D1661" s="118" t="s">
        <v>418</v>
      </c>
      <c r="H1661" s="107">
        <v>44926</v>
      </c>
      <c r="I1661" s="65"/>
      <c r="K1661" s="71"/>
      <c r="L1661" s="72"/>
      <c r="M1661" s="71"/>
      <c r="N1661" s="216"/>
      <c r="O1661" s="71"/>
      <c r="P1661" s="72" t="s">
        <v>773</v>
      </c>
    </row>
    <row r="1662" spans="1:16">
      <c r="A1662" s="319"/>
      <c r="B1662" s="330"/>
      <c r="C1662" s="323"/>
      <c r="D1662" s="66"/>
      <c r="H1662" s="65"/>
      <c r="I1662" s="65"/>
      <c r="K1662" s="71"/>
      <c r="L1662" s="72"/>
      <c r="M1662" s="71"/>
      <c r="N1662" s="216"/>
      <c r="O1662" s="71"/>
      <c r="P1662" s="72"/>
    </row>
    <row r="1663" spans="1:16">
      <c r="A1663" s="269"/>
      <c r="B1663" s="128"/>
      <c r="C1663" s="128"/>
      <c r="D1663" s="123"/>
      <c r="H1663" s="65"/>
      <c r="I1663" s="65"/>
      <c r="K1663" s="71"/>
      <c r="L1663" s="72"/>
      <c r="M1663" s="71"/>
      <c r="N1663" s="216"/>
      <c r="O1663" s="71"/>
      <c r="P1663" s="72"/>
    </row>
    <row r="1664" spans="1:16">
      <c r="A1664" s="319" t="s">
        <v>885</v>
      </c>
      <c r="B1664" s="320">
        <v>0</v>
      </c>
      <c r="C1664" s="323" t="s">
        <v>886</v>
      </c>
      <c r="D1664" s="123" t="s">
        <v>411</v>
      </c>
      <c r="F1664" t="s">
        <v>774</v>
      </c>
      <c r="G1664" t="s">
        <v>428</v>
      </c>
      <c r="H1664" s="107">
        <v>44561</v>
      </c>
      <c r="I1664" s="107"/>
      <c r="K1664" s="71"/>
      <c r="L1664" s="72"/>
      <c r="M1664" s="71"/>
      <c r="N1664" s="216">
        <v>198786</v>
      </c>
      <c r="O1664" s="71">
        <v>200856</v>
      </c>
      <c r="P1664" s="72">
        <v>211205</v>
      </c>
    </row>
    <row r="1665" spans="1:16">
      <c r="A1665" s="319"/>
      <c r="B1665" s="321"/>
      <c r="C1665" s="323"/>
      <c r="D1665" s="117" t="s">
        <v>412</v>
      </c>
      <c r="E1665" s="124"/>
      <c r="F1665" t="s">
        <v>774</v>
      </c>
      <c r="G1665" t="s">
        <v>428</v>
      </c>
      <c r="H1665" s="107">
        <v>44561</v>
      </c>
      <c r="I1665" s="107"/>
      <c r="K1665" s="71"/>
      <c r="L1665" s="72"/>
      <c r="M1665" s="71"/>
      <c r="N1665" s="216">
        <v>213258</v>
      </c>
      <c r="O1665" s="71">
        <v>178017</v>
      </c>
      <c r="P1665" s="72">
        <v>63352</v>
      </c>
    </row>
    <row r="1666" spans="1:16">
      <c r="A1666" s="319"/>
      <c r="B1666" s="321"/>
      <c r="C1666" s="323"/>
      <c r="D1666" s="117" t="s">
        <v>412</v>
      </c>
      <c r="E1666" t="s">
        <v>705</v>
      </c>
      <c r="F1666" t="s">
        <v>774</v>
      </c>
      <c r="G1666" t="s">
        <v>428</v>
      </c>
      <c r="H1666" s="107">
        <v>44561</v>
      </c>
      <c r="I1666" s="65"/>
      <c r="K1666" s="71"/>
      <c r="L1666" s="72"/>
      <c r="M1666" s="71"/>
      <c r="N1666" s="216">
        <v>227400</v>
      </c>
      <c r="O1666" s="71">
        <v>182701</v>
      </c>
      <c r="P1666" s="72">
        <v>69914</v>
      </c>
    </row>
    <row r="1667" spans="1:16">
      <c r="A1667" s="319"/>
      <c r="B1667" s="321"/>
      <c r="C1667" s="323"/>
      <c r="D1667" s="117" t="s">
        <v>412</v>
      </c>
      <c r="E1667" t="s">
        <v>728</v>
      </c>
      <c r="F1667" t="s">
        <v>774</v>
      </c>
      <c r="G1667" t="s">
        <v>428</v>
      </c>
      <c r="H1667" s="107">
        <v>44561</v>
      </c>
      <c r="I1667" s="65"/>
      <c r="K1667" s="71"/>
      <c r="L1667" s="72"/>
      <c r="M1667" s="71"/>
      <c r="N1667" s="216">
        <v>225542</v>
      </c>
      <c r="O1667" s="71">
        <v>222317</v>
      </c>
      <c r="P1667" s="72">
        <v>211059</v>
      </c>
    </row>
    <row r="1668" spans="1:16">
      <c r="A1668" s="319"/>
      <c r="B1668" s="321"/>
      <c r="C1668" s="323"/>
      <c r="D1668" s="117" t="s">
        <v>414</v>
      </c>
      <c r="E1668" s="124"/>
      <c r="F1668" t="s">
        <v>774</v>
      </c>
      <c r="G1668" t="s">
        <v>428</v>
      </c>
      <c r="H1668" s="107">
        <v>44561</v>
      </c>
      <c r="I1668" s="107"/>
      <c r="K1668" s="71"/>
      <c r="L1668" s="72"/>
      <c r="M1668" s="71"/>
      <c r="N1668" s="216">
        <f>N1664+N1665</f>
        <v>412044</v>
      </c>
      <c r="O1668" s="71">
        <f>O1664+O1665</f>
        <v>378873</v>
      </c>
      <c r="P1668" s="72">
        <f>P1664+P1665</f>
        <v>274557</v>
      </c>
    </row>
    <row r="1669" spans="1:16">
      <c r="A1669" s="319"/>
      <c r="B1669" s="321"/>
      <c r="C1669" s="323"/>
      <c r="D1669" s="121" t="s">
        <v>415</v>
      </c>
      <c r="G1669" t="s">
        <v>429</v>
      </c>
      <c r="H1669" s="107">
        <v>44561</v>
      </c>
      <c r="I1669" s="65"/>
      <c r="K1669" s="71"/>
      <c r="L1669" s="72"/>
      <c r="M1669" s="71"/>
      <c r="N1669" s="84">
        <v>2.1</v>
      </c>
      <c r="O1669" s="84">
        <v>2</v>
      </c>
      <c r="P1669" s="84">
        <v>1.9</v>
      </c>
    </row>
    <row r="1670" spans="1:16">
      <c r="A1670" s="319"/>
      <c r="B1670" s="321"/>
      <c r="C1670" s="323"/>
      <c r="D1670" s="117" t="s">
        <v>417</v>
      </c>
      <c r="G1670" t="s">
        <v>775</v>
      </c>
      <c r="H1670" s="107">
        <v>44561</v>
      </c>
      <c r="I1670" s="65"/>
      <c r="K1670" s="71"/>
      <c r="L1670" s="72"/>
      <c r="M1670" s="71"/>
      <c r="N1670" s="216"/>
      <c r="O1670" s="71">
        <v>1644.2</v>
      </c>
      <c r="P1670" s="72">
        <v>2329.5</v>
      </c>
    </row>
    <row r="1671" spans="1:16">
      <c r="A1671" s="326"/>
      <c r="B1671" s="330"/>
      <c r="C1671" s="320"/>
      <c r="D1671" s="118" t="s">
        <v>418</v>
      </c>
      <c r="H1671" s="107">
        <v>44561</v>
      </c>
      <c r="I1671" s="65"/>
      <c r="K1671" s="71"/>
      <c r="L1671" s="72"/>
      <c r="M1671" s="71"/>
      <c r="N1671" s="216"/>
      <c r="O1671" s="71"/>
      <c r="P1671" s="72" t="s">
        <v>776</v>
      </c>
    </row>
    <row r="1672" spans="1:16">
      <c r="A1672" s="260"/>
      <c r="B1672" s="145"/>
      <c r="C1672" s="113"/>
      <c r="D1672" s="146"/>
      <c r="H1672" s="65"/>
      <c r="I1672" s="65"/>
      <c r="K1672" s="71"/>
      <c r="L1672" s="72"/>
      <c r="M1672" s="71"/>
      <c r="N1672" s="216"/>
      <c r="O1672" s="71"/>
      <c r="P1672" s="72"/>
    </row>
    <row r="1673" spans="1:16">
      <c r="A1673" s="319" t="s">
        <v>885</v>
      </c>
      <c r="B1673" s="329">
        <v>0</v>
      </c>
      <c r="C1673" s="323" t="s">
        <v>886</v>
      </c>
      <c r="D1673" s="123" t="s">
        <v>411</v>
      </c>
      <c r="F1673" t="s">
        <v>777</v>
      </c>
      <c r="G1673" t="s">
        <v>428</v>
      </c>
      <c r="H1673" s="107">
        <v>44196</v>
      </c>
      <c r="I1673" s="107"/>
      <c r="K1673" s="71"/>
      <c r="L1673" s="72"/>
      <c r="M1673" s="71">
        <v>143863</v>
      </c>
      <c r="N1673" s="216">
        <v>149382</v>
      </c>
      <c r="O1673" s="71">
        <v>156484</v>
      </c>
      <c r="P1673" s="72"/>
    </row>
    <row r="1674" spans="1:16">
      <c r="A1674" s="319"/>
      <c r="B1674" s="321"/>
      <c r="C1674" s="323"/>
      <c r="D1674" s="123" t="s">
        <v>411</v>
      </c>
      <c r="F1674" t="s">
        <v>774</v>
      </c>
      <c r="G1674" t="s">
        <v>428</v>
      </c>
      <c r="H1674" s="107">
        <v>44196</v>
      </c>
      <c r="I1674" s="107"/>
      <c r="K1674" s="71"/>
      <c r="L1674" s="72"/>
      <c r="M1674" s="71"/>
      <c r="N1674" s="216">
        <v>199561</v>
      </c>
      <c r="O1674" s="71">
        <v>201017</v>
      </c>
      <c r="P1674" s="72"/>
    </row>
    <row r="1675" spans="1:16">
      <c r="A1675" s="319"/>
      <c r="B1675" s="321"/>
      <c r="C1675" s="323"/>
      <c r="D1675" s="117" t="s">
        <v>412</v>
      </c>
      <c r="E1675" s="124"/>
      <c r="F1675" t="s">
        <v>777</v>
      </c>
      <c r="G1675" t="s">
        <v>428</v>
      </c>
      <c r="H1675" s="107">
        <v>44196</v>
      </c>
      <c r="I1675" s="107"/>
      <c r="K1675" s="71"/>
      <c r="L1675" s="72"/>
      <c r="M1675" s="71">
        <v>163457</v>
      </c>
      <c r="N1675" s="216">
        <v>160906</v>
      </c>
      <c r="O1675" s="71">
        <v>130233</v>
      </c>
      <c r="P1675" s="72"/>
    </row>
    <row r="1676" spans="1:16">
      <c r="A1676" s="319"/>
      <c r="B1676" s="321"/>
      <c r="C1676" s="323"/>
      <c r="D1676" s="117" t="s">
        <v>412</v>
      </c>
      <c r="E1676" s="124"/>
      <c r="F1676" t="s">
        <v>774</v>
      </c>
      <c r="G1676" t="s">
        <v>428</v>
      </c>
      <c r="H1676" s="107">
        <v>44196</v>
      </c>
      <c r="I1676" s="107"/>
      <c r="K1676" s="71"/>
      <c r="L1676" s="72"/>
      <c r="M1676" s="71"/>
      <c r="N1676" s="216">
        <v>218338</v>
      </c>
      <c r="O1676" s="71">
        <v>181362</v>
      </c>
      <c r="P1676" s="72"/>
    </row>
    <row r="1677" spans="1:16">
      <c r="A1677" s="319"/>
      <c r="B1677" s="321"/>
      <c r="C1677" s="323"/>
      <c r="D1677" s="117" t="s">
        <v>412</v>
      </c>
      <c r="E1677" t="s">
        <v>705</v>
      </c>
      <c r="F1677" t="s">
        <v>777</v>
      </c>
      <c r="G1677" t="s">
        <v>428</v>
      </c>
      <c r="H1677" s="107">
        <v>44196</v>
      </c>
      <c r="I1677" s="65"/>
      <c r="K1677" s="71"/>
      <c r="L1677" s="72"/>
      <c r="M1677" s="71"/>
      <c r="N1677" s="216">
        <v>177203</v>
      </c>
      <c r="O1677" s="71">
        <v>136347</v>
      </c>
      <c r="P1677" s="72"/>
    </row>
    <row r="1678" spans="1:16">
      <c r="A1678" s="319"/>
      <c r="B1678" s="321"/>
      <c r="C1678" s="323"/>
      <c r="D1678" s="117" t="s">
        <v>412</v>
      </c>
      <c r="E1678" t="s">
        <v>705</v>
      </c>
      <c r="F1678" t="s">
        <v>774</v>
      </c>
      <c r="G1678" t="s">
        <v>428</v>
      </c>
      <c r="H1678" s="107">
        <v>44196</v>
      </c>
      <c r="I1678" s="65"/>
      <c r="K1678" s="71"/>
      <c r="L1678" s="72"/>
      <c r="M1678" s="71"/>
      <c r="N1678" s="216">
        <v>234022</v>
      </c>
      <c r="O1678" s="71">
        <v>187205</v>
      </c>
      <c r="P1678" s="72"/>
    </row>
    <row r="1679" spans="1:16">
      <c r="A1679" s="319"/>
      <c r="B1679" s="321"/>
      <c r="C1679" s="323"/>
      <c r="D1679" s="117" t="s">
        <v>412</v>
      </c>
      <c r="E1679" t="s">
        <v>728</v>
      </c>
      <c r="F1679" t="s">
        <v>777</v>
      </c>
      <c r="G1679" t="s">
        <v>428</v>
      </c>
      <c r="H1679" s="107">
        <v>44196</v>
      </c>
      <c r="I1679" s="65"/>
      <c r="K1679" s="71"/>
      <c r="L1679" s="72"/>
      <c r="M1679" s="71"/>
      <c r="N1679" s="216">
        <v>173189</v>
      </c>
      <c r="O1679" s="71">
        <v>174079</v>
      </c>
      <c r="P1679" s="72"/>
    </row>
    <row r="1680" spans="1:16">
      <c r="A1680" s="319"/>
      <c r="B1680" s="321"/>
      <c r="C1680" s="323"/>
      <c r="D1680" s="117" t="s">
        <v>412</v>
      </c>
      <c r="E1680" t="s">
        <v>728</v>
      </c>
      <c r="F1680" t="s">
        <v>774</v>
      </c>
      <c r="G1680" t="s">
        <v>428</v>
      </c>
      <c r="H1680" s="107">
        <v>44196</v>
      </c>
      <c r="I1680" s="65"/>
      <c r="K1680" s="71"/>
      <c r="L1680" s="72"/>
      <c r="M1680" s="71"/>
      <c r="N1680" s="216">
        <v>230621</v>
      </c>
      <c r="O1680" s="71">
        <v>225662</v>
      </c>
      <c r="P1680" s="72"/>
    </row>
    <row r="1681" spans="1:16">
      <c r="A1681" s="319"/>
      <c r="B1681" s="321"/>
      <c r="C1681" s="323"/>
      <c r="D1681" s="117" t="s">
        <v>414</v>
      </c>
      <c r="E1681" s="124"/>
      <c r="F1681" t="s">
        <v>777</v>
      </c>
      <c r="G1681" t="s">
        <v>428</v>
      </c>
      <c r="H1681" s="107">
        <v>44196</v>
      </c>
      <c r="I1681" s="107"/>
      <c r="K1681" s="71"/>
      <c r="L1681" s="72"/>
      <c r="M1681" s="71">
        <f t="shared" ref="M1681:O1681" si="81">M1673+M1675</f>
        <v>307320</v>
      </c>
      <c r="N1681" s="216">
        <f t="shared" si="81"/>
        <v>310288</v>
      </c>
      <c r="O1681" s="71">
        <f t="shared" si="81"/>
        <v>286717</v>
      </c>
      <c r="P1681" s="72"/>
    </row>
    <row r="1682" spans="1:16">
      <c r="A1682" s="319"/>
      <c r="B1682" s="321"/>
      <c r="C1682" s="323"/>
      <c r="D1682" s="117" t="s">
        <v>414</v>
      </c>
      <c r="E1682" s="124"/>
      <c r="F1682" t="s">
        <v>774</v>
      </c>
      <c r="G1682" t="s">
        <v>428</v>
      </c>
      <c r="H1682" s="107">
        <v>44196</v>
      </c>
      <c r="I1682" s="107"/>
      <c r="K1682" s="71"/>
      <c r="L1682" s="72"/>
      <c r="M1682" s="71">
        <f>M1674+M1676</f>
        <v>0</v>
      </c>
      <c r="N1682" s="216">
        <f t="shared" ref="N1682:O1682" si="82">N1674+N1676</f>
        <v>417899</v>
      </c>
      <c r="O1682" s="71">
        <f t="shared" si="82"/>
        <v>382379</v>
      </c>
      <c r="P1682" s="72"/>
    </row>
    <row r="1683" spans="1:16">
      <c r="A1683" s="319"/>
      <c r="B1683" s="321"/>
      <c r="C1683" s="323"/>
      <c r="D1683" s="121" t="s">
        <v>415</v>
      </c>
      <c r="G1683" t="s">
        <v>429</v>
      </c>
      <c r="H1683" s="107">
        <v>44196</v>
      </c>
      <c r="I1683" s="65"/>
      <c r="K1683" s="71"/>
      <c r="L1683" s="72"/>
      <c r="M1683" s="71"/>
      <c r="N1683" s="84">
        <v>2.1</v>
      </c>
      <c r="O1683" s="84">
        <v>2</v>
      </c>
      <c r="P1683" s="72"/>
    </row>
    <row r="1684" spans="1:16">
      <c r="A1684" s="319"/>
      <c r="B1684" s="321"/>
      <c r="C1684" s="323"/>
      <c r="D1684" s="117" t="s">
        <v>417</v>
      </c>
      <c r="G1684" t="s">
        <v>775</v>
      </c>
      <c r="H1684" s="107">
        <v>44196</v>
      </c>
      <c r="I1684" s="65"/>
      <c r="K1684" s="71"/>
      <c r="L1684" s="72"/>
      <c r="M1684" s="71"/>
      <c r="N1684" s="216">
        <v>1459.1</v>
      </c>
      <c r="O1684" s="71">
        <v>1644.2</v>
      </c>
      <c r="P1684" s="72"/>
    </row>
    <row r="1685" spans="1:16">
      <c r="A1685" s="319"/>
      <c r="B1685" s="330"/>
      <c r="C1685" s="323"/>
      <c r="D1685" s="118" t="s">
        <v>418</v>
      </c>
      <c r="H1685" s="107">
        <v>44196</v>
      </c>
      <c r="I1685" s="65"/>
      <c r="K1685" s="71"/>
      <c r="L1685" s="72"/>
      <c r="M1685" s="71"/>
      <c r="N1685" s="216"/>
      <c r="O1685" s="71" t="s">
        <v>778</v>
      </c>
      <c r="P1685" s="72"/>
    </row>
    <row r="1686" spans="1:16">
      <c r="A1686" s="257"/>
      <c r="B1686" s="145"/>
      <c r="C1686" s="113"/>
      <c r="D1686" s="146"/>
      <c r="H1686" s="107"/>
      <c r="I1686" s="65"/>
      <c r="K1686" s="71"/>
      <c r="L1686" s="72"/>
      <c r="M1686" s="71"/>
      <c r="N1686" s="216"/>
      <c r="O1686" s="71"/>
      <c r="P1686" s="72"/>
    </row>
    <row r="1687" spans="1:16">
      <c r="A1687" s="319" t="s">
        <v>885</v>
      </c>
      <c r="B1687" s="329">
        <v>0</v>
      </c>
      <c r="C1687" s="323" t="s">
        <v>886</v>
      </c>
      <c r="D1687" s="123" t="s">
        <v>411</v>
      </c>
      <c r="G1687" t="s">
        <v>428</v>
      </c>
      <c r="H1687" s="107">
        <v>43830</v>
      </c>
      <c r="I1687" s="107"/>
      <c r="K1687" s="71"/>
      <c r="L1687" s="72">
        <v>139285</v>
      </c>
      <c r="M1687" s="71">
        <v>147192</v>
      </c>
      <c r="N1687" s="216">
        <v>151386</v>
      </c>
      <c r="O1687" s="71"/>
      <c r="P1687" s="72"/>
    </row>
    <row r="1688" spans="1:16">
      <c r="A1688" s="319"/>
      <c r="B1688" s="321"/>
      <c r="C1688" s="323"/>
      <c r="D1688" s="117" t="s">
        <v>412</v>
      </c>
      <c r="E1688" s="124"/>
      <c r="F1688" s="124"/>
      <c r="G1688" t="s">
        <v>428</v>
      </c>
      <c r="H1688" s="107">
        <v>43830</v>
      </c>
      <c r="I1688" s="107"/>
      <c r="K1688" s="71"/>
      <c r="L1688" s="72">
        <v>164811</v>
      </c>
      <c r="M1688" s="71">
        <v>163457</v>
      </c>
      <c r="N1688" s="216">
        <v>160849</v>
      </c>
      <c r="O1688" s="71"/>
      <c r="P1688" s="72"/>
    </row>
    <row r="1689" spans="1:16">
      <c r="A1689" s="319"/>
      <c r="B1689" s="321"/>
      <c r="C1689" s="323"/>
      <c r="D1689" s="117" t="s">
        <v>412</v>
      </c>
      <c r="E1689" t="s">
        <v>705</v>
      </c>
      <c r="G1689" t="s">
        <v>428</v>
      </c>
      <c r="H1689" s="107">
        <v>43830</v>
      </c>
      <c r="I1689" s="65"/>
      <c r="K1689" s="71"/>
      <c r="L1689" s="72"/>
      <c r="M1689" s="71"/>
      <c r="N1689" s="216">
        <v>176971</v>
      </c>
      <c r="O1689" s="71"/>
      <c r="P1689" s="72"/>
    </row>
    <row r="1690" spans="1:16">
      <c r="A1690" s="319"/>
      <c r="B1690" s="321"/>
      <c r="C1690" s="323"/>
      <c r="D1690" s="117" t="s">
        <v>412</v>
      </c>
      <c r="E1690" t="s">
        <v>707</v>
      </c>
      <c r="G1690" t="s">
        <v>428</v>
      </c>
      <c r="H1690" s="107">
        <v>43830</v>
      </c>
      <c r="I1690" s="65"/>
      <c r="K1690" s="71"/>
      <c r="L1690" s="72"/>
      <c r="M1690" s="71"/>
      <c r="N1690" s="216">
        <v>173132</v>
      </c>
      <c r="O1690" s="71"/>
      <c r="P1690" s="72"/>
    </row>
    <row r="1691" spans="1:16">
      <c r="A1691" s="319"/>
      <c r="B1691" s="321"/>
      <c r="C1691" s="323"/>
      <c r="D1691" s="117" t="s">
        <v>414</v>
      </c>
      <c r="G1691" t="s">
        <v>428</v>
      </c>
      <c r="H1691" s="107">
        <v>43830</v>
      </c>
      <c r="I1691" s="65"/>
      <c r="K1691" s="71"/>
      <c r="L1691" s="72">
        <f>SUM(L1687:L1688)</f>
        <v>304096</v>
      </c>
      <c r="M1691" s="71">
        <f>SUM(M1687:M1688)</f>
        <v>310649</v>
      </c>
      <c r="N1691" s="216">
        <f>SUM(N1687:N1688)</f>
        <v>312235</v>
      </c>
      <c r="O1691" s="71"/>
      <c r="P1691" s="72"/>
    </row>
    <row r="1692" spans="1:16">
      <c r="A1692" s="319"/>
      <c r="B1692" s="321"/>
      <c r="C1692" s="323"/>
      <c r="D1692" s="121" t="s">
        <v>415</v>
      </c>
      <c r="G1692" t="s">
        <v>429</v>
      </c>
      <c r="H1692" s="107">
        <v>43830</v>
      </c>
      <c r="I1692" s="65"/>
      <c r="K1692" s="71"/>
      <c r="L1692" s="72"/>
      <c r="M1692" s="71"/>
      <c r="N1692" s="216"/>
      <c r="O1692" s="71"/>
      <c r="P1692" s="72"/>
    </row>
    <row r="1693" spans="1:16">
      <c r="A1693" s="319"/>
      <c r="B1693" s="321"/>
      <c r="C1693" s="323"/>
      <c r="D1693" s="121" t="s">
        <v>779</v>
      </c>
      <c r="G1693" t="s">
        <v>428</v>
      </c>
      <c r="H1693" s="107">
        <v>43830</v>
      </c>
      <c r="I1693" s="65"/>
      <c r="K1693" s="71"/>
      <c r="L1693" s="72"/>
      <c r="M1693" s="71"/>
      <c r="N1693" s="216"/>
      <c r="O1693" s="71"/>
      <c r="P1693" s="72"/>
    </row>
    <row r="1694" spans="1:16">
      <c r="A1694" s="319"/>
      <c r="B1694" s="321"/>
      <c r="C1694" s="323"/>
      <c r="D1694" s="117" t="s">
        <v>417</v>
      </c>
      <c r="G1694" t="s">
        <v>775</v>
      </c>
      <c r="H1694" s="107">
        <v>43830</v>
      </c>
      <c r="I1694" s="65"/>
      <c r="K1694" s="71"/>
      <c r="L1694" s="72">
        <v>1480.2</v>
      </c>
      <c r="M1694" s="71">
        <v>1618.9</v>
      </c>
      <c r="N1694" s="216">
        <v>1459.1</v>
      </c>
      <c r="O1694" s="71"/>
      <c r="P1694" s="72"/>
    </row>
    <row r="1695" spans="1:16">
      <c r="A1695" s="319"/>
      <c r="B1695" s="330"/>
      <c r="C1695" s="323"/>
      <c r="D1695" s="118" t="s">
        <v>418</v>
      </c>
      <c r="H1695" s="107">
        <v>43830</v>
      </c>
      <c r="I1695" s="65"/>
      <c r="K1695" s="71"/>
      <c r="L1695" s="72"/>
      <c r="M1695" s="71"/>
      <c r="N1695" s="216" t="s">
        <v>780</v>
      </c>
      <c r="O1695" s="71"/>
      <c r="P1695" s="72"/>
    </row>
    <row r="1696" spans="1:16">
      <c r="A1696" s="269"/>
      <c r="B1696" s="113"/>
      <c r="C1696" s="113"/>
      <c r="D1696" s="146"/>
      <c r="H1696" s="107"/>
      <c r="I1696" s="65"/>
      <c r="K1696" s="71"/>
      <c r="L1696" s="72"/>
      <c r="M1696" s="71"/>
      <c r="N1696" s="216"/>
      <c r="O1696" s="71"/>
      <c r="P1696" s="72"/>
    </row>
    <row r="1697" spans="1:16">
      <c r="A1697" s="326" t="s">
        <v>885</v>
      </c>
      <c r="B1697" s="329">
        <v>0</v>
      </c>
      <c r="C1697" s="329" t="s">
        <v>886</v>
      </c>
      <c r="D1697" s="123" t="s">
        <v>411</v>
      </c>
      <c r="G1697" t="s">
        <v>428</v>
      </c>
      <c r="H1697" s="107">
        <v>43465</v>
      </c>
      <c r="I1697" s="107"/>
      <c r="K1697" s="71"/>
      <c r="L1697" s="72">
        <v>139285</v>
      </c>
      <c r="M1697" s="71">
        <v>147192</v>
      </c>
      <c r="N1697" s="216"/>
      <c r="O1697" s="71"/>
      <c r="P1697" s="72"/>
    </row>
    <row r="1698" spans="1:16">
      <c r="A1698" s="327"/>
      <c r="B1698" s="321"/>
      <c r="C1698" s="321"/>
      <c r="D1698" s="117" t="s">
        <v>412</v>
      </c>
      <c r="E1698" s="124"/>
      <c r="F1698" s="124"/>
      <c r="G1698" t="s">
        <v>428</v>
      </c>
      <c r="H1698" s="107">
        <v>43465</v>
      </c>
      <c r="I1698" s="107"/>
      <c r="K1698" s="71"/>
      <c r="L1698" s="72">
        <v>165170</v>
      </c>
      <c r="M1698" s="71">
        <v>164365</v>
      </c>
      <c r="N1698" s="216"/>
      <c r="O1698" s="71"/>
      <c r="P1698" s="72"/>
    </row>
    <row r="1699" spans="1:16">
      <c r="A1699" s="327"/>
      <c r="B1699" s="321"/>
      <c r="C1699" s="321"/>
      <c r="D1699" s="117" t="s">
        <v>412</v>
      </c>
      <c r="E1699" t="s">
        <v>705</v>
      </c>
      <c r="G1699" t="s">
        <v>428</v>
      </c>
      <c r="H1699" s="107">
        <v>43465</v>
      </c>
      <c r="I1699" s="65"/>
      <c r="K1699" s="71"/>
      <c r="L1699" s="72"/>
      <c r="M1699" s="71"/>
      <c r="N1699" s="216"/>
      <c r="O1699" s="71"/>
      <c r="P1699" s="72"/>
    </row>
    <row r="1700" spans="1:16">
      <c r="A1700" s="327"/>
      <c r="B1700" s="321"/>
      <c r="C1700" s="321"/>
      <c r="D1700" s="117" t="s">
        <v>412</v>
      </c>
      <c r="E1700" t="s">
        <v>707</v>
      </c>
      <c r="G1700" t="s">
        <v>428</v>
      </c>
      <c r="H1700" s="107">
        <v>43465</v>
      </c>
      <c r="I1700" s="65"/>
      <c r="K1700" s="71"/>
      <c r="L1700" s="72"/>
      <c r="M1700" s="71"/>
      <c r="N1700" s="216"/>
      <c r="O1700" s="71"/>
      <c r="P1700" s="72"/>
    </row>
    <row r="1701" spans="1:16">
      <c r="A1701" s="327"/>
      <c r="B1701" s="321"/>
      <c r="C1701" s="321"/>
      <c r="D1701" s="117" t="s">
        <v>414</v>
      </c>
      <c r="G1701" t="s">
        <v>428</v>
      </c>
      <c r="H1701" s="107">
        <v>43465</v>
      </c>
      <c r="I1701" s="65"/>
      <c r="K1701" s="71"/>
      <c r="L1701" s="72">
        <f>SUM(L1697:L1698)</f>
        <v>304455</v>
      </c>
      <c r="M1701" s="71">
        <f>SUM(M1697:M1698)</f>
        <v>311557</v>
      </c>
      <c r="N1701" s="216"/>
      <c r="O1701" s="71"/>
      <c r="P1701" s="72"/>
    </row>
    <row r="1702" spans="1:16">
      <c r="A1702" s="327"/>
      <c r="B1702" s="321"/>
      <c r="C1702" s="321"/>
      <c r="D1702" s="121" t="s">
        <v>415</v>
      </c>
      <c r="G1702" t="s">
        <v>429</v>
      </c>
      <c r="H1702" s="107">
        <v>43465</v>
      </c>
      <c r="I1702" s="65"/>
      <c r="K1702" s="71"/>
      <c r="L1702" s="72"/>
      <c r="M1702" s="71"/>
      <c r="N1702" s="216"/>
      <c r="O1702" s="71"/>
      <c r="P1702" s="72"/>
    </row>
    <row r="1703" spans="1:16">
      <c r="A1703" s="327"/>
      <c r="B1703" s="321"/>
      <c r="C1703" s="321"/>
      <c r="D1703" s="121" t="s">
        <v>779</v>
      </c>
      <c r="G1703" t="s">
        <v>428</v>
      </c>
      <c r="H1703" s="107">
        <v>43465</v>
      </c>
      <c r="I1703" s="65"/>
      <c r="K1703" s="71"/>
      <c r="L1703" s="72"/>
      <c r="M1703" s="71"/>
      <c r="N1703" s="216"/>
      <c r="O1703" s="71"/>
      <c r="P1703" s="72"/>
    </row>
    <row r="1704" spans="1:16">
      <c r="A1704" s="327"/>
      <c r="B1704" s="321"/>
      <c r="C1704" s="321"/>
      <c r="D1704" s="117" t="s">
        <v>417</v>
      </c>
      <c r="G1704" t="s">
        <v>775</v>
      </c>
      <c r="H1704" s="107">
        <v>43465</v>
      </c>
      <c r="I1704" s="65"/>
      <c r="K1704" s="71"/>
      <c r="L1704" s="72">
        <v>1480.2</v>
      </c>
      <c r="M1704" s="71">
        <v>1618.9</v>
      </c>
      <c r="N1704" s="216"/>
      <c r="O1704" s="71"/>
      <c r="P1704" s="72"/>
    </row>
    <row r="1705" spans="1:16">
      <c r="A1705" s="328"/>
      <c r="B1705" s="330"/>
      <c r="C1705" s="330"/>
      <c r="D1705" s="118" t="s">
        <v>418</v>
      </c>
      <c r="H1705" s="107">
        <v>43465</v>
      </c>
      <c r="I1705" s="65"/>
      <c r="K1705" s="71"/>
      <c r="L1705" s="72"/>
      <c r="M1705" s="71" t="s">
        <v>781</v>
      </c>
      <c r="N1705" s="216"/>
      <c r="O1705" s="71"/>
      <c r="P1705" s="72"/>
    </row>
    <row r="1706" spans="1:16">
      <c r="A1706" s="257"/>
      <c r="B1706" s="145"/>
      <c r="C1706" s="113"/>
      <c r="D1706" s="146"/>
      <c r="H1706" s="107"/>
      <c r="I1706" s="65"/>
      <c r="K1706" s="71"/>
      <c r="L1706" s="72"/>
      <c r="M1706" s="71"/>
      <c r="N1706" s="216"/>
      <c r="O1706" s="71"/>
      <c r="P1706" s="72"/>
    </row>
    <row r="1707" spans="1:16">
      <c r="A1707" s="319" t="s">
        <v>885</v>
      </c>
      <c r="B1707" s="329">
        <v>0</v>
      </c>
      <c r="C1707" s="323" t="s">
        <v>886</v>
      </c>
      <c r="D1707" s="123" t="s">
        <v>411</v>
      </c>
      <c r="G1707" t="s">
        <v>428</v>
      </c>
      <c r="H1707" s="107">
        <v>43100</v>
      </c>
      <c r="I1707" s="107"/>
      <c r="K1707" s="71"/>
      <c r="L1707" s="72"/>
      <c r="M1707" s="71"/>
      <c r="N1707" s="216"/>
      <c r="O1707" s="71"/>
      <c r="P1707" s="72"/>
    </row>
    <row r="1708" spans="1:16">
      <c r="A1708" s="319"/>
      <c r="B1708" s="321"/>
      <c r="C1708" s="323"/>
      <c r="D1708" s="117" t="s">
        <v>412</v>
      </c>
      <c r="E1708" s="124"/>
      <c r="F1708" s="124"/>
      <c r="G1708" t="s">
        <v>428</v>
      </c>
      <c r="H1708" s="107">
        <v>43100</v>
      </c>
      <c r="I1708" s="107"/>
      <c r="K1708" s="71"/>
      <c r="L1708" s="72"/>
      <c r="M1708" s="71"/>
      <c r="N1708" s="216"/>
      <c r="O1708" s="71"/>
      <c r="P1708" s="72"/>
    </row>
    <row r="1709" spans="1:16">
      <c r="A1709" s="319"/>
      <c r="B1709" s="321"/>
      <c r="C1709" s="323"/>
      <c r="D1709" s="117" t="s">
        <v>412</v>
      </c>
      <c r="E1709" t="s">
        <v>705</v>
      </c>
      <c r="G1709" t="s">
        <v>428</v>
      </c>
      <c r="H1709" s="107">
        <v>43100</v>
      </c>
      <c r="I1709" s="65"/>
      <c r="K1709" s="71"/>
      <c r="L1709" s="72"/>
      <c r="M1709" s="71"/>
      <c r="N1709" s="216"/>
      <c r="O1709" s="71"/>
      <c r="P1709" s="72"/>
    </row>
    <row r="1710" spans="1:16">
      <c r="A1710" s="319"/>
      <c r="B1710" s="321"/>
      <c r="C1710" s="323"/>
      <c r="D1710" s="117" t="s">
        <v>412</v>
      </c>
      <c r="E1710" t="s">
        <v>707</v>
      </c>
      <c r="G1710" t="s">
        <v>428</v>
      </c>
      <c r="H1710" s="107">
        <v>43100</v>
      </c>
      <c r="I1710" s="65"/>
      <c r="K1710" s="71"/>
      <c r="L1710" s="72"/>
      <c r="M1710" s="71"/>
      <c r="N1710" s="216"/>
      <c r="O1710" s="71"/>
      <c r="P1710" s="72"/>
    </row>
    <row r="1711" spans="1:16">
      <c r="A1711" s="319"/>
      <c r="B1711" s="321"/>
      <c r="C1711" s="323"/>
      <c r="D1711" s="117" t="s">
        <v>414</v>
      </c>
      <c r="G1711" t="s">
        <v>428</v>
      </c>
      <c r="H1711" s="107">
        <v>43100</v>
      </c>
      <c r="I1711" s="65"/>
      <c r="K1711" s="71">
        <v>307081</v>
      </c>
      <c r="L1711" s="72">
        <v>307645</v>
      </c>
      <c r="M1711" s="71"/>
      <c r="N1711" s="216"/>
      <c r="O1711" s="71"/>
      <c r="P1711" s="72"/>
    </row>
    <row r="1712" spans="1:16">
      <c r="A1712" s="319"/>
      <c r="B1712" s="321"/>
      <c r="C1712" s="323"/>
      <c r="D1712" s="121" t="s">
        <v>415</v>
      </c>
      <c r="G1712" t="s">
        <v>429</v>
      </c>
      <c r="H1712" s="107">
        <v>43100</v>
      </c>
      <c r="I1712" s="65"/>
      <c r="K1712" s="71"/>
      <c r="L1712" s="72"/>
      <c r="M1712" s="71"/>
      <c r="N1712" s="216"/>
      <c r="O1712" s="71"/>
      <c r="P1712" s="72"/>
    </row>
    <row r="1713" spans="1:16">
      <c r="A1713" s="319"/>
      <c r="B1713" s="321"/>
      <c r="C1713" s="323"/>
      <c r="D1713" s="121" t="s">
        <v>779</v>
      </c>
      <c r="G1713" t="s">
        <v>428</v>
      </c>
      <c r="H1713" s="107">
        <v>43100</v>
      </c>
      <c r="I1713" s="65"/>
      <c r="K1713" s="71"/>
      <c r="L1713" s="72"/>
      <c r="M1713" s="71"/>
      <c r="N1713" s="216"/>
      <c r="O1713" s="71"/>
      <c r="P1713" s="72"/>
    </row>
    <row r="1714" spans="1:16">
      <c r="A1714" s="319"/>
      <c r="B1714" s="321"/>
      <c r="C1714" s="323"/>
      <c r="D1714" s="117" t="s">
        <v>417</v>
      </c>
      <c r="G1714" t="s">
        <v>775</v>
      </c>
      <c r="H1714" s="107">
        <v>43100</v>
      </c>
      <c r="I1714" s="65"/>
      <c r="K1714" s="71">
        <v>1045.7</v>
      </c>
      <c r="L1714" s="72">
        <v>1480.2</v>
      </c>
      <c r="M1714" s="71"/>
      <c r="N1714" s="216"/>
      <c r="O1714" s="71"/>
      <c r="P1714" s="72"/>
    </row>
    <row r="1715" spans="1:16">
      <c r="A1715" s="319"/>
      <c r="B1715" s="321"/>
      <c r="C1715" s="323"/>
      <c r="D1715" s="118" t="s">
        <v>418</v>
      </c>
      <c r="H1715" s="107">
        <v>43100</v>
      </c>
      <c r="I1715" s="65"/>
      <c r="K1715" s="71"/>
      <c r="L1715" s="72" t="s">
        <v>782</v>
      </c>
      <c r="M1715" s="71"/>
      <c r="N1715" s="216"/>
      <c r="O1715" s="71"/>
      <c r="P1715" s="72"/>
    </row>
    <row r="1716" spans="1:16">
      <c r="A1716" s="319"/>
      <c r="B1716" s="322"/>
      <c r="C1716" s="323"/>
      <c r="I1716"/>
      <c r="K1716" s="71"/>
      <c r="L1716" s="72"/>
      <c r="M1716" s="71"/>
      <c r="N1716" s="216"/>
      <c r="O1716" s="71"/>
      <c r="P1716" s="72"/>
    </row>
    <row r="1717" spans="1:16">
      <c r="A1717" s="315" t="s">
        <v>889</v>
      </c>
      <c r="B1717" s="288">
        <v>0</v>
      </c>
      <c r="C1717" s="317" t="s">
        <v>890</v>
      </c>
      <c r="D1717" s="147" t="s">
        <v>411</v>
      </c>
      <c r="G1717" t="s">
        <v>428</v>
      </c>
      <c r="H1717" s="107">
        <v>44561</v>
      </c>
      <c r="I1717"/>
      <c r="K1717" s="71"/>
      <c r="L1717" s="72"/>
      <c r="M1717" s="71"/>
      <c r="N1717" s="216">
        <v>8693</v>
      </c>
      <c r="O1717" s="71">
        <v>8206</v>
      </c>
      <c r="P1717" s="72">
        <v>8955.1370000000006</v>
      </c>
    </row>
    <row r="1718" spans="1:16">
      <c r="A1718" s="306"/>
      <c r="B1718" s="289"/>
      <c r="C1718" s="307"/>
      <c r="D1718" s="148" t="s">
        <v>412</v>
      </c>
      <c r="E1718" s="149"/>
      <c r="F1718" s="149"/>
      <c r="G1718" t="s">
        <v>428</v>
      </c>
      <c r="H1718" s="107">
        <v>44561</v>
      </c>
      <c r="I1718"/>
      <c r="K1718" s="71"/>
      <c r="L1718" s="72"/>
      <c r="M1718" s="71"/>
      <c r="N1718" s="216">
        <v>39963</v>
      </c>
      <c r="O1718" s="71">
        <v>37082</v>
      </c>
      <c r="P1718" s="72">
        <v>43395.453999999998</v>
      </c>
    </row>
    <row r="1719" spans="1:16">
      <c r="A1719" s="306"/>
      <c r="B1719" s="289"/>
      <c r="C1719" s="307"/>
      <c r="D1719" s="148" t="s">
        <v>414</v>
      </c>
      <c r="E1719" s="149"/>
      <c r="F1719" s="149"/>
      <c r="G1719" t="s">
        <v>428</v>
      </c>
      <c r="H1719" s="107">
        <v>44561</v>
      </c>
      <c r="I1719"/>
      <c r="K1719" s="71"/>
      <c r="L1719" s="72"/>
      <c r="M1719" s="71"/>
      <c r="N1719" s="216">
        <f t="shared" ref="N1719:O1719" si="83">SUM(N1717:N1718)</f>
        <v>48656</v>
      </c>
      <c r="O1719" s="71">
        <f t="shared" si="83"/>
        <v>45288</v>
      </c>
      <c r="P1719" s="72">
        <f>SUM(P1717:P1718)</f>
        <v>52350.591</v>
      </c>
    </row>
    <row r="1720" spans="1:16">
      <c r="A1720" s="306"/>
      <c r="B1720" s="289"/>
      <c r="C1720" s="307"/>
      <c r="D1720" s="148" t="s">
        <v>415</v>
      </c>
      <c r="E1720" s="149"/>
      <c r="F1720" s="149"/>
      <c r="G1720" t="s">
        <v>428</v>
      </c>
      <c r="H1720" s="107">
        <v>44561</v>
      </c>
      <c r="I1720"/>
      <c r="K1720" s="71"/>
      <c r="L1720" s="72"/>
      <c r="M1720" s="71"/>
      <c r="N1720" s="216"/>
      <c r="O1720" s="71"/>
      <c r="P1720" s="72">
        <v>2478.8090000000002</v>
      </c>
    </row>
    <row r="1721" spans="1:16">
      <c r="A1721" s="306"/>
      <c r="B1721" s="289"/>
      <c r="C1721" s="307"/>
      <c r="D1721" s="148" t="s">
        <v>417</v>
      </c>
      <c r="E1721" s="149"/>
      <c r="F1721" s="149"/>
      <c r="G1721" t="s">
        <v>783</v>
      </c>
      <c r="H1721" s="107">
        <v>44561</v>
      </c>
      <c r="I1721"/>
      <c r="K1721" s="71"/>
      <c r="L1721" s="72"/>
      <c r="M1721" s="71"/>
      <c r="N1721" s="216"/>
      <c r="O1721" s="71"/>
      <c r="P1721" s="72">
        <v>8092</v>
      </c>
    </row>
    <row r="1722" spans="1:16">
      <c r="A1722" s="306"/>
      <c r="B1722" s="289"/>
      <c r="C1722" s="307"/>
      <c r="D1722" s="150" t="s">
        <v>418</v>
      </c>
      <c r="E1722" s="149"/>
      <c r="F1722" s="149"/>
      <c r="H1722" s="107">
        <v>44561</v>
      </c>
      <c r="I1722"/>
      <c r="K1722" s="71"/>
      <c r="L1722" s="72"/>
      <c r="M1722" s="71"/>
      <c r="N1722" s="216"/>
      <c r="O1722" s="71"/>
      <c r="P1722" s="72" t="s">
        <v>784</v>
      </c>
    </row>
    <row r="1723" spans="1:16">
      <c r="A1723" s="306"/>
      <c r="B1723" s="289"/>
      <c r="C1723" s="307"/>
      <c r="D1723" s="148"/>
      <c r="E1723" s="149"/>
      <c r="F1723" s="149"/>
      <c r="H1723" s="107"/>
      <c r="I1723" s="65"/>
      <c r="K1723" s="71"/>
      <c r="L1723" s="72"/>
      <c r="M1723" s="71"/>
      <c r="N1723" s="216"/>
      <c r="O1723" s="71"/>
      <c r="P1723" s="72"/>
    </row>
    <row r="1724" spans="1:16">
      <c r="A1724" s="316"/>
      <c r="B1724" s="293"/>
      <c r="C1724" s="318"/>
      <c r="D1724" s="148"/>
      <c r="E1724" s="149"/>
      <c r="F1724" s="149"/>
      <c r="H1724" s="107"/>
      <c r="I1724" s="65"/>
      <c r="K1724" s="71"/>
      <c r="L1724" s="72"/>
      <c r="M1724" s="71"/>
      <c r="N1724" s="216"/>
      <c r="O1724" s="71"/>
      <c r="P1724" s="72"/>
    </row>
    <row r="1725" spans="1:16">
      <c r="A1725" s="306" t="s">
        <v>889</v>
      </c>
      <c r="B1725" s="292">
        <v>0</v>
      </c>
      <c r="C1725" s="307" t="s">
        <v>890</v>
      </c>
      <c r="D1725" s="147" t="s">
        <v>411</v>
      </c>
      <c r="G1725" t="s">
        <v>428</v>
      </c>
      <c r="H1725" s="107">
        <v>44196</v>
      </c>
      <c r="I1725"/>
      <c r="K1725" s="71"/>
      <c r="L1725" s="72"/>
      <c r="M1725" s="71">
        <v>8771</v>
      </c>
      <c r="N1725" s="216">
        <v>8693</v>
      </c>
      <c r="O1725" s="71">
        <v>8314.9230000000007</v>
      </c>
      <c r="P1725" s="72"/>
    </row>
    <row r="1726" spans="1:16">
      <c r="A1726" s="306"/>
      <c r="B1726" s="289"/>
      <c r="C1726" s="307"/>
      <c r="D1726" s="148" t="s">
        <v>412</v>
      </c>
      <c r="E1726" s="149"/>
      <c r="F1726" s="149"/>
      <c r="G1726" t="s">
        <v>428</v>
      </c>
      <c r="H1726" s="107">
        <v>44196</v>
      </c>
      <c r="I1726"/>
      <c r="K1726" s="71"/>
      <c r="L1726" s="72"/>
      <c r="M1726" s="71">
        <v>42860</v>
      </c>
      <c r="N1726" s="216">
        <v>39963</v>
      </c>
      <c r="O1726" s="71">
        <v>37002.521000000001</v>
      </c>
      <c r="P1726" s="72"/>
    </row>
    <row r="1727" spans="1:16">
      <c r="A1727" s="306"/>
      <c r="B1727" s="289"/>
      <c r="C1727" s="307"/>
      <c r="D1727" s="148" t="s">
        <v>414</v>
      </c>
      <c r="E1727" s="149"/>
      <c r="F1727" s="149"/>
      <c r="G1727" t="s">
        <v>428</v>
      </c>
      <c r="H1727" s="107">
        <v>44196</v>
      </c>
      <c r="I1727"/>
      <c r="K1727" s="71"/>
      <c r="L1727" s="72"/>
      <c r="M1727" s="71">
        <f t="shared" ref="M1727:O1727" si="84">SUM(M1725:M1726)</f>
        <v>51631</v>
      </c>
      <c r="N1727" s="216">
        <f t="shared" si="84"/>
        <v>48656</v>
      </c>
      <c r="O1727" s="71">
        <f t="shared" si="84"/>
        <v>45317.444000000003</v>
      </c>
      <c r="P1727" s="72"/>
    </row>
    <row r="1728" spans="1:16">
      <c r="A1728" s="306"/>
      <c r="B1728" s="289"/>
      <c r="C1728" s="307"/>
      <c r="D1728" s="148" t="s">
        <v>415</v>
      </c>
      <c r="E1728" s="149"/>
      <c r="F1728" s="149"/>
      <c r="G1728" t="s">
        <v>428</v>
      </c>
      <c r="H1728" s="107">
        <v>44196</v>
      </c>
      <c r="I1728"/>
      <c r="K1728" s="71"/>
      <c r="L1728" s="72"/>
      <c r="M1728" s="71"/>
      <c r="N1728" s="216"/>
      <c r="O1728" s="71">
        <v>3643.8710000000001</v>
      </c>
      <c r="P1728" s="72"/>
    </row>
    <row r="1729" spans="1:16">
      <c r="A1729" s="306"/>
      <c r="B1729" s="289"/>
      <c r="C1729" s="307"/>
      <c r="D1729" s="148" t="s">
        <v>417</v>
      </c>
      <c r="E1729" s="149"/>
      <c r="F1729" s="149"/>
      <c r="G1729" t="s">
        <v>783</v>
      </c>
      <c r="H1729" s="107">
        <v>44196</v>
      </c>
      <c r="I1729"/>
      <c r="K1729" s="71"/>
      <c r="L1729" s="72"/>
      <c r="M1729" s="71"/>
      <c r="N1729" s="216"/>
      <c r="O1729" s="71">
        <v>7845</v>
      </c>
      <c r="P1729" s="72"/>
    </row>
    <row r="1730" spans="1:16">
      <c r="A1730" s="306"/>
      <c r="B1730" s="289"/>
      <c r="C1730" s="307"/>
      <c r="D1730" s="150" t="s">
        <v>418</v>
      </c>
      <c r="E1730" s="149"/>
      <c r="F1730" s="149"/>
      <c r="H1730" s="107">
        <v>44196</v>
      </c>
      <c r="I1730"/>
      <c r="K1730" s="71"/>
      <c r="L1730" s="72"/>
      <c r="M1730" s="71"/>
      <c r="N1730" s="216"/>
      <c r="O1730" s="71" t="s">
        <v>785</v>
      </c>
      <c r="P1730" s="72"/>
    </row>
    <row r="1731" spans="1:16">
      <c r="A1731" s="306"/>
      <c r="B1731" s="289"/>
      <c r="C1731" s="307"/>
      <c r="D1731" s="148"/>
      <c r="E1731" s="149"/>
      <c r="F1731" s="149"/>
      <c r="H1731" s="107"/>
      <c r="I1731"/>
      <c r="K1731" s="71"/>
      <c r="L1731" s="72"/>
      <c r="M1731" s="71"/>
      <c r="N1731" s="216"/>
      <c r="O1731" s="71"/>
      <c r="P1731" s="72"/>
    </row>
    <row r="1732" spans="1:16">
      <c r="A1732" s="316"/>
      <c r="B1732" s="293"/>
      <c r="C1732" s="318"/>
      <c r="D1732" s="148"/>
      <c r="E1732" s="149"/>
      <c r="F1732" s="149"/>
      <c r="H1732" s="107"/>
      <c r="I1732" s="65"/>
      <c r="K1732" s="71"/>
      <c r="L1732" s="72"/>
      <c r="M1732" s="71"/>
      <c r="N1732" s="216"/>
      <c r="O1732" s="71"/>
      <c r="P1732" s="72"/>
    </row>
    <row r="1733" spans="1:16">
      <c r="A1733" s="306" t="s">
        <v>889</v>
      </c>
      <c r="B1733" s="292">
        <v>0</v>
      </c>
      <c r="C1733" s="307" t="s">
        <v>890</v>
      </c>
      <c r="D1733" s="147" t="s">
        <v>411</v>
      </c>
      <c r="G1733" t="s">
        <v>428</v>
      </c>
      <c r="H1733" s="107">
        <v>43830</v>
      </c>
      <c r="I1733"/>
      <c r="K1733" s="71"/>
      <c r="L1733" s="72">
        <v>8222</v>
      </c>
      <c r="M1733" s="71">
        <v>8771</v>
      </c>
      <c r="N1733" s="216">
        <v>8963.2579999999998</v>
      </c>
      <c r="O1733" s="71"/>
      <c r="P1733" s="72"/>
    </row>
    <row r="1734" spans="1:16">
      <c r="A1734" s="306"/>
      <c r="B1734" s="289"/>
      <c r="C1734" s="307"/>
      <c r="D1734" s="148" t="s">
        <v>412</v>
      </c>
      <c r="E1734" s="149"/>
      <c r="F1734" s="149"/>
      <c r="G1734" t="s">
        <v>428</v>
      </c>
      <c r="H1734" s="107">
        <v>43830</v>
      </c>
      <c r="I1734"/>
      <c r="K1734" s="71"/>
      <c r="L1734" s="72">
        <v>38144</v>
      </c>
      <c r="M1734" s="71">
        <v>42860</v>
      </c>
      <c r="N1734" s="216">
        <v>39963.398000000001</v>
      </c>
      <c r="O1734" s="71"/>
      <c r="P1734" s="72"/>
    </row>
    <row r="1735" spans="1:16">
      <c r="A1735" s="306"/>
      <c r="B1735" s="289"/>
      <c r="C1735" s="307"/>
      <c r="D1735" s="148" t="s">
        <v>414</v>
      </c>
      <c r="E1735" s="149"/>
      <c r="F1735" s="149"/>
      <c r="G1735" t="s">
        <v>428</v>
      </c>
      <c r="H1735" s="107">
        <v>43830</v>
      </c>
      <c r="I1735"/>
      <c r="K1735" s="71"/>
      <c r="L1735" s="72">
        <f t="shared" ref="L1735:N1735" si="85">SUM(L1733:L1734)</f>
        <v>46366</v>
      </c>
      <c r="M1735" s="71">
        <f t="shared" si="85"/>
        <v>51631</v>
      </c>
      <c r="N1735" s="216">
        <f t="shared" si="85"/>
        <v>48926.656000000003</v>
      </c>
      <c r="O1735" s="71"/>
      <c r="P1735" s="72"/>
    </row>
    <row r="1736" spans="1:16">
      <c r="A1736" s="306"/>
      <c r="B1736" s="289"/>
      <c r="C1736" s="307"/>
      <c r="D1736" s="148" t="s">
        <v>415</v>
      </c>
      <c r="E1736" s="149"/>
      <c r="F1736" s="149"/>
      <c r="G1736" t="s">
        <v>428</v>
      </c>
      <c r="H1736" s="107">
        <v>43830</v>
      </c>
      <c r="I1736"/>
      <c r="K1736" s="71"/>
      <c r="L1736" s="72"/>
      <c r="M1736" s="71"/>
      <c r="N1736" s="216">
        <v>4015.777</v>
      </c>
      <c r="O1736" s="71"/>
      <c r="P1736" s="72"/>
    </row>
    <row r="1737" spans="1:16">
      <c r="A1737" s="306"/>
      <c r="B1737" s="289"/>
      <c r="C1737" s="307"/>
      <c r="D1737" s="148" t="s">
        <v>417</v>
      </c>
      <c r="E1737" s="149"/>
      <c r="F1737" s="149"/>
      <c r="G1737" t="s">
        <v>783</v>
      </c>
      <c r="H1737" s="107">
        <v>43830</v>
      </c>
      <c r="I1737"/>
      <c r="K1737" s="71"/>
      <c r="L1737" s="72"/>
      <c r="M1737" s="71"/>
      <c r="N1737" s="216">
        <v>7685</v>
      </c>
      <c r="O1737" s="71"/>
      <c r="P1737" s="72"/>
    </row>
    <row r="1738" spans="1:16">
      <c r="A1738" s="306"/>
      <c r="B1738" s="289"/>
      <c r="C1738" s="307"/>
      <c r="D1738" s="150" t="s">
        <v>418</v>
      </c>
      <c r="E1738" s="149"/>
      <c r="F1738" s="149"/>
      <c r="H1738" s="107">
        <v>43830</v>
      </c>
      <c r="I1738"/>
      <c r="K1738" s="71"/>
      <c r="L1738" s="72"/>
      <c r="M1738" s="71"/>
      <c r="N1738" s="216" t="s">
        <v>786</v>
      </c>
      <c r="O1738" s="71"/>
      <c r="P1738" s="72"/>
    </row>
    <row r="1739" spans="1:16">
      <c r="A1739" s="306"/>
      <c r="B1739" s="293"/>
      <c r="C1739" s="307"/>
      <c r="D1739" s="148"/>
      <c r="E1739" s="149"/>
      <c r="F1739" s="149"/>
      <c r="H1739" s="107"/>
      <c r="I1739" s="65"/>
      <c r="K1739" s="71"/>
      <c r="L1739" s="72"/>
      <c r="M1739" s="71"/>
      <c r="N1739" s="216"/>
      <c r="O1739" s="71"/>
      <c r="P1739" s="72"/>
    </row>
    <row r="1740" spans="1:16">
      <c r="A1740" s="306" t="s">
        <v>889</v>
      </c>
      <c r="B1740" s="292">
        <v>0</v>
      </c>
      <c r="C1740" s="307" t="s">
        <v>890</v>
      </c>
      <c r="D1740" s="147" t="s">
        <v>411</v>
      </c>
      <c r="G1740" t="s">
        <v>428</v>
      </c>
      <c r="H1740" s="107">
        <v>43465</v>
      </c>
      <c r="I1740"/>
      <c r="K1740" s="71"/>
      <c r="L1740" s="72"/>
      <c r="M1740" s="71">
        <v>8771</v>
      </c>
      <c r="N1740" s="216"/>
      <c r="O1740" s="71"/>
      <c r="P1740" s="72"/>
    </row>
    <row r="1741" spans="1:16">
      <c r="A1741" s="306"/>
      <c r="B1741" s="289"/>
      <c r="C1741" s="307"/>
      <c r="D1741" s="148" t="s">
        <v>412</v>
      </c>
      <c r="E1741" s="149"/>
      <c r="F1741" s="149"/>
      <c r="G1741" t="s">
        <v>428</v>
      </c>
      <c r="H1741" s="107">
        <v>43465</v>
      </c>
      <c r="I1741"/>
      <c r="K1741" s="71"/>
      <c r="L1741" s="72"/>
      <c r="M1741" s="71">
        <v>42860</v>
      </c>
      <c r="N1741" s="216"/>
      <c r="O1741" s="71"/>
      <c r="P1741" s="72"/>
    </row>
    <row r="1742" spans="1:16">
      <c r="A1742" s="306"/>
      <c r="B1742" s="289"/>
      <c r="C1742" s="307"/>
      <c r="D1742" s="148" t="s">
        <v>414</v>
      </c>
      <c r="E1742" s="149"/>
      <c r="F1742" s="149"/>
      <c r="G1742" t="s">
        <v>428</v>
      </c>
      <c r="H1742" s="107">
        <v>43465</v>
      </c>
      <c r="I1742"/>
      <c r="K1742" s="71">
        <v>46770</v>
      </c>
      <c r="L1742" s="72">
        <v>46365</v>
      </c>
      <c r="M1742" s="71">
        <f>SUM(M1740:M1741)</f>
        <v>51631</v>
      </c>
      <c r="N1742" s="216"/>
      <c r="O1742" s="71"/>
      <c r="P1742" s="72"/>
    </row>
    <row r="1743" spans="1:16">
      <c r="A1743" s="306"/>
      <c r="B1743" s="289"/>
      <c r="C1743" s="307"/>
      <c r="D1743" s="148" t="s">
        <v>415</v>
      </c>
      <c r="E1743" s="149"/>
      <c r="F1743" s="149"/>
      <c r="G1743" t="s">
        <v>428</v>
      </c>
      <c r="H1743" s="107">
        <v>43465</v>
      </c>
      <c r="I1743"/>
      <c r="K1743" s="71"/>
      <c r="L1743" s="72"/>
      <c r="M1743" s="71">
        <v>3747</v>
      </c>
      <c r="N1743" s="216"/>
      <c r="O1743" s="71"/>
      <c r="P1743" s="72"/>
    </row>
    <row r="1744" spans="1:16">
      <c r="A1744" s="306"/>
      <c r="B1744" s="289"/>
      <c r="C1744" s="307"/>
      <c r="D1744" s="148" t="s">
        <v>417</v>
      </c>
      <c r="E1744" s="149"/>
      <c r="F1744" s="149"/>
      <c r="G1744" t="s">
        <v>783</v>
      </c>
      <c r="H1744" s="107">
        <v>43465</v>
      </c>
      <c r="I1744"/>
      <c r="K1744" s="71"/>
      <c r="L1744" s="72"/>
      <c r="M1744" s="71">
        <v>6748</v>
      </c>
      <c r="N1744" s="216"/>
      <c r="O1744" s="71"/>
      <c r="P1744" s="72"/>
    </row>
    <row r="1745" spans="1:16">
      <c r="A1745" s="306"/>
      <c r="B1745" s="289"/>
      <c r="C1745" s="307"/>
      <c r="D1745" s="150" t="s">
        <v>418</v>
      </c>
      <c r="E1745" s="149"/>
      <c r="F1745" s="149"/>
      <c r="H1745" s="107">
        <v>43465</v>
      </c>
      <c r="I1745"/>
      <c r="K1745" s="71"/>
      <c r="L1745" s="72"/>
      <c r="M1745" s="71" t="s">
        <v>787</v>
      </c>
      <c r="N1745" s="216"/>
      <c r="O1745" s="71"/>
      <c r="P1745" s="72"/>
    </row>
    <row r="1746" spans="1:16">
      <c r="A1746" s="306"/>
      <c r="B1746" s="293"/>
      <c r="C1746" s="307"/>
      <c r="D1746" s="148"/>
      <c r="E1746" s="149"/>
      <c r="F1746" s="149"/>
      <c r="H1746" s="107"/>
      <c r="I1746" s="65"/>
      <c r="K1746" s="71"/>
      <c r="L1746" s="72"/>
      <c r="M1746" s="71"/>
      <c r="N1746" s="216"/>
      <c r="O1746" s="71"/>
      <c r="P1746" s="72"/>
    </row>
    <row r="1747" spans="1:16">
      <c r="A1747" s="306" t="s">
        <v>889</v>
      </c>
      <c r="B1747" s="292">
        <v>0</v>
      </c>
      <c r="C1747" s="307" t="s">
        <v>890</v>
      </c>
      <c r="D1747" s="147" t="s">
        <v>411</v>
      </c>
      <c r="G1747" t="s">
        <v>428</v>
      </c>
      <c r="H1747" s="107">
        <v>43100</v>
      </c>
      <c r="I1747"/>
      <c r="K1747" s="71"/>
      <c r="L1747" s="72">
        <v>8222</v>
      </c>
      <c r="M1747" s="71"/>
      <c r="N1747" s="216"/>
      <c r="O1747" s="71"/>
      <c r="P1747" s="72"/>
    </row>
    <row r="1748" spans="1:16">
      <c r="A1748" s="306"/>
      <c r="B1748" s="289"/>
      <c r="C1748" s="307"/>
      <c r="D1748" s="148" t="s">
        <v>412</v>
      </c>
      <c r="E1748" s="149"/>
      <c r="F1748" s="149"/>
      <c r="G1748" t="s">
        <v>428</v>
      </c>
      <c r="H1748" s="107">
        <v>43100</v>
      </c>
      <c r="I1748"/>
      <c r="K1748" s="71"/>
      <c r="L1748" s="72">
        <v>38144</v>
      </c>
      <c r="M1748" s="71"/>
      <c r="N1748" s="216"/>
      <c r="O1748" s="71"/>
      <c r="P1748" s="72"/>
    </row>
    <row r="1749" spans="1:16">
      <c r="A1749" s="306"/>
      <c r="B1749" s="289"/>
      <c r="C1749" s="307"/>
      <c r="D1749" s="148" t="s">
        <v>414</v>
      </c>
      <c r="E1749" s="149"/>
      <c r="F1749" s="149"/>
      <c r="G1749" t="s">
        <v>428</v>
      </c>
      <c r="H1749" s="107">
        <v>43100</v>
      </c>
      <c r="I1749"/>
      <c r="J1749">
        <v>43118</v>
      </c>
      <c r="K1749" s="71">
        <v>46770</v>
      </c>
      <c r="L1749" s="72">
        <f t="shared" ref="L1749" si="86">SUM(L1747:L1748)</f>
        <v>46366</v>
      </c>
      <c r="M1749" s="71"/>
      <c r="N1749" s="216"/>
      <c r="O1749" s="71"/>
      <c r="P1749" s="72"/>
    </row>
    <row r="1750" spans="1:16">
      <c r="A1750" s="306"/>
      <c r="B1750" s="289"/>
      <c r="C1750" s="307"/>
      <c r="D1750" s="148" t="s">
        <v>415</v>
      </c>
      <c r="E1750" s="149"/>
      <c r="F1750" s="149"/>
      <c r="G1750" t="s">
        <v>428</v>
      </c>
      <c r="H1750" s="107">
        <v>43100</v>
      </c>
      <c r="I1750"/>
      <c r="K1750" s="71"/>
      <c r="L1750" s="72">
        <v>3738</v>
      </c>
      <c r="M1750" s="71"/>
      <c r="N1750" s="216"/>
      <c r="O1750" s="71"/>
      <c r="P1750" s="72"/>
    </row>
    <row r="1751" spans="1:16">
      <c r="A1751" s="306"/>
      <c r="B1751" s="289"/>
      <c r="C1751" s="307"/>
      <c r="D1751" s="148" t="s">
        <v>779</v>
      </c>
      <c r="E1751" s="149"/>
      <c r="F1751" s="149"/>
      <c r="G1751" t="s">
        <v>428</v>
      </c>
      <c r="H1751" s="107">
        <v>43100</v>
      </c>
      <c r="I1751"/>
      <c r="J1751">
        <v>111284</v>
      </c>
      <c r="K1751" s="71">
        <v>123471</v>
      </c>
      <c r="L1751" s="72">
        <v>124113</v>
      </c>
      <c r="M1751" s="71"/>
      <c r="N1751" s="216"/>
      <c r="O1751" s="71"/>
      <c r="P1751" s="72"/>
    </row>
    <row r="1752" spans="1:16">
      <c r="A1752" s="306"/>
      <c r="B1752" s="289"/>
      <c r="C1752" s="307"/>
      <c r="D1752" s="148" t="s">
        <v>417</v>
      </c>
      <c r="E1752" s="149"/>
      <c r="F1752" s="149"/>
      <c r="G1752" t="s">
        <v>783</v>
      </c>
      <c r="H1752" s="107">
        <v>43100</v>
      </c>
      <c r="I1752"/>
      <c r="K1752" s="71"/>
      <c r="L1752" s="72">
        <v>6105</v>
      </c>
      <c r="M1752" s="71"/>
      <c r="N1752" s="216"/>
      <c r="O1752" s="71"/>
      <c r="P1752" s="72"/>
    </row>
    <row r="1753" spans="1:16">
      <c r="A1753" s="306"/>
      <c r="B1753" s="289"/>
      <c r="C1753" s="307"/>
      <c r="D1753" s="150" t="s">
        <v>418</v>
      </c>
      <c r="E1753" s="149"/>
      <c r="F1753" s="149"/>
      <c r="H1753" s="107">
        <v>43100</v>
      </c>
      <c r="I1753"/>
      <c r="K1753" s="71"/>
      <c r="L1753" s="72" t="s">
        <v>788</v>
      </c>
      <c r="M1753" s="71"/>
      <c r="N1753" s="216"/>
      <c r="O1753" s="71"/>
      <c r="P1753" s="72"/>
    </row>
    <row r="1754" spans="1:16">
      <c r="A1754" s="306"/>
      <c r="B1754" s="293"/>
      <c r="C1754" s="307"/>
      <c r="D1754" s="148"/>
      <c r="E1754" s="149"/>
      <c r="F1754" s="149"/>
      <c r="H1754" s="65"/>
      <c r="I1754" s="65"/>
      <c r="K1754" s="71"/>
      <c r="L1754" s="72"/>
      <c r="M1754" s="71"/>
      <c r="N1754" s="216"/>
      <c r="O1754" s="71"/>
      <c r="P1754" s="72"/>
    </row>
    <row r="1755" spans="1:16">
      <c r="A1755" s="268"/>
      <c r="B1755" s="128"/>
      <c r="C1755" s="128"/>
      <c r="D1755" s="123"/>
      <c r="H1755" s="65"/>
      <c r="I1755" s="65"/>
      <c r="K1755" s="71"/>
      <c r="L1755" s="72"/>
      <c r="M1755" s="71"/>
      <c r="N1755" s="216"/>
      <c r="O1755" s="71"/>
      <c r="P1755" s="72"/>
    </row>
    <row r="1756" spans="1:16">
      <c r="A1756" s="306" t="s">
        <v>892</v>
      </c>
      <c r="B1756" s="292">
        <v>0</v>
      </c>
      <c r="C1756" s="307" t="s">
        <v>893</v>
      </c>
      <c r="D1756" s="147" t="s">
        <v>411</v>
      </c>
      <c r="G1756" t="s">
        <v>664</v>
      </c>
      <c r="H1756" s="107">
        <v>44561</v>
      </c>
      <c r="I1756"/>
      <c r="K1756" s="71"/>
      <c r="L1756" s="72"/>
      <c r="M1756" s="71"/>
      <c r="N1756" s="216"/>
      <c r="O1756" s="71">
        <v>1.25</v>
      </c>
      <c r="P1756" s="72">
        <v>0.98</v>
      </c>
    </row>
    <row r="1757" spans="1:16">
      <c r="A1757" s="306"/>
      <c r="B1757" s="289"/>
      <c r="C1757" s="307"/>
      <c r="D1757" s="148" t="s">
        <v>412</v>
      </c>
      <c r="E1757" t="s">
        <v>413</v>
      </c>
      <c r="G1757" t="s">
        <v>664</v>
      </c>
      <c r="H1757" s="107">
        <v>44561</v>
      </c>
      <c r="I1757"/>
      <c r="K1757" s="71"/>
      <c r="L1757" s="72"/>
      <c r="M1757" s="71"/>
      <c r="N1757" s="216"/>
      <c r="O1757" s="71">
        <v>4.4800000000000004</v>
      </c>
      <c r="P1757" s="72">
        <v>4.4000000000000004</v>
      </c>
    </row>
    <row r="1758" spans="1:16">
      <c r="A1758" s="306"/>
      <c r="B1758" s="289"/>
      <c r="C1758" s="307"/>
      <c r="D1758" s="148" t="s">
        <v>412</v>
      </c>
      <c r="E1758" t="s">
        <v>420</v>
      </c>
      <c r="G1758" t="s">
        <v>664</v>
      </c>
      <c r="H1758" s="107">
        <v>44561</v>
      </c>
      <c r="I1758"/>
      <c r="K1758" s="71"/>
      <c r="L1758" s="72"/>
      <c r="M1758" s="71"/>
      <c r="N1758" s="216"/>
      <c r="O1758" s="71">
        <v>4.33</v>
      </c>
      <c r="P1758" s="72">
        <v>4.4400000000000004</v>
      </c>
    </row>
    <row r="1759" spans="1:16">
      <c r="A1759" s="306"/>
      <c r="B1759" s="289"/>
      <c r="C1759" s="307"/>
      <c r="D1759" s="148" t="s">
        <v>414</v>
      </c>
      <c r="E1759" t="s">
        <v>789</v>
      </c>
      <c r="G1759" t="s">
        <v>664</v>
      </c>
      <c r="H1759" s="107">
        <v>44561</v>
      </c>
      <c r="I1759"/>
      <c r="K1759" s="71"/>
      <c r="L1759" s="72"/>
      <c r="M1759" s="71"/>
      <c r="N1759" s="216"/>
      <c r="O1759" s="72">
        <f>SUM(O1756:O1757)</f>
        <v>5.73</v>
      </c>
      <c r="P1759" s="72">
        <f>SUM(P1756:P1757)</f>
        <v>5.3800000000000008</v>
      </c>
    </row>
    <row r="1760" spans="1:16">
      <c r="A1760" s="306"/>
      <c r="B1760" s="289"/>
      <c r="C1760" s="307"/>
      <c r="D1760" s="148" t="s">
        <v>415</v>
      </c>
      <c r="E1760" t="s">
        <v>653</v>
      </c>
      <c r="G1760" t="s">
        <v>664</v>
      </c>
      <c r="H1760" s="107">
        <v>44561</v>
      </c>
      <c r="I1760"/>
      <c r="K1760" s="71"/>
      <c r="L1760" s="72"/>
      <c r="M1760" s="71"/>
      <c r="N1760" s="216"/>
      <c r="O1760" s="71"/>
      <c r="P1760" s="72">
        <v>16.437999999999999</v>
      </c>
    </row>
    <row r="1761" spans="1:16">
      <c r="A1761" s="306"/>
      <c r="B1761" s="289"/>
      <c r="C1761" s="307"/>
      <c r="D1761" s="148" t="s">
        <v>415</v>
      </c>
      <c r="E1761" t="s">
        <v>654</v>
      </c>
      <c r="G1761" t="s">
        <v>664</v>
      </c>
      <c r="H1761" s="107">
        <v>44561</v>
      </c>
      <c r="I1761"/>
      <c r="K1761" s="71"/>
      <c r="L1761" s="72"/>
      <c r="M1761" s="71"/>
      <c r="N1761" s="216"/>
      <c r="O1761" s="71"/>
      <c r="P1761" s="72">
        <v>0.34200000000000003</v>
      </c>
    </row>
    <row r="1762" spans="1:16">
      <c r="A1762" s="306"/>
      <c r="B1762" s="289"/>
      <c r="C1762" s="307"/>
      <c r="D1762" s="148" t="s">
        <v>415</v>
      </c>
      <c r="E1762" t="s">
        <v>790</v>
      </c>
      <c r="G1762" t="s">
        <v>664</v>
      </c>
      <c r="H1762" s="107">
        <v>44561</v>
      </c>
      <c r="I1762"/>
      <c r="K1762" s="71"/>
      <c r="L1762" s="72"/>
      <c r="M1762" s="71"/>
      <c r="N1762" s="216"/>
      <c r="O1762" s="71"/>
      <c r="P1762" s="72">
        <v>1.018</v>
      </c>
    </row>
    <row r="1763" spans="1:16">
      <c r="A1763" s="306"/>
      <c r="B1763" s="289"/>
      <c r="C1763" s="307"/>
      <c r="D1763" s="148" t="s">
        <v>415</v>
      </c>
      <c r="E1763" t="s">
        <v>791</v>
      </c>
      <c r="G1763" t="s">
        <v>664</v>
      </c>
      <c r="H1763" s="107">
        <v>44561</v>
      </c>
      <c r="I1763"/>
      <c r="K1763" s="71"/>
      <c r="L1763" s="72"/>
      <c r="M1763" s="71"/>
      <c r="N1763" s="216"/>
      <c r="O1763" s="71"/>
      <c r="P1763" s="72">
        <v>0.495</v>
      </c>
    </row>
    <row r="1764" spans="1:16">
      <c r="A1764" s="306"/>
      <c r="B1764" s="289"/>
      <c r="C1764" s="307"/>
      <c r="D1764" s="148" t="s">
        <v>415</v>
      </c>
      <c r="E1764" t="s">
        <v>792</v>
      </c>
      <c r="G1764" t="s">
        <v>664</v>
      </c>
      <c r="H1764" s="107">
        <v>44561</v>
      </c>
      <c r="I1764"/>
      <c r="K1764" s="71"/>
      <c r="L1764" s="72"/>
      <c r="M1764" s="71"/>
      <c r="N1764" s="216"/>
      <c r="O1764" s="71"/>
      <c r="P1764" s="72">
        <v>0.161</v>
      </c>
    </row>
    <row r="1765" spans="1:16">
      <c r="A1765" s="306"/>
      <c r="B1765" s="289"/>
      <c r="C1765" s="307"/>
      <c r="D1765" s="148" t="s">
        <v>415</v>
      </c>
      <c r="E1765" t="s">
        <v>741</v>
      </c>
      <c r="G1765" t="s">
        <v>664</v>
      </c>
      <c r="H1765" s="107">
        <v>44561</v>
      </c>
      <c r="I1765"/>
      <c r="K1765" s="71"/>
      <c r="L1765" s="72"/>
      <c r="M1765" s="71"/>
      <c r="N1765" s="216"/>
      <c r="O1765" s="71"/>
      <c r="P1765" s="72">
        <v>3.3370000000000002</v>
      </c>
    </row>
    <row r="1766" spans="1:16">
      <c r="A1766" s="306"/>
      <c r="B1766" s="289"/>
      <c r="C1766" s="307"/>
      <c r="D1766" s="148" t="s">
        <v>415</v>
      </c>
      <c r="E1766" t="s">
        <v>793</v>
      </c>
      <c r="G1766" t="s">
        <v>664</v>
      </c>
      <c r="H1766" s="107">
        <v>44561</v>
      </c>
      <c r="I1766"/>
      <c r="K1766" s="71"/>
      <c r="L1766" s="72"/>
      <c r="M1766" s="71"/>
      <c r="N1766" s="216"/>
      <c r="O1766" s="71"/>
      <c r="P1766" s="72">
        <v>5.0999999999999997E-2</v>
      </c>
    </row>
    <row r="1767" spans="1:16">
      <c r="A1767" s="306"/>
      <c r="B1767" s="289"/>
      <c r="C1767" s="307"/>
      <c r="D1767" s="148" t="s">
        <v>415</v>
      </c>
      <c r="E1767" t="s">
        <v>660</v>
      </c>
      <c r="G1767" t="s">
        <v>664</v>
      </c>
      <c r="H1767" s="107">
        <v>44561</v>
      </c>
      <c r="I1767"/>
      <c r="K1767" s="71"/>
      <c r="L1767" s="72"/>
      <c r="M1767" s="71"/>
      <c r="N1767" s="216"/>
      <c r="O1767" s="71"/>
      <c r="P1767" s="72">
        <f>SUM(P1760:P1766)</f>
        <v>21.841999999999999</v>
      </c>
    </row>
    <row r="1768" spans="1:16">
      <c r="A1768" s="306"/>
      <c r="B1768" s="289"/>
      <c r="C1768" s="307"/>
      <c r="D1768" s="148" t="s">
        <v>417</v>
      </c>
      <c r="G1768" t="s">
        <v>669</v>
      </c>
      <c r="H1768" s="107">
        <v>44561</v>
      </c>
      <c r="I1768"/>
      <c r="K1768" s="71"/>
      <c r="L1768" s="72"/>
      <c r="M1768" s="71"/>
      <c r="N1768" s="216"/>
      <c r="O1768" s="71">
        <v>10706</v>
      </c>
      <c r="P1768" s="72">
        <v>15903</v>
      </c>
    </row>
    <row r="1769" spans="1:16">
      <c r="A1769" s="306"/>
      <c r="B1769" s="289"/>
      <c r="C1769" s="307"/>
      <c r="D1769" s="150" t="s">
        <v>418</v>
      </c>
      <c r="H1769" s="107">
        <v>44561</v>
      </c>
      <c r="I1769"/>
      <c r="K1769" s="71" t="s">
        <v>794</v>
      </c>
      <c r="L1769" s="72" t="s">
        <v>794</v>
      </c>
      <c r="M1769" s="71" t="s">
        <v>795</v>
      </c>
      <c r="N1769" s="216" t="s">
        <v>796</v>
      </c>
      <c r="O1769" s="71"/>
      <c r="P1769" s="72" t="s">
        <v>797</v>
      </c>
    </row>
    <row r="1770" spans="1:16">
      <c r="A1770" s="306"/>
      <c r="B1770" s="289"/>
      <c r="C1770" s="307"/>
      <c r="D1770" s="66"/>
      <c r="H1770" s="65"/>
      <c r="I1770" s="65"/>
      <c r="K1770" s="71"/>
      <c r="L1770" s="72"/>
      <c r="M1770" s="71"/>
      <c r="N1770" s="216"/>
      <c r="O1770" s="71"/>
      <c r="P1770" s="72"/>
    </row>
    <row r="1771" spans="1:16">
      <c r="A1771" s="316"/>
      <c r="B1771" s="293"/>
      <c r="C1771" s="318"/>
      <c r="D1771" s="66"/>
      <c r="H1771" s="107"/>
      <c r="I1771" s="65"/>
      <c r="K1771" s="71"/>
      <c r="L1771" s="72"/>
      <c r="M1771" s="71"/>
      <c r="N1771" s="216"/>
      <c r="O1771" s="71"/>
      <c r="P1771" s="72"/>
    </row>
    <row r="1772" spans="1:16">
      <c r="A1772" s="306" t="s">
        <v>892</v>
      </c>
      <c r="B1772" s="292">
        <v>0</v>
      </c>
      <c r="C1772" s="307" t="s">
        <v>893</v>
      </c>
      <c r="D1772" s="147" t="s">
        <v>411</v>
      </c>
      <c r="G1772" t="s">
        <v>664</v>
      </c>
      <c r="H1772" s="107">
        <v>44196</v>
      </c>
      <c r="I1772"/>
      <c r="K1772" s="71"/>
      <c r="L1772" s="72"/>
      <c r="M1772" s="71"/>
      <c r="N1772" s="216">
        <v>1.29</v>
      </c>
      <c r="O1772" s="71">
        <v>1.25</v>
      </c>
      <c r="P1772" s="72"/>
    </row>
    <row r="1773" spans="1:16">
      <c r="A1773" s="306"/>
      <c r="B1773" s="289"/>
      <c r="C1773" s="307"/>
      <c r="D1773" s="148" t="s">
        <v>412</v>
      </c>
      <c r="E1773" t="s">
        <v>413</v>
      </c>
      <c r="G1773" t="s">
        <v>664</v>
      </c>
      <c r="H1773" s="107">
        <v>44196</v>
      </c>
      <c r="I1773"/>
      <c r="K1773" s="71"/>
      <c r="L1773" s="72"/>
      <c r="M1773" s="71"/>
      <c r="N1773" s="216">
        <v>4.66</v>
      </c>
      <c r="O1773" s="71">
        <v>4.4800000000000004</v>
      </c>
      <c r="P1773" s="72"/>
    </row>
    <row r="1774" spans="1:16">
      <c r="A1774" s="306"/>
      <c r="B1774" s="289"/>
      <c r="C1774" s="307"/>
      <c r="D1774" s="148" t="s">
        <v>412</v>
      </c>
      <c r="E1774" t="s">
        <v>420</v>
      </c>
      <c r="G1774" t="s">
        <v>664</v>
      </c>
      <c r="H1774" s="107">
        <v>44196</v>
      </c>
      <c r="I1774"/>
      <c r="K1774" s="71"/>
      <c r="L1774" s="72"/>
      <c r="M1774" s="71"/>
      <c r="N1774" s="216">
        <v>4.62</v>
      </c>
      <c r="O1774" s="71">
        <v>4.33</v>
      </c>
      <c r="P1774" s="72"/>
    </row>
    <row r="1775" spans="1:16">
      <c r="A1775" s="306"/>
      <c r="B1775" s="289"/>
      <c r="C1775" s="307"/>
      <c r="D1775" s="148" t="s">
        <v>414</v>
      </c>
      <c r="G1775" t="s">
        <v>664</v>
      </c>
      <c r="H1775" s="107">
        <v>44196</v>
      </c>
      <c r="I1775"/>
      <c r="K1775" s="71"/>
      <c r="L1775" s="72"/>
      <c r="M1775" s="71"/>
      <c r="N1775" s="216">
        <f>SUM(N1772:N1773)</f>
        <v>5.95</v>
      </c>
      <c r="O1775" s="72">
        <f>SUM(O1772:O1773)</f>
        <v>5.73</v>
      </c>
      <c r="P1775" s="72"/>
    </row>
    <row r="1776" spans="1:16">
      <c r="A1776" s="306"/>
      <c r="B1776" s="289"/>
      <c r="C1776" s="307"/>
      <c r="D1776" s="148" t="s">
        <v>415</v>
      </c>
      <c r="G1776" t="s">
        <v>664</v>
      </c>
      <c r="H1776" s="107">
        <v>44196</v>
      </c>
      <c r="I1776"/>
      <c r="K1776" s="71"/>
      <c r="L1776" s="72"/>
      <c r="M1776" s="71"/>
      <c r="N1776" s="216"/>
      <c r="O1776" s="71"/>
      <c r="P1776" s="72"/>
    </row>
    <row r="1777" spans="1:16">
      <c r="A1777" s="306"/>
      <c r="B1777" s="289"/>
      <c r="C1777" s="307"/>
      <c r="D1777" s="148" t="s">
        <v>417</v>
      </c>
      <c r="G1777" t="s">
        <v>669</v>
      </c>
      <c r="H1777" s="107">
        <v>44196</v>
      </c>
      <c r="I1777"/>
      <c r="K1777" s="71"/>
      <c r="L1777" s="72"/>
      <c r="M1777" s="71"/>
      <c r="N1777" s="216">
        <v>12412</v>
      </c>
      <c r="O1777" s="71">
        <v>10706</v>
      </c>
      <c r="P1777" s="72"/>
    </row>
    <row r="1778" spans="1:16">
      <c r="A1778" s="306"/>
      <c r="B1778" s="289"/>
      <c r="C1778" s="307"/>
      <c r="D1778" s="150" t="s">
        <v>418</v>
      </c>
      <c r="H1778" s="107">
        <v>44196</v>
      </c>
      <c r="I1778"/>
      <c r="K1778" s="71"/>
      <c r="L1778" s="72"/>
      <c r="M1778" s="71"/>
      <c r="N1778" s="216"/>
      <c r="O1778" s="71" t="s">
        <v>798</v>
      </c>
      <c r="P1778" s="72"/>
    </row>
    <row r="1779" spans="1:16">
      <c r="A1779" s="306"/>
      <c r="B1779" s="289"/>
      <c r="C1779" s="307"/>
      <c r="D1779" s="66"/>
      <c r="H1779" s="65"/>
      <c r="I1779" s="65"/>
      <c r="K1779" s="71"/>
      <c r="L1779" s="72"/>
      <c r="M1779" s="71"/>
      <c r="N1779" s="216"/>
      <c r="O1779" s="71"/>
      <c r="P1779" s="72"/>
    </row>
    <row r="1780" spans="1:16">
      <c r="A1780" s="316"/>
      <c r="B1780" s="293"/>
      <c r="C1780" s="318"/>
      <c r="D1780" s="66"/>
      <c r="H1780" s="107"/>
      <c r="I1780" s="65"/>
      <c r="K1780" s="71"/>
      <c r="L1780" s="72"/>
      <c r="M1780" s="71"/>
      <c r="N1780" s="216"/>
      <c r="O1780" s="71"/>
      <c r="P1780" s="72"/>
    </row>
    <row r="1781" spans="1:16">
      <c r="A1781" s="306" t="s">
        <v>892</v>
      </c>
      <c r="B1781" s="292">
        <v>0</v>
      </c>
      <c r="C1781" s="307" t="s">
        <v>893</v>
      </c>
      <c r="D1781" s="147" t="s">
        <v>411</v>
      </c>
      <c r="G1781" t="s">
        <v>664</v>
      </c>
      <c r="H1781" s="107">
        <v>43830</v>
      </c>
      <c r="I1781"/>
      <c r="K1781" s="71"/>
      <c r="L1781" s="72"/>
      <c r="M1781" s="71">
        <v>1.26</v>
      </c>
      <c r="N1781" s="216">
        <v>1.29</v>
      </c>
      <c r="O1781" s="71"/>
      <c r="P1781" s="72"/>
    </row>
    <row r="1782" spans="1:16">
      <c r="A1782" s="306"/>
      <c r="B1782" s="289"/>
      <c r="C1782" s="307"/>
      <c r="D1782" s="148" t="s">
        <v>412</v>
      </c>
      <c r="E1782" t="s">
        <v>413</v>
      </c>
      <c r="G1782" t="s">
        <v>664</v>
      </c>
      <c r="H1782" s="107">
        <v>43830</v>
      </c>
      <c r="I1782"/>
      <c r="K1782" s="71"/>
      <c r="L1782" s="72"/>
      <c r="M1782" s="71">
        <v>5.27</v>
      </c>
      <c r="N1782" s="216">
        <v>4.66</v>
      </c>
      <c r="O1782" s="71"/>
      <c r="P1782" s="72"/>
    </row>
    <row r="1783" spans="1:16">
      <c r="A1783" s="306"/>
      <c r="B1783" s="289"/>
      <c r="C1783" s="307"/>
      <c r="D1783" s="148" t="s">
        <v>412</v>
      </c>
      <c r="E1783" t="s">
        <v>420</v>
      </c>
      <c r="G1783" t="s">
        <v>664</v>
      </c>
      <c r="H1783" s="107">
        <v>43830</v>
      </c>
      <c r="I1783"/>
      <c r="K1783" s="71"/>
      <c r="L1783" s="72"/>
      <c r="M1783" s="71">
        <v>5.32</v>
      </c>
      <c r="N1783" s="216">
        <v>4.62</v>
      </c>
      <c r="O1783" s="71"/>
      <c r="P1783" s="72"/>
    </row>
    <row r="1784" spans="1:16">
      <c r="A1784" s="306"/>
      <c r="B1784" s="289"/>
      <c r="C1784" s="307"/>
      <c r="D1784" s="148" t="s">
        <v>414</v>
      </c>
      <c r="G1784" t="s">
        <v>664</v>
      </c>
      <c r="H1784" s="107">
        <v>43830</v>
      </c>
      <c r="I1784"/>
      <c r="K1784" s="71"/>
      <c r="L1784" s="72"/>
      <c r="M1784" s="72">
        <f>SUM(M1781:M1782)</f>
        <v>6.5299999999999994</v>
      </c>
      <c r="N1784" s="216">
        <f>SUM(N1781:N1782)</f>
        <v>5.95</v>
      </c>
      <c r="O1784" s="71"/>
      <c r="P1784" s="72"/>
    </row>
    <row r="1785" spans="1:16">
      <c r="A1785" s="306"/>
      <c r="B1785" s="289"/>
      <c r="C1785" s="307"/>
      <c r="D1785" s="148" t="s">
        <v>415</v>
      </c>
      <c r="G1785" t="s">
        <v>664</v>
      </c>
      <c r="H1785" s="107">
        <v>43830</v>
      </c>
      <c r="I1785"/>
      <c r="K1785" s="71"/>
      <c r="L1785" s="72"/>
      <c r="M1785" s="71"/>
      <c r="N1785" s="216"/>
      <c r="O1785" s="71"/>
      <c r="P1785" s="72"/>
    </row>
    <row r="1786" spans="1:16">
      <c r="A1786" s="306"/>
      <c r="B1786" s="289"/>
      <c r="C1786" s="307"/>
      <c r="D1786" s="148" t="s">
        <v>417</v>
      </c>
      <c r="G1786" t="s">
        <v>669</v>
      </c>
      <c r="H1786" s="107">
        <v>43830</v>
      </c>
      <c r="I1786"/>
      <c r="K1786" s="71"/>
      <c r="L1786" s="72"/>
      <c r="M1786" s="71">
        <v>14616</v>
      </c>
      <c r="N1786" s="216">
        <v>12412</v>
      </c>
      <c r="O1786" s="71"/>
      <c r="P1786" s="72"/>
    </row>
    <row r="1787" spans="1:16">
      <c r="A1787" s="306"/>
      <c r="B1787" s="289"/>
      <c r="C1787" s="307"/>
      <c r="D1787" s="150" t="s">
        <v>418</v>
      </c>
      <c r="H1787" s="107">
        <v>43830</v>
      </c>
      <c r="I1787"/>
      <c r="K1787" s="71"/>
      <c r="L1787" s="72"/>
      <c r="M1787" s="71"/>
      <c r="N1787" s="216" t="s">
        <v>799</v>
      </c>
      <c r="O1787" s="71"/>
      <c r="P1787" s="72"/>
    </row>
    <row r="1788" spans="1:16">
      <c r="A1788" s="306"/>
      <c r="B1788" s="289"/>
      <c r="C1788" s="307"/>
      <c r="D1788" s="66"/>
      <c r="H1788" s="65"/>
      <c r="I1788" s="65"/>
      <c r="K1788" s="71"/>
      <c r="L1788" s="72"/>
      <c r="M1788" s="71"/>
      <c r="N1788" s="216"/>
      <c r="O1788" s="71"/>
      <c r="P1788" s="72"/>
    </row>
    <row r="1789" spans="1:16">
      <c r="A1789" s="316"/>
      <c r="B1789" s="293"/>
      <c r="C1789" s="318"/>
      <c r="D1789" s="66"/>
      <c r="H1789" s="107"/>
      <c r="I1789" s="65"/>
      <c r="K1789" s="71"/>
      <c r="L1789" s="72"/>
      <c r="M1789" s="71"/>
      <c r="N1789" s="216"/>
      <c r="O1789" s="71"/>
      <c r="P1789" s="72"/>
    </row>
    <row r="1790" spans="1:16">
      <c r="A1790" s="306" t="s">
        <v>892</v>
      </c>
      <c r="B1790" s="292">
        <v>0</v>
      </c>
      <c r="C1790" s="307" t="s">
        <v>893</v>
      </c>
      <c r="D1790" s="147" t="s">
        <v>411</v>
      </c>
      <c r="G1790" t="s">
        <v>664</v>
      </c>
      <c r="H1790" s="107">
        <v>43465</v>
      </c>
      <c r="I1790"/>
      <c r="K1790" s="71"/>
      <c r="L1790" s="72">
        <v>1.24</v>
      </c>
      <c r="M1790" s="71">
        <v>1.26</v>
      </c>
      <c r="N1790" s="216"/>
      <c r="O1790" s="71"/>
      <c r="P1790" s="72"/>
    </row>
    <row r="1791" spans="1:16">
      <c r="A1791" s="306"/>
      <c r="B1791" s="289"/>
      <c r="C1791" s="307"/>
      <c r="D1791" s="148" t="s">
        <v>412</v>
      </c>
      <c r="E1791" t="s">
        <v>413</v>
      </c>
      <c r="G1791" t="s">
        <v>664</v>
      </c>
      <c r="H1791" s="107">
        <v>43465</v>
      </c>
      <c r="I1791"/>
      <c r="K1791" s="71"/>
      <c r="L1791" s="72">
        <v>5.03</v>
      </c>
      <c r="M1791" s="71">
        <v>5.27</v>
      </c>
      <c r="N1791" s="216"/>
      <c r="O1791" s="71"/>
      <c r="P1791" s="72"/>
    </row>
    <row r="1792" spans="1:16">
      <c r="A1792" s="306"/>
      <c r="B1792" s="289"/>
      <c r="C1792" s="307"/>
      <c r="D1792" s="148" t="s">
        <v>412</v>
      </c>
      <c r="E1792" t="s">
        <v>420</v>
      </c>
      <c r="G1792" t="s">
        <v>664</v>
      </c>
      <c r="H1792" s="107">
        <v>43465</v>
      </c>
      <c r="I1792"/>
      <c r="K1792" s="71"/>
      <c r="L1792" s="72">
        <v>4.9800000000000004</v>
      </c>
      <c r="M1792" s="71">
        <v>5.32</v>
      </c>
      <c r="N1792" s="216"/>
      <c r="O1792" s="71"/>
      <c r="P1792" s="72"/>
    </row>
    <row r="1793" spans="1:16">
      <c r="A1793" s="306"/>
      <c r="B1793" s="289"/>
      <c r="C1793" s="307"/>
      <c r="D1793" s="148" t="s">
        <v>414</v>
      </c>
      <c r="G1793" t="s">
        <v>664</v>
      </c>
      <c r="H1793" s="107">
        <v>43465</v>
      </c>
      <c r="I1793"/>
      <c r="K1793" s="71"/>
      <c r="L1793" s="72">
        <f>SUM(L1790:L1791)</f>
        <v>6.2700000000000005</v>
      </c>
      <c r="M1793" s="72">
        <f>SUM(M1790:M1791)</f>
        <v>6.5299999999999994</v>
      </c>
      <c r="N1793" s="216"/>
      <c r="O1793" s="71"/>
      <c r="P1793" s="72"/>
    </row>
    <row r="1794" spans="1:16">
      <c r="A1794" s="306"/>
      <c r="B1794" s="289"/>
      <c r="C1794" s="307"/>
      <c r="D1794" s="148" t="s">
        <v>417</v>
      </c>
      <c r="G1794" t="s">
        <v>669</v>
      </c>
      <c r="H1794" s="107">
        <v>43465</v>
      </c>
      <c r="I1794"/>
      <c r="K1794" s="71"/>
      <c r="L1794" s="72">
        <v>14138</v>
      </c>
      <c r="M1794" s="71">
        <v>14616</v>
      </c>
      <c r="N1794" s="216"/>
      <c r="O1794" s="71"/>
      <c r="P1794" s="72"/>
    </row>
    <row r="1795" spans="1:16">
      <c r="A1795" s="306"/>
      <c r="B1795" s="289"/>
      <c r="C1795" s="307"/>
      <c r="D1795" s="150" t="s">
        <v>418</v>
      </c>
      <c r="H1795" s="107">
        <v>43465</v>
      </c>
      <c r="I1795"/>
      <c r="K1795" s="71"/>
      <c r="L1795" s="72"/>
      <c r="M1795" s="71" t="s">
        <v>800</v>
      </c>
      <c r="N1795" s="216"/>
      <c r="O1795" s="71"/>
      <c r="P1795" s="72"/>
    </row>
    <row r="1796" spans="1:16">
      <c r="A1796" s="306"/>
      <c r="B1796" s="289"/>
      <c r="C1796" s="307"/>
      <c r="D1796" s="66"/>
      <c r="H1796" s="65"/>
      <c r="I1796" s="65"/>
      <c r="K1796" s="71"/>
      <c r="L1796" s="72"/>
      <c r="M1796" s="71"/>
      <c r="N1796" s="216"/>
      <c r="O1796" s="71"/>
      <c r="P1796" s="72"/>
    </row>
    <row r="1797" spans="1:16">
      <c r="A1797" s="316"/>
      <c r="B1797" s="293"/>
      <c r="C1797" s="318"/>
      <c r="D1797" s="66"/>
      <c r="H1797" s="107"/>
      <c r="I1797" s="65"/>
      <c r="K1797" s="71"/>
      <c r="L1797" s="72"/>
      <c r="M1797" s="71"/>
      <c r="N1797" s="216"/>
      <c r="O1797" s="71"/>
      <c r="P1797" s="72"/>
    </row>
    <row r="1798" spans="1:16">
      <c r="A1798" s="306" t="s">
        <v>892</v>
      </c>
      <c r="B1798" s="292">
        <v>0</v>
      </c>
      <c r="C1798" s="307" t="s">
        <v>893</v>
      </c>
      <c r="D1798" s="147" t="s">
        <v>411</v>
      </c>
      <c r="G1798" t="s">
        <v>664</v>
      </c>
      <c r="H1798" s="107">
        <v>43100</v>
      </c>
      <c r="I1798"/>
      <c r="K1798" s="71">
        <v>2.33</v>
      </c>
      <c r="L1798" s="72">
        <v>1.24</v>
      </c>
      <c r="M1798" s="71"/>
      <c r="N1798" s="216"/>
      <c r="O1798" s="71"/>
      <c r="P1798" s="72"/>
    </row>
    <row r="1799" spans="1:16">
      <c r="A1799" s="306"/>
      <c r="B1799" s="289"/>
      <c r="C1799" s="307"/>
      <c r="D1799" s="148" t="s">
        <v>412</v>
      </c>
      <c r="E1799" t="s">
        <v>413</v>
      </c>
      <c r="G1799" t="s">
        <v>664</v>
      </c>
      <c r="H1799" s="107">
        <v>43100</v>
      </c>
      <c r="I1799"/>
      <c r="K1799" s="71">
        <v>4.66</v>
      </c>
      <c r="L1799" s="72">
        <v>5.03</v>
      </c>
      <c r="M1799" s="71"/>
      <c r="N1799" s="216"/>
      <c r="O1799" s="71"/>
      <c r="P1799" s="72"/>
    </row>
    <row r="1800" spans="1:16">
      <c r="A1800" s="306"/>
      <c r="B1800" s="289"/>
      <c r="C1800" s="307"/>
      <c r="D1800" s="148" t="s">
        <v>412</v>
      </c>
      <c r="E1800" t="s">
        <v>420</v>
      </c>
      <c r="G1800" t="s">
        <v>664</v>
      </c>
      <c r="H1800" s="107">
        <v>43100</v>
      </c>
      <c r="I1800"/>
      <c r="K1800" s="71">
        <v>5.07</v>
      </c>
      <c r="L1800" s="72">
        <v>4.9800000000000004</v>
      </c>
      <c r="M1800" s="71"/>
      <c r="N1800" s="216"/>
      <c r="O1800" s="71"/>
      <c r="P1800" s="72"/>
    </row>
    <row r="1801" spans="1:16">
      <c r="A1801" s="306"/>
      <c r="B1801" s="289"/>
      <c r="C1801" s="307"/>
      <c r="D1801" s="148" t="s">
        <v>414</v>
      </c>
      <c r="G1801" t="s">
        <v>664</v>
      </c>
      <c r="H1801" s="107">
        <v>43100</v>
      </c>
      <c r="I1801"/>
      <c r="K1801" s="72">
        <f>SUM(K1798:K1799)</f>
        <v>6.99</v>
      </c>
      <c r="L1801" s="72">
        <f>SUM(L1798:L1799)</f>
        <v>6.2700000000000005</v>
      </c>
      <c r="M1801" s="71"/>
      <c r="N1801" s="216"/>
      <c r="O1801" s="71"/>
      <c r="P1801" s="72"/>
    </row>
    <row r="1802" spans="1:16">
      <c r="A1802" s="306"/>
      <c r="B1802" s="289"/>
      <c r="C1802" s="307"/>
      <c r="D1802" s="148" t="s">
        <v>415</v>
      </c>
      <c r="G1802" t="s">
        <v>664</v>
      </c>
      <c r="H1802" s="107">
        <v>43100</v>
      </c>
      <c r="I1802"/>
      <c r="K1802" s="71"/>
      <c r="L1802" s="72"/>
      <c r="M1802" s="71"/>
      <c r="N1802" s="216"/>
      <c r="O1802" s="71"/>
      <c r="P1802" s="72"/>
    </row>
    <row r="1803" spans="1:16">
      <c r="A1803" s="306"/>
      <c r="B1803" s="289"/>
      <c r="C1803" s="307"/>
      <c r="D1803" s="148" t="s">
        <v>417</v>
      </c>
      <c r="G1803" t="s">
        <v>669</v>
      </c>
      <c r="H1803" s="107">
        <v>43100</v>
      </c>
      <c r="I1803"/>
      <c r="K1803" s="71">
        <v>11904</v>
      </c>
      <c r="L1803" s="72">
        <v>14138</v>
      </c>
      <c r="M1803" s="71"/>
      <c r="N1803" s="216"/>
      <c r="O1803" s="71"/>
      <c r="P1803" s="72"/>
    </row>
    <row r="1804" spans="1:16">
      <c r="A1804" s="306"/>
      <c r="B1804" s="289"/>
      <c r="C1804" s="307"/>
      <c r="D1804" s="150" t="s">
        <v>418</v>
      </c>
      <c r="H1804" s="107">
        <v>43100</v>
      </c>
      <c r="I1804"/>
      <c r="K1804" s="71"/>
      <c r="L1804" s="72" t="s">
        <v>801</v>
      </c>
      <c r="M1804" s="71"/>
      <c r="N1804" s="216"/>
      <c r="O1804" s="71"/>
      <c r="P1804" s="72"/>
    </row>
    <row r="1805" spans="1:16">
      <c r="A1805" s="306"/>
      <c r="B1805" s="289"/>
      <c r="C1805" s="307"/>
      <c r="D1805" s="66"/>
      <c r="H1805" s="65"/>
      <c r="I1805" s="65"/>
      <c r="K1805" s="71"/>
      <c r="L1805" s="72"/>
      <c r="M1805" s="71"/>
      <c r="N1805" s="216"/>
      <c r="O1805" s="71"/>
      <c r="P1805" s="72"/>
    </row>
    <row r="1806" spans="1:16">
      <c r="A1806" s="316"/>
      <c r="B1806" s="293"/>
      <c r="C1806" s="318"/>
      <c r="D1806" s="66"/>
      <c r="H1806" s="107"/>
      <c r="I1806" s="65"/>
      <c r="K1806" s="71"/>
      <c r="L1806" s="72"/>
      <c r="M1806" s="71"/>
      <c r="N1806" s="216"/>
      <c r="O1806" s="71"/>
      <c r="P1806" s="72"/>
    </row>
    <row r="1807" spans="1:16">
      <c r="A1807" s="291" t="s">
        <v>894</v>
      </c>
      <c r="B1807" s="292">
        <v>0</v>
      </c>
      <c r="C1807" s="292" t="s">
        <v>895</v>
      </c>
      <c r="D1807" s="147" t="s">
        <v>411</v>
      </c>
      <c r="E1807" s="149"/>
      <c r="F1807" s="149"/>
      <c r="G1807" t="s">
        <v>428</v>
      </c>
      <c r="H1807" s="107">
        <v>44561</v>
      </c>
      <c r="I1807" s="124"/>
      <c r="K1807" s="71"/>
      <c r="L1807" s="72"/>
      <c r="M1807" s="71"/>
      <c r="N1807" s="216">
        <f>(O1807+P1807)/2</f>
        <v>217</v>
      </c>
      <c r="O1807" s="71">
        <v>208</v>
      </c>
      <c r="P1807" s="72">
        <v>226</v>
      </c>
    </row>
    <row r="1808" spans="1:16">
      <c r="A1808" s="286"/>
      <c r="B1808" s="289"/>
      <c r="C1808" s="289"/>
      <c r="D1808" s="148" t="s">
        <v>412</v>
      </c>
      <c r="E1808" s="149"/>
      <c r="F1808" s="149"/>
      <c r="G1808" t="s">
        <v>428</v>
      </c>
      <c r="H1808" s="107">
        <v>44561</v>
      </c>
      <c r="I1808" s="124"/>
      <c r="K1808" s="71"/>
      <c r="L1808" s="72"/>
      <c r="M1808" s="71"/>
      <c r="N1808" s="216">
        <f>(O1808+P1808)/2</f>
        <v>27</v>
      </c>
      <c r="O1808" s="71">
        <v>25</v>
      </c>
      <c r="P1808" s="72">
        <v>29</v>
      </c>
    </row>
    <row r="1809" spans="1:16">
      <c r="A1809" s="286"/>
      <c r="B1809" s="289"/>
      <c r="C1809" s="289"/>
      <c r="D1809" s="148" t="s">
        <v>414</v>
      </c>
      <c r="E1809" s="149"/>
      <c r="F1809" s="149"/>
      <c r="G1809" t="s">
        <v>428</v>
      </c>
      <c r="H1809" s="107">
        <v>44561</v>
      </c>
      <c r="I1809" s="124"/>
      <c r="K1809" s="71"/>
      <c r="L1809" s="72"/>
      <c r="M1809" s="71"/>
      <c r="N1809" s="216">
        <f>(O1809+P1809)/2</f>
        <v>244</v>
      </c>
      <c r="O1809" s="71">
        <f t="shared" ref="O1809" si="87">SUM(O1807:O1808)</f>
        <v>233</v>
      </c>
      <c r="P1809" s="72">
        <f>SUM(P1807:P1808)</f>
        <v>255</v>
      </c>
    </row>
    <row r="1810" spans="1:16">
      <c r="A1810" s="286"/>
      <c r="B1810" s="289"/>
      <c r="C1810" s="289"/>
      <c r="D1810" s="148" t="s">
        <v>415</v>
      </c>
      <c r="E1810" s="149"/>
      <c r="F1810" s="149"/>
      <c r="G1810" t="s">
        <v>428</v>
      </c>
      <c r="H1810" s="107">
        <v>44561</v>
      </c>
      <c r="I1810" s="124"/>
      <c r="K1810" s="71"/>
      <c r="L1810" s="72"/>
      <c r="M1810" s="71"/>
      <c r="N1810" s="216"/>
      <c r="O1810" s="71"/>
      <c r="P1810" s="72">
        <v>671</v>
      </c>
    </row>
    <row r="1811" spans="1:16">
      <c r="A1811" s="286"/>
      <c r="B1811" s="289"/>
      <c r="C1811" s="289"/>
      <c r="D1811" s="148" t="s">
        <v>417</v>
      </c>
      <c r="E1811" s="134" t="s">
        <v>661</v>
      </c>
      <c r="F1811" s="134"/>
      <c r="G1811" t="s">
        <v>802</v>
      </c>
      <c r="H1811" s="107"/>
      <c r="I1811" s="65"/>
      <c r="K1811" s="71"/>
      <c r="L1811" s="72"/>
      <c r="M1811" s="71">
        <v>455300</v>
      </c>
      <c r="N1811" s="216">
        <v>484300</v>
      </c>
      <c r="O1811" s="71">
        <v>367365</v>
      </c>
      <c r="P1811" s="72">
        <v>560827</v>
      </c>
    </row>
    <row r="1812" spans="1:16">
      <c r="A1812" s="286"/>
      <c r="B1812" s="289"/>
      <c r="C1812" s="289"/>
      <c r="D1812" s="150" t="s">
        <v>418</v>
      </c>
      <c r="H1812" s="107"/>
      <c r="I1812" s="65"/>
      <c r="K1812" s="71"/>
      <c r="L1812" s="72"/>
      <c r="M1812" s="71"/>
      <c r="N1812" s="216"/>
      <c r="O1812" s="71"/>
      <c r="P1812" s="72"/>
    </row>
    <row r="1813" spans="1:16">
      <c r="A1813" s="286"/>
      <c r="B1813" s="289"/>
      <c r="C1813" s="289"/>
      <c r="D1813" s="148"/>
      <c r="H1813" s="107"/>
      <c r="I1813" s="65"/>
      <c r="K1813" s="71"/>
      <c r="L1813" s="72"/>
      <c r="M1813" s="71"/>
      <c r="N1813" s="216"/>
      <c r="O1813" s="71"/>
      <c r="P1813" s="72"/>
    </row>
    <row r="1814" spans="1:16">
      <c r="A1814" s="294"/>
      <c r="B1814" s="293"/>
      <c r="C1814" s="293"/>
      <c r="D1814" s="148"/>
      <c r="H1814" s="107"/>
      <c r="I1814" s="65"/>
      <c r="K1814" s="71"/>
      <c r="L1814" s="72"/>
      <c r="M1814" s="71"/>
      <c r="N1814" s="216"/>
      <c r="O1814" s="71"/>
      <c r="P1814" s="72"/>
    </row>
    <row r="1815" spans="1:16">
      <c r="A1815" s="306" t="s">
        <v>896</v>
      </c>
      <c r="B1815" s="292">
        <v>0</v>
      </c>
      <c r="C1815" s="307" t="s">
        <v>897</v>
      </c>
      <c r="D1815" s="147" t="s">
        <v>411</v>
      </c>
      <c r="G1815" t="s">
        <v>428</v>
      </c>
      <c r="H1815" s="107">
        <v>44561</v>
      </c>
      <c r="I1815" s="124"/>
      <c r="K1815" s="71"/>
      <c r="L1815" s="72"/>
      <c r="M1815" s="71"/>
      <c r="N1815" s="216">
        <v>141616</v>
      </c>
      <c r="O1815" s="84">
        <v>130945</v>
      </c>
      <c r="P1815" s="72">
        <v>153285</v>
      </c>
    </row>
    <row r="1816" spans="1:16">
      <c r="A1816" s="306"/>
      <c r="B1816" s="289"/>
      <c r="C1816" s="307"/>
      <c r="D1816" s="147" t="s">
        <v>411</v>
      </c>
      <c r="F1816" t="s">
        <v>1203</v>
      </c>
      <c r="G1816" t="s">
        <v>428</v>
      </c>
      <c r="H1816" s="107">
        <v>44561</v>
      </c>
      <c r="I1816" s="124"/>
      <c r="K1816" s="71"/>
      <c r="L1816" s="72"/>
      <c r="M1816" s="71"/>
      <c r="N1816" s="216">
        <v>131683</v>
      </c>
      <c r="O1816" s="109">
        <v>139657</v>
      </c>
      <c r="P1816" s="109">
        <v>150748</v>
      </c>
    </row>
    <row r="1817" spans="1:16">
      <c r="A1817" s="306"/>
      <c r="B1817" s="289"/>
      <c r="C1817" s="307"/>
      <c r="D1817" s="148" t="s">
        <v>412</v>
      </c>
      <c r="E1817" t="s">
        <v>728</v>
      </c>
      <c r="G1817" t="s">
        <v>428</v>
      </c>
      <c r="H1817" s="107">
        <v>44561</v>
      </c>
      <c r="I1817" s="124"/>
      <c r="K1817" s="71"/>
      <c r="L1817" s="72"/>
      <c r="M1817" s="71"/>
      <c r="N1817" s="216">
        <v>62126</v>
      </c>
      <c r="O1817" s="84">
        <v>65414</v>
      </c>
      <c r="P1817" s="72">
        <v>64818</v>
      </c>
    </row>
    <row r="1818" spans="1:16">
      <c r="A1818" s="306"/>
      <c r="B1818" s="289"/>
      <c r="C1818" s="307"/>
      <c r="D1818" s="148" t="s">
        <v>412</v>
      </c>
      <c r="F1818" t="s">
        <v>1203</v>
      </c>
      <c r="G1818" t="s">
        <v>428</v>
      </c>
      <c r="H1818" s="107">
        <v>44561</v>
      </c>
      <c r="I1818" s="124"/>
      <c r="K1818" s="71"/>
      <c r="L1818" s="72"/>
      <c r="M1818" s="71"/>
      <c r="N1818" s="216">
        <v>74600</v>
      </c>
      <c r="O1818" s="71">
        <v>72159</v>
      </c>
      <c r="P1818" s="72">
        <v>70214</v>
      </c>
    </row>
    <row r="1819" spans="1:16">
      <c r="A1819" s="306"/>
      <c r="B1819" s="289"/>
      <c r="C1819" s="307"/>
      <c r="D1819" s="148" t="s">
        <v>415</v>
      </c>
      <c r="E1819" t="s">
        <v>653</v>
      </c>
      <c r="G1819" t="s">
        <v>428</v>
      </c>
      <c r="H1819" s="107">
        <v>44561</v>
      </c>
      <c r="I1819" s="124"/>
      <c r="K1819" s="71"/>
      <c r="L1819" s="72"/>
      <c r="M1819" s="71"/>
      <c r="N1819" s="216"/>
      <c r="O1819" s="71"/>
      <c r="P1819" s="72">
        <v>135429</v>
      </c>
    </row>
    <row r="1820" spans="1:16">
      <c r="A1820" s="306"/>
      <c r="B1820" s="289"/>
      <c r="C1820" s="307"/>
      <c r="D1820" s="148" t="s">
        <v>415</v>
      </c>
      <c r="E1820" t="s">
        <v>654</v>
      </c>
      <c r="G1820" t="s">
        <v>428</v>
      </c>
      <c r="H1820" s="107">
        <v>44561</v>
      </c>
      <c r="I1820" s="124"/>
      <c r="K1820" s="71"/>
      <c r="L1820" s="72"/>
      <c r="M1820" s="71"/>
      <c r="N1820" s="216"/>
      <c r="O1820" s="71"/>
      <c r="P1820" s="72">
        <v>1928</v>
      </c>
    </row>
    <row r="1821" spans="1:16">
      <c r="A1821" s="306"/>
      <c r="B1821" s="289"/>
      <c r="C1821" s="307"/>
      <c r="D1821" s="148" t="s">
        <v>415</v>
      </c>
      <c r="E1821" t="s">
        <v>790</v>
      </c>
      <c r="G1821" t="s">
        <v>428</v>
      </c>
      <c r="H1821" s="107">
        <v>44561</v>
      </c>
      <c r="I1821" s="124"/>
      <c r="K1821" s="71"/>
      <c r="L1821" s="72"/>
      <c r="M1821" s="71"/>
      <c r="N1821" s="216"/>
      <c r="O1821" s="71"/>
      <c r="P1821" s="72">
        <v>9750</v>
      </c>
    </row>
    <row r="1822" spans="1:16">
      <c r="A1822" s="306"/>
      <c r="B1822" s="289"/>
      <c r="C1822" s="307"/>
      <c r="D1822" s="148" t="s">
        <v>415</v>
      </c>
      <c r="E1822" t="s">
        <v>791</v>
      </c>
      <c r="G1822" t="s">
        <v>428</v>
      </c>
      <c r="H1822" s="107">
        <v>44561</v>
      </c>
      <c r="I1822" s="124"/>
      <c r="K1822" s="71"/>
      <c r="L1822" s="72"/>
      <c r="M1822" s="71"/>
      <c r="N1822" s="216"/>
      <c r="O1822" s="71"/>
      <c r="P1822" s="72">
        <v>10533</v>
      </c>
    </row>
    <row r="1823" spans="1:16">
      <c r="A1823" s="306"/>
      <c r="B1823" s="289"/>
      <c r="C1823" s="307"/>
      <c r="D1823" s="148" t="s">
        <v>415</v>
      </c>
      <c r="E1823" t="s">
        <v>685</v>
      </c>
      <c r="G1823" t="s">
        <v>428</v>
      </c>
      <c r="H1823" s="107">
        <v>44561</v>
      </c>
      <c r="I1823" s="124"/>
      <c r="K1823" s="71"/>
      <c r="L1823" s="72"/>
      <c r="M1823" s="71"/>
      <c r="N1823" s="216"/>
      <c r="O1823" s="71"/>
      <c r="P1823" s="72">
        <v>1937</v>
      </c>
    </row>
    <row r="1824" spans="1:16">
      <c r="A1824" s="306"/>
      <c r="B1824" s="289"/>
      <c r="C1824" s="307"/>
      <c r="D1824" s="148" t="s">
        <v>415</v>
      </c>
      <c r="E1824" t="s">
        <v>656</v>
      </c>
      <c r="G1824" t="s">
        <v>428</v>
      </c>
      <c r="H1824" s="107">
        <v>44561</v>
      </c>
      <c r="I1824" s="124"/>
      <c r="K1824" s="71"/>
      <c r="L1824" s="72"/>
      <c r="M1824" s="71"/>
      <c r="N1824" s="216"/>
      <c r="O1824" s="71"/>
      <c r="P1824" s="72">
        <v>136</v>
      </c>
    </row>
    <row r="1825" spans="1:16">
      <c r="A1825" s="306"/>
      <c r="B1825" s="289"/>
      <c r="C1825" s="307"/>
      <c r="D1825" s="148" t="s">
        <v>415</v>
      </c>
      <c r="E1825" t="s">
        <v>657</v>
      </c>
      <c r="G1825" t="s">
        <v>428</v>
      </c>
      <c r="H1825" s="107">
        <v>44561</v>
      </c>
      <c r="I1825" s="124"/>
      <c r="K1825" s="71"/>
      <c r="L1825" s="72"/>
      <c r="M1825" s="71"/>
      <c r="N1825" s="216"/>
      <c r="O1825" s="71"/>
      <c r="P1825" s="72">
        <v>1165</v>
      </c>
    </row>
    <row r="1826" spans="1:16">
      <c r="A1826" s="306"/>
      <c r="B1826" s="289"/>
      <c r="C1826" s="307"/>
      <c r="D1826" s="148" t="s">
        <v>415</v>
      </c>
      <c r="E1826" t="s">
        <v>738</v>
      </c>
      <c r="G1826" t="s">
        <v>428</v>
      </c>
      <c r="H1826" s="107">
        <v>44561</v>
      </c>
      <c r="I1826" s="124"/>
      <c r="K1826" s="71"/>
      <c r="L1826" s="72"/>
      <c r="M1826" s="71"/>
      <c r="N1826" s="216"/>
      <c r="O1826" s="71"/>
      <c r="P1826" s="72"/>
    </row>
    <row r="1827" spans="1:16">
      <c r="A1827" s="306"/>
      <c r="B1827" s="289"/>
      <c r="C1827" s="307"/>
      <c r="D1827" s="148" t="s">
        <v>415</v>
      </c>
      <c r="E1827" t="s">
        <v>739</v>
      </c>
      <c r="G1827" t="s">
        <v>428</v>
      </c>
      <c r="H1827" s="107">
        <v>44561</v>
      </c>
      <c r="I1827" s="124"/>
      <c r="K1827" s="71"/>
      <c r="L1827" s="72"/>
      <c r="M1827" s="71"/>
      <c r="N1827" s="216"/>
      <c r="O1827" s="71"/>
      <c r="P1827" s="72">
        <v>126369</v>
      </c>
    </row>
    <row r="1828" spans="1:16">
      <c r="A1828" s="306"/>
      <c r="B1828" s="289"/>
      <c r="C1828" s="307"/>
      <c r="D1828" s="148" t="s">
        <v>415</v>
      </c>
      <c r="E1828" t="s">
        <v>740</v>
      </c>
      <c r="G1828" t="s">
        <v>428</v>
      </c>
      <c r="H1828" s="107">
        <v>44561</v>
      </c>
      <c r="I1828" s="124"/>
      <c r="K1828" s="71"/>
      <c r="L1828" s="72"/>
      <c r="M1828" s="71"/>
      <c r="N1828" s="216"/>
      <c r="O1828" s="71"/>
      <c r="P1828" s="72">
        <v>69598</v>
      </c>
    </row>
    <row r="1829" spans="1:16">
      <c r="A1829" s="306"/>
      <c r="B1829" s="289"/>
      <c r="C1829" s="307"/>
      <c r="D1829" s="148" t="s">
        <v>415</v>
      </c>
      <c r="E1829" t="s">
        <v>658</v>
      </c>
      <c r="G1829" t="s">
        <v>428</v>
      </c>
      <c r="H1829" s="107">
        <v>44561</v>
      </c>
      <c r="I1829" s="124"/>
      <c r="K1829" s="71"/>
      <c r="L1829" s="72"/>
      <c r="M1829" s="71"/>
      <c r="N1829" s="216"/>
      <c r="O1829" s="71"/>
      <c r="P1829" s="72">
        <v>0</v>
      </c>
    </row>
    <row r="1830" spans="1:16">
      <c r="A1830" s="306"/>
      <c r="B1830" s="289"/>
      <c r="C1830" s="307"/>
      <c r="D1830" s="148" t="s">
        <v>415</v>
      </c>
      <c r="E1830" t="s">
        <v>741</v>
      </c>
      <c r="G1830" t="s">
        <v>428</v>
      </c>
      <c r="H1830" s="107">
        <v>44561</v>
      </c>
      <c r="I1830" s="124"/>
      <c r="K1830" s="71"/>
      <c r="L1830" s="72"/>
      <c r="M1830" s="71"/>
      <c r="N1830" s="216"/>
      <c r="O1830" s="71"/>
      <c r="P1830" s="72">
        <v>7400</v>
      </c>
    </row>
    <row r="1831" spans="1:16">
      <c r="A1831" s="306"/>
      <c r="B1831" s="289"/>
      <c r="C1831" s="307"/>
      <c r="D1831" s="148" t="s">
        <v>415</v>
      </c>
      <c r="E1831" t="s">
        <v>659</v>
      </c>
      <c r="G1831" t="s">
        <v>428</v>
      </c>
      <c r="H1831" s="107">
        <v>44561</v>
      </c>
      <c r="I1831" s="124"/>
      <c r="K1831" s="71"/>
      <c r="L1831" s="72"/>
      <c r="M1831" s="71"/>
      <c r="N1831" s="216"/>
      <c r="O1831" s="71"/>
      <c r="P1831" s="72"/>
    </row>
    <row r="1832" spans="1:16">
      <c r="A1832" s="306"/>
      <c r="B1832" s="289"/>
      <c r="C1832" s="307"/>
      <c r="D1832" s="148" t="s">
        <v>415</v>
      </c>
      <c r="E1832" t="s">
        <v>742</v>
      </c>
      <c r="G1832" t="s">
        <v>428</v>
      </c>
      <c r="H1832" s="107">
        <v>44561</v>
      </c>
      <c r="I1832" s="124"/>
      <c r="K1832" s="71"/>
      <c r="L1832" s="72"/>
      <c r="M1832" s="71"/>
      <c r="N1832" s="216"/>
      <c r="O1832" s="71"/>
      <c r="P1832" s="72"/>
    </row>
    <row r="1833" spans="1:16">
      <c r="A1833" s="306"/>
      <c r="B1833" s="289"/>
      <c r="C1833" s="307"/>
      <c r="D1833" s="148" t="s">
        <v>415</v>
      </c>
      <c r="E1833" t="s">
        <v>714</v>
      </c>
      <c r="G1833" t="s">
        <v>428</v>
      </c>
      <c r="H1833" s="107">
        <v>44561</v>
      </c>
      <c r="I1833" s="124"/>
      <c r="K1833" s="71"/>
      <c r="L1833" s="72"/>
      <c r="M1833" s="71"/>
      <c r="N1833" s="216"/>
      <c r="O1833" s="71"/>
      <c r="P1833" s="72"/>
    </row>
    <row r="1834" spans="1:16">
      <c r="A1834" s="306"/>
      <c r="B1834" s="289"/>
      <c r="C1834" s="307"/>
      <c r="D1834" s="148" t="s">
        <v>415</v>
      </c>
      <c r="E1834" t="s">
        <v>416</v>
      </c>
      <c r="G1834" t="s">
        <v>428</v>
      </c>
      <c r="H1834" s="107">
        <v>44561</v>
      </c>
      <c r="I1834" s="124"/>
      <c r="K1834" s="71"/>
      <c r="L1834" s="72"/>
      <c r="M1834" s="71"/>
      <c r="N1834" s="216">
        <v>327751</v>
      </c>
      <c r="O1834" s="84">
        <v>344612</v>
      </c>
      <c r="P1834" s="72">
        <f>SUM(P1819:P1833)</f>
        <v>364245</v>
      </c>
    </row>
    <row r="1835" spans="1:16">
      <c r="A1835" s="306"/>
      <c r="B1835" s="289"/>
      <c r="C1835" s="307"/>
      <c r="D1835" s="148" t="s">
        <v>415</v>
      </c>
      <c r="E1835" t="s">
        <v>653</v>
      </c>
      <c r="F1835" t="s">
        <v>1203</v>
      </c>
      <c r="G1835" t="s">
        <v>428</v>
      </c>
      <c r="H1835" s="107">
        <v>44561</v>
      </c>
      <c r="I1835" s="124"/>
      <c r="K1835" s="71"/>
      <c r="L1835" s="72"/>
      <c r="M1835" s="71"/>
      <c r="N1835" s="216"/>
      <c r="O1835" s="71"/>
      <c r="P1835" s="72">
        <v>45055</v>
      </c>
    </row>
    <row r="1836" spans="1:16">
      <c r="A1836" s="306"/>
      <c r="B1836" s="289"/>
      <c r="C1836" s="307"/>
      <c r="D1836" s="148" t="s">
        <v>415</v>
      </c>
      <c r="E1836" t="s">
        <v>654</v>
      </c>
      <c r="F1836" t="s">
        <v>1203</v>
      </c>
      <c r="G1836" t="s">
        <v>428</v>
      </c>
      <c r="H1836" s="107">
        <v>44561</v>
      </c>
      <c r="I1836" s="124"/>
      <c r="K1836" s="71"/>
      <c r="L1836" s="72"/>
      <c r="M1836" s="71"/>
      <c r="N1836" s="216"/>
      <c r="O1836" s="71"/>
      <c r="P1836" s="72">
        <v>113</v>
      </c>
    </row>
    <row r="1837" spans="1:16">
      <c r="A1837" s="306"/>
      <c r="B1837" s="289"/>
      <c r="C1837" s="307"/>
      <c r="D1837" s="148" t="s">
        <v>415</v>
      </c>
      <c r="E1837" t="s">
        <v>790</v>
      </c>
      <c r="F1837" t="s">
        <v>1203</v>
      </c>
      <c r="G1837" t="s">
        <v>428</v>
      </c>
      <c r="H1837" s="107">
        <v>44561</v>
      </c>
      <c r="I1837" s="124"/>
      <c r="K1837" s="71"/>
      <c r="L1837" s="72"/>
      <c r="M1837" s="71"/>
      <c r="N1837" s="216"/>
      <c r="O1837" s="71"/>
      <c r="P1837" s="72">
        <v>622</v>
      </c>
    </row>
    <row r="1838" spans="1:16">
      <c r="A1838" s="306"/>
      <c r="B1838" s="289"/>
      <c r="C1838" s="307"/>
      <c r="D1838" s="148" t="s">
        <v>415</v>
      </c>
      <c r="E1838" t="s">
        <v>791</v>
      </c>
      <c r="F1838" t="s">
        <v>1203</v>
      </c>
      <c r="G1838" t="s">
        <v>428</v>
      </c>
      <c r="H1838" s="107">
        <v>44561</v>
      </c>
      <c r="I1838" s="124"/>
      <c r="K1838" s="71"/>
      <c r="L1838" s="72"/>
      <c r="M1838" s="71"/>
      <c r="N1838" s="216"/>
      <c r="O1838" s="71"/>
      <c r="P1838" s="72">
        <v>137</v>
      </c>
    </row>
    <row r="1839" spans="1:16">
      <c r="A1839" s="306"/>
      <c r="B1839" s="289"/>
      <c r="C1839" s="307"/>
      <c r="D1839" s="148" t="s">
        <v>415</v>
      </c>
      <c r="E1839" t="s">
        <v>685</v>
      </c>
      <c r="F1839" t="s">
        <v>1203</v>
      </c>
      <c r="G1839" t="s">
        <v>428</v>
      </c>
      <c r="H1839" s="107">
        <v>44561</v>
      </c>
      <c r="I1839" s="124"/>
      <c r="K1839" s="71"/>
      <c r="L1839" s="72"/>
      <c r="M1839" s="71"/>
      <c r="N1839" s="216"/>
      <c r="O1839" s="71"/>
      <c r="P1839" s="72">
        <v>7603</v>
      </c>
    </row>
    <row r="1840" spans="1:16">
      <c r="A1840" s="306"/>
      <c r="B1840" s="289"/>
      <c r="C1840" s="307"/>
      <c r="D1840" s="148" t="s">
        <v>415</v>
      </c>
      <c r="E1840" t="s">
        <v>656</v>
      </c>
      <c r="F1840" t="s">
        <v>1203</v>
      </c>
      <c r="G1840" t="s">
        <v>428</v>
      </c>
      <c r="H1840" s="107">
        <v>44561</v>
      </c>
      <c r="I1840" s="124"/>
      <c r="K1840" s="71"/>
      <c r="L1840" s="72"/>
      <c r="M1840" s="71"/>
      <c r="N1840" s="216"/>
      <c r="O1840" s="71"/>
      <c r="P1840" s="72">
        <v>0.4</v>
      </c>
    </row>
    <row r="1841" spans="1:16">
      <c r="A1841" s="306"/>
      <c r="B1841" s="289"/>
      <c r="C1841" s="307"/>
      <c r="D1841" s="148" t="s">
        <v>415</v>
      </c>
      <c r="E1841" t="s">
        <v>657</v>
      </c>
      <c r="F1841" t="s">
        <v>1203</v>
      </c>
      <c r="G1841" t="s">
        <v>428</v>
      </c>
      <c r="H1841" s="107">
        <v>44561</v>
      </c>
      <c r="I1841" s="124"/>
      <c r="K1841" s="71"/>
      <c r="L1841" s="72"/>
      <c r="M1841" s="71"/>
      <c r="N1841" s="216"/>
      <c r="O1841" s="71"/>
      <c r="P1841" s="72">
        <v>60</v>
      </c>
    </row>
    <row r="1842" spans="1:16">
      <c r="A1842" s="306"/>
      <c r="B1842" s="289"/>
      <c r="C1842" s="307"/>
      <c r="D1842" s="148" t="s">
        <v>415</v>
      </c>
      <c r="E1842" t="s">
        <v>738</v>
      </c>
      <c r="F1842" t="s">
        <v>1203</v>
      </c>
      <c r="G1842" t="s">
        <v>428</v>
      </c>
      <c r="H1842" s="107">
        <v>44561</v>
      </c>
      <c r="I1842" s="124"/>
      <c r="K1842" s="71"/>
      <c r="L1842" s="72"/>
      <c r="M1842" s="71"/>
      <c r="N1842" s="216"/>
      <c r="O1842" s="71"/>
      <c r="P1842" s="72"/>
    </row>
    <row r="1843" spans="1:16">
      <c r="A1843" s="306"/>
      <c r="B1843" s="289"/>
      <c r="C1843" s="307"/>
      <c r="D1843" s="148" t="s">
        <v>415</v>
      </c>
      <c r="E1843" t="s">
        <v>739</v>
      </c>
      <c r="F1843" t="s">
        <v>1203</v>
      </c>
      <c r="G1843" t="s">
        <v>428</v>
      </c>
      <c r="H1843" s="107">
        <v>44561</v>
      </c>
      <c r="I1843" s="124"/>
      <c r="K1843" s="71"/>
      <c r="L1843" s="72"/>
      <c r="M1843" s="71"/>
      <c r="N1843" s="216"/>
      <c r="O1843" s="71"/>
      <c r="P1843" s="72">
        <v>940</v>
      </c>
    </row>
    <row r="1844" spans="1:16">
      <c r="A1844" s="306"/>
      <c r="B1844" s="289"/>
      <c r="C1844" s="307"/>
      <c r="D1844" s="148" t="s">
        <v>415</v>
      </c>
      <c r="E1844" t="s">
        <v>740</v>
      </c>
      <c r="F1844" t="s">
        <v>1203</v>
      </c>
      <c r="G1844" t="s">
        <v>428</v>
      </c>
      <c r="H1844" s="107">
        <v>44561</v>
      </c>
      <c r="I1844" s="124"/>
      <c r="K1844" s="71"/>
      <c r="L1844" s="72"/>
      <c r="M1844" s="71"/>
      <c r="N1844" s="216"/>
      <c r="O1844" s="71"/>
      <c r="P1844" s="72">
        <v>47652</v>
      </c>
    </row>
    <row r="1845" spans="1:16">
      <c r="A1845" s="306"/>
      <c r="B1845" s="289"/>
      <c r="C1845" s="307"/>
      <c r="D1845" s="148" t="s">
        <v>415</v>
      </c>
      <c r="E1845" t="s">
        <v>658</v>
      </c>
      <c r="F1845" t="s">
        <v>1203</v>
      </c>
      <c r="G1845" t="s">
        <v>428</v>
      </c>
      <c r="H1845" s="107">
        <v>44561</v>
      </c>
      <c r="I1845" s="124"/>
      <c r="K1845" s="71"/>
      <c r="L1845" s="72"/>
      <c r="M1845" s="71"/>
      <c r="N1845" s="216"/>
      <c r="O1845" s="71"/>
      <c r="P1845" s="72">
        <v>104379</v>
      </c>
    </row>
    <row r="1846" spans="1:16">
      <c r="A1846" s="306"/>
      <c r="B1846" s="289"/>
      <c r="C1846" s="307"/>
      <c r="D1846" s="148" t="s">
        <v>415</v>
      </c>
      <c r="E1846" t="s">
        <v>741</v>
      </c>
      <c r="F1846" t="s">
        <v>1203</v>
      </c>
      <c r="G1846" t="s">
        <v>428</v>
      </c>
      <c r="H1846" s="107">
        <v>44561</v>
      </c>
      <c r="I1846" s="124"/>
      <c r="K1846" s="71"/>
      <c r="L1846" s="72"/>
      <c r="M1846" s="71"/>
      <c r="N1846" s="216"/>
      <c r="O1846" s="71"/>
      <c r="P1846" s="72">
        <v>819833</v>
      </c>
    </row>
    <row r="1847" spans="1:16">
      <c r="A1847" s="306"/>
      <c r="B1847" s="289"/>
      <c r="C1847" s="307"/>
      <c r="D1847" s="148" t="s">
        <v>415</v>
      </c>
      <c r="E1847" t="s">
        <v>659</v>
      </c>
      <c r="F1847" t="s">
        <v>1203</v>
      </c>
      <c r="G1847" t="s">
        <v>428</v>
      </c>
      <c r="H1847" s="107">
        <v>44561</v>
      </c>
      <c r="I1847" s="124"/>
      <c r="K1847" s="71"/>
      <c r="L1847" s="72"/>
      <c r="M1847" s="71"/>
      <c r="N1847" s="216"/>
      <c r="O1847" s="71"/>
      <c r="P1847" s="72"/>
    </row>
    <row r="1848" spans="1:16">
      <c r="A1848" s="306"/>
      <c r="B1848" s="289"/>
      <c r="C1848" s="307"/>
      <c r="D1848" s="148" t="s">
        <v>415</v>
      </c>
      <c r="E1848" t="s">
        <v>742</v>
      </c>
      <c r="F1848" t="s">
        <v>1203</v>
      </c>
      <c r="G1848" t="s">
        <v>428</v>
      </c>
      <c r="H1848" s="107">
        <v>44561</v>
      </c>
      <c r="I1848" s="124"/>
      <c r="K1848" s="71"/>
      <c r="L1848" s="72"/>
      <c r="M1848" s="71"/>
      <c r="N1848" s="216"/>
      <c r="O1848" s="71"/>
      <c r="P1848" s="72"/>
    </row>
    <row r="1849" spans="1:16">
      <c r="A1849" s="306"/>
      <c r="B1849" s="289"/>
      <c r="C1849" s="307"/>
      <c r="D1849" s="148" t="s">
        <v>415</v>
      </c>
      <c r="E1849" t="s">
        <v>714</v>
      </c>
      <c r="F1849" t="s">
        <v>1203</v>
      </c>
      <c r="G1849" t="s">
        <v>428</v>
      </c>
      <c r="H1849" s="107">
        <v>44561</v>
      </c>
      <c r="I1849" s="124"/>
      <c r="K1849" s="71"/>
      <c r="L1849" s="72"/>
      <c r="M1849" s="71"/>
      <c r="N1849" s="216"/>
      <c r="O1849" s="71"/>
      <c r="P1849" s="72"/>
    </row>
    <row r="1850" spans="1:16">
      <c r="A1850" s="306"/>
      <c r="B1850" s="289"/>
      <c r="C1850" s="307"/>
      <c r="D1850" s="148" t="s">
        <v>415</v>
      </c>
      <c r="E1850" t="s">
        <v>416</v>
      </c>
      <c r="F1850" t="s">
        <v>1203</v>
      </c>
      <c r="G1850" t="s">
        <v>428</v>
      </c>
      <c r="H1850" s="107">
        <v>44561</v>
      </c>
      <c r="I1850" s="124"/>
      <c r="K1850" s="71"/>
      <c r="L1850" s="72"/>
      <c r="M1850" s="71"/>
      <c r="N1850" s="216">
        <v>1145214</v>
      </c>
      <c r="O1850" s="71">
        <v>970695</v>
      </c>
      <c r="P1850" s="72">
        <f>SUM(P1835:P1849)</f>
        <v>1026394.4</v>
      </c>
    </row>
    <row r="1851" spans="1:16">
      <c r="A1851" s="306"/>
      <c r="B1851" s="289"/>
      <c r="C1851" s="307"/>
      <c r="D1851" s="148" t="s">
        <v>417</v>
      </c>
      <c r="E1851" s="134" t="s">
        <v>661</v>
      </c>
      <c r="F1851" s="134"/>
      <c r="G1851" t="s">
        <v>803</v>
      </c>
      <c r="H1851" s="107">
        <v>44561</v>
      </c>
      <c r="I1851" s="124"/>
      <c r="K1851" s="71"/>
      <c r="L1851" s="72">
        <v>4618</v>
      </c>
      <c r="M1851" s="71">
        <v>4785</v>
      </c>
      <c r="N1851" s="216">
        <v>5063</v>
      </c>
      <c r="O1851" s="71">
        <v>5328</v>
      </c>
      <c r="P1851" s="72">
        <v>5805</v>
      </c>
    </row>
    <row r="1852" spans="1:16">
      <c r="A1852" s="306"/>
      <c r="B1852" s="289"/>
      <c r="C1852" s="307"/>
      <c r="D1852" s="150" t="s">
        <v>418</v>
      </c>
      <c r="E1852" s="149"/>
      <c r="F1852" s="149"/>
      <c r="H1852" s="107"/>
      <c r="I1852" s="65"/>
      <c r="K1852" s="71"/>
      <c r="L1852" s="72"/>
      <c r="M1852" s="71"/>
      <c r="N1852" s="216"/>
      <c r="O1852" s="71"/>
      <c r="P1852" s="72" t="s">
        <v>804</v>
      </c>
    </row>
    <row r="1853" spans="1:16">
      <c r="A1853" s="306"/>
      <c r="B1853" s="289"/>
      <c r="C1853" s="307"/>
      <c r="D1853" s="148"/>
      <c r="E1853" s="149"/>
      <c r="F1853" s="149"/>
      <c r="H1853" s="107"/>
      <c r="I1853" s="65"/>
      <c r="K1853" s="71"/>
      <c r="L1853" s="72"/>
      <c r="M1853" s="71"/>
      <c r="N1853" s="216"/>
      <c r="O1853" s="71"/>
      <c r="P1853" s="72"/>
    </row>
    <row r="1854" spans="1:16">
      <c r="A1854" s="316"/>
      <c r="B1854" s="293"/>
      <c r="C1854" s="318"/>
      <c r="D1854" s="148"/>
      <c r="E1854" s="149"/>
      <c r="F1854" s="149"/>
      <c r="H1854" s="107"/>
      <c r="I1854" s="65"/>
      <c r="K1854" s="71"/>
      <c r="L1854" s="72"/>
      <c r="M1854" s="71"/>
      <c r="N1854" s="216"/>
      <c r="O1854" s="71"/>
      <c r="P1854" s="72"/>
    </row>
    <row r="1855" spans="1:16">
      <c r="A1855" s="306" t="s">
        <v>896</v>
      </c>
      <c r="B1855" s="292">
        <v>0</v>
      </c>
      <c r="C1855" s="307" t="s">
        <v>897</v>
      </c>
      <c r="D1855" s="147" t="s">
        <v>411</v>
      </c>
      <c r="G1855" t="s">
        <v>428</v>
      </c>
      <c r="H1855" s="107">
        <v>44196</v>
      </c>
      <c r="I1855" s="124"/>
      <c r="K1855" s="71"/>
      <c r="L1855" s="72"/>
      <c r="M1855" s="71">
        <v>139856</v>
      </c>
      <c r="N1855" s="216">
        <v>141616</v>
      </c>
      <c r="O1855" s="71">
        <v>130945</v>
      </c>
      <c r="P1855" s="72"/>
    </row>
    <row r="1856" spans="1:16">
      <c r="A1856" s="306"/>
      <c r="B1856" s="289"/>
      <c r="C1856" s="307"/>
      <c r="D1856" s="147" t="s">
        <v>411</v>
      </c>
      <c r="F1856" t="s">
        <v>1203</v>
      </c>
      <c r="G1856" t="s">
        <v>428</v>
      </c>
      <c r="H1856" s="107">
        <v>44196</v>
      </c>
      <c r="I1856" s="124"/>
      <c r="K1856" s="71"/>
      <c r="L1856" s="72"/>
      <c r="M1856" s="71">
        <v>132248</v>
      </c>
      <c r="N1856" s="216">
        <v>131683</v>
      </c>
      <c r="O1856" s="71">
        <v>139657</v>
      </c>
      <c r="P1856" s="72"/>
    </row>
    <row r="1857" spans="1:16">
      <c r="A1857" s="306"/>
      <c r="B1857" s="289"/>
      <c r="C1857" s="307"/>
      <c r="D1857" s="148" t="s">
        <v>412</v>
      </c>
      <c r="E1857" t="s">
        <v>728</v>
      </c>
      <c r="G1857" t="s">
        <v>428</v>
      </c>
      <c r="H1857" s="107">
        <v>44196</v>
      </c>
      <c r="I1857" s="124"/>
      <c r="K1857" s="71"/>
      <c r="L1857" s="72"/>
      <c r="M1857" s="71">
        <v>58484</v>
      </c>
      <c r="N1857" s="216">
        <v>62126</v>
      </c>
      <c r="O1857" s="71">
        <v>65414</v>
      </c>
      <c r="P1857" s="72"/>
    </row>
    <row r="1858" spans="1:16">
      <c r="A1858" s="306"/>
      <c r="B1858" s="289"/>
      <c r="C1858" s="307"/>
      <c r="D1858" s="148" t="s">
        <v>412</v>
      </c>
      <c r="E1858" t="s">
        <v>728</v>
      </c>
      <c r="F1858" t="s">
        <v>1203</v>
      </c>
      <c r="G1858" t="s">
        <v>428</v>
      </c>
      <c r="H1858" s="107">
        <v>44196</v>
      </c>
      <c r="I1858" s="124"/>
      <c r="K1858" s="71"/>
      <c r="L1858" s="72"/>
      <c r="M1858" s="71">
        <v>74393</v>
      </c>
      <c r="N1858" s="216">
        <v>74600</v>
      </c>
      <c r="O1858" s="71">
        <v>72159</v>
      </c>
      <c r="P1858" s="72"/>
    </row>
    <row r="1859" spans="1:16">
      <c r="A1859" s="306"/>
      <c r="B1859" s="289"/>
      <c r="C1859" s="307"/>
      <c r="D1859" s="148" t="s">
        <v>415</v>
      </c>
      <c r="G1859" t="s">
        <v>428</v>
      </c>
      <c r="H1859" s="107">
        <v>44196</v>
      </c>
      <c r="I1859" s="124"/>
      <c r="K1859" s="71"/>
      <c r="L1859" s="72"/>
      <c r="M1859" s="71">
        <v>330137</v>
      </c>
      <c r="N1859" s="216">
        <v>327751</v>
      </c>
      <c r="O1859" s="71">
        <v>344612</v>
      </c>
      <c r="P1859" s="72"/>
    </row>
    <row r="1860" spans="1:16">
      <c r="A1860" s="306"/>
      <c r="B1860" s="289"/>
      <c r="C1860" s="307"/>
      <c r="D1860" s="148" t="s">
        <v>415</v>
      </c>
      <c r="F1860" t="s">
        <v>1203</v>
      </c>
      <c r="G1860" t="s">
        <v>428</v>
      </c>
      <c r="H1860" s="107">
        <v>44196</v>
      </c>
      <c r="I1860" s="124"/>
      <c r="K1860" s="71"/>
      <c r="L1860" s="72"/>
      <c r="M1860" s="71">
        <v>1250816</v>
      </c>
      <c r="N1860" s="216">
        <v>1145214</v>
      </c>
      <c r="O1860" s="71">
        <v>970695</v>
      </c>
      <c r="P1860" s="72"/>
    </row>
    <row r="1861" spans="1:16">
      <c r="A1861" s="306"/>
      <c r="B1861" s="289"/>
      <c r="C1861" s="307"/>
      <c r="D1861" s="148" t="s">
        <v>417</v>
      </c>
      <c r="E1861" s="134" t="s">
        <v>661</v>
      </c>
      <c r="F1861" s="134"/>
      <c r="G1861" t="s">
        <v>803</v>
      </c>
      <c r="H1861" s="107">
        <v>44196</v>
      </c>
      <c r="I1861" s="124"/>
      <c r="K1861" s="71">
        <v>4492</v>
      </c>
      <c r="L1861" s="72">
        <v>4618</v>
      </c>
      <c r="M1861" s="71">
        <v>4785</v>
      </c>
      <c r="N1861" s="216">
        <v>5063</v>
      </c>
      <c r="O1861" s="71">
        <v>5328</v>
      </c>
      <c r="P1861" s="72"/>
    </row>
    <row r="1862" spans="1:16">
      <c r="A1862" s="306"/>
      <c r="B1862" s="289"/>
      <c r="C1862" s="307"/>
      <c r="D1862" s="150" t="s">
        <v>418</v>
      </c>
      <c r="E1862" s="149"/>
      <c r="F1862" s="149"/>
      <c r="H1862" s="107"/>
      <c r="I1862" s="65"/>
      <c r="K1862" s="71"/>
      <c r="L1862" s="72"/>
      <c r="M1862" s="71"/>
      <c r="N1862" s="216"/>
      <c r="O1862" s="71" t="s">
        <v>805</v>
      </c>
      <c r="P1862" s="72"/>
    </row>
    <row r="1863" spans="1:16">
      <c r="A1863" s="306"/>
      <c r="B1863" s="289"/>
      <c r="C1863" s="307"/>
      <c r="D1863" s="148"/>
      <c r="E1863" s="149"/>
      <c r="F1863" s="149"/>
      <c r="H1863" s="107"/>
      <c r="I1863" s="65"/>
      <c r="K1863" s="71"/>
      <c r="L1863" s="72"/>
      <c r="M1863" s="71"/>
      <c r="N1863" s="216"/>
      <c r="O1863" s="71"/>
      <c r="P1863" s="72"/>
    </row>
    <row r="1864" spans="1:16">
      <c r="A1864" s="316"/>
      <c r="B1864" s="293"/>
      <c r="C1864" s="318"/>
      <c r="D1864" s="148"/>
      <c r="E1864" s="149"/>
      <c r="F1864" s="149"/>
      <c r="H1864" s="107"/>
      <c r="I1864" s="65"/>
      <c r="K1864" s="71"/>
      <c r="L1864" s="72"/>
      <c r="M1864" s="71"/>
      <c r="N1864" s="216"/>
      <c r="O1864" s="71"/>
      <c r="P1864" s="72"/>
    </row>
    <row r="1865" spans="1:16">
      <c r="A1865" s="306" t="s">
        <v>896</v>
      </c>
      <c r="B1865" s="292">
        <v>0</v>
      </c>
      <c r="C1865" s="307" t="s">
        <v>897</v>
      </c>
      <c r="D1865" s="147" t="s">
        <v>411</v>
      </c>
      <c r="G1865" t="s">
        <v>428</v>
      </c>
      <c r="H1865" s="107">
        <v>43830</v>
      </c>
      <c r="I1865" s="124"/>
      <c r="K1865" s="71"/>
      <c r="L1865" s="72">
        <v>128414</v>
      </c>
      <c r="M1865" s="71">
        <v>139856</v>
      </c>
      <c r="N1865" s="216">
        <v>141616</v>
      </c>
      <c r="O1865" s="71"/>
      <c r="P1865" s="72"/>
    </row>
    <row r="1866" spans="1:16">
      <c r="A1866" s="306"/>
      <c r="B1866" s="289"/>
      <c r="C1866" s="307"/>
      <c r="D1866" s="147" t="s">
        <v>411</v>
      </c>
      <c r="F1866" t="s">
        <v>1203</v>
      </c>
      <c r="G1866" t="s">
        <v>428</v>
      </c>
      <c r="H1866" s="107">
        <v>43830</v>
      </c>
      <c r="I1866" s="124"/>
      <c r="K1866" s="71"/>
      <c r="L1866" s="72">
        <v>133092</v>
      </c>
      <c r="M1866" s="71">
        <v>129303</v>
      </c>
      <c r="N1866" s="216">
        <v>131683</v>
      </c>
      <c r="O1866" s="71"/>
      <c r="P1866" s="72"/>
    </row>
    <row r="1867" spans="1:16">
      <c r="A1867" s="306"/>
      <c r="B1867" s="289"/>
      <c r="C1867" s="307"/>
      <c r="D1867" s="148" t="s">
        <v>412</v>
      </c>
      <c r="E1867" t="s">
        <v>728</v>
      </c>
      <c r="G1867" t="s">
        <v>428</v>
      </c>
      <c r="H1867" s="107">
        <v>43830</v>
      </c>
      <c r="I1867" s="124"/>
      <c r="K1867" s="71"/>
      <c r="L1867" s="72">
        <v>58213</v>
      </c>
      <c r="M1867" s="71">
        <v>58484</v>
      </c>
      <c r="N1867" s="216">
        <v>62126</v>
      </c>
      <c r="O1867" s="71"/>
      <c r="P1867" s="72"/>
    </row>
    <row r="1868" spans="1:16">
      <c r="A1868" s="306"/>
      <c r="B1868" s="289"/>
      <c r="C1868" s="307"/>
      <c r="D1868" s="148" t="s">
        <v>412</v>
      </c>
      <c r="E1868" t="s">
        <v>728</v>
      </c>
      <c r="F1868" t="s">
        <v>1203</v>
      </c>
      <c r="G1868" t="s">
        <v>428</v>
      </c>
      <c r="H1868" s="107">
        <v>43830</v>
      </c>
      <c r="I1868" s="124"/>
      <c r="K1868" s="71"/>
      <c r="L1868" s="72">
        <v>70770</v>
      </c>
      <c r="M1868" s="71">
        <v>74393</v>
      </c>
      <c r="N1868" s="216">
        <v>74612</v>
      </c>
      <c r="O1868" s="71"/>
      <c r="P1868" s="72"/>
    </row>
    <row r="1869" spans="1:16">
      <c r="A1869" s="306"/>
      <c r="B1869" s="289"/>
      <c r="C1869" s="307"/>
      <c r="D1869" s="148" t="s">
        <v>415</v>
      </c>
      <c r="G1869" t="s">
        <v>428</v>
      </c>
      <c r="H1869" s="107">
        <v>43830</v>
      </c>
      <c r="I1869" s="124"/>
      <c r="K1869" s="71"/>
      <c r="L1869" s="72">
        <v>334959</v>
      </c>
      <c r="M1869" s="71">
        <v>330137</v>
      </c>
      <c r="N1869" s="216">
        <v>330137</v>
      </c>
      <c r="O1869" s="71"/>
      <c r="P1869" s="72"/>
    </row>
    <row r="1870" spans="1:16">
      <c r="A1870" s="306"/>
      <c r="B1870" s="289"/>
      <c r="C1870" s="307"/>
      <c r="D1870" s="148" t="s">
        <v>415</v>
      </c>
      <c r="F1870" t="s">
        <v>1203</v>
      </c>
      <c r="G1870" t="s">
        <v>428</v>
      </c>
      <c r="H1870" s="107">
        <v>43830</v>
      </c>
      <c r="I1870" s="124"/>
      <c r="K1870" s="71"/>
      <c r="L1870" s="72">
        <v>962712</v>
      </c>
      <c r="M1870" s="71">
        <v>786424</v>
      </c>
      <c r="N1870" s="216">
        <v>786424</v>
      </c>
      <c r="O1870" s="71"/>
      <c r="P1870" s="72"/>
    </row>
    <row r="1871" spans="1:16">
      <c r="A1871" s="306"/>
      <c r="B1871" s="289"/>
      <c r="C1871" s="307"/>
      <c r="D1871" s="148" t="s">
        <v>417</v>
      </c>
      <c r="E1871" s="134" t="s">
        <v>661</v>
      </c>
      <c r="F1871" s="134"/>
      <c r="G1871" t="s">
        <v>803</v>
      </c>
      <c r="H1871" s="107">
        <v>43830</v>
      </c>
      <c r="I1871" s="124"/>
      <c r="K1871" s="71">
        <v>4492</v>
      </c>
      <c r="L1871" s="72">
        <v>4618</v>
      </c>
      <c r="M1871" s="71">
        <v>4785</v>
      </c>
      <c r="N1871" s="216">
        <v>5063</v>
      </c>
      <c r="O1871" s="71"/>
      <c r="P1871" s="72"/>
    </row>
    <row r="1872" spans="1:16">
      <c r="A1872" s="306"/>
      <c r="B1872" s="289"/>
      <c r="C1872" s="307"/>
      <c r="D1872" s="150" t="s">
        <v>418</v>
      </c>
      <c r="E1872" s="149"/>
      <c r="F1872" s="149"/>
      <c r="H1872" s="107"/>
      <c r="I1872" s="65"/>
      <c r="K1872" s="71"/>
      <c r="L1872" s="72"/>
      <c r="M1872" s="71"/>
      <c r="N1872" s="216" t="s">
        <v>806</v>
      </c>
      <c r="O1872" s="71"/>
      <c r="P1872" s="72"/>
    </row>
    <row r="1873" spans="1:16">
      <c r="A1873" s="306"/>
      <c r="B1873" s="289"/>
      <c r="C1873" s="307"/>
      <c r="D1873" s="148"/>
      <c r="E1873" s="149"/>
      <c r="F1873" s="149"/>
      <c r="H1873" s="107"/>
      <c r="I1873" s="65"/>
      <c r="K1873" s="71"/>
      <c r="L1873" s="72"/>
      <c r="M1873" s="71"/>
      <c r="N1873" s="216"/>
      <c r="O1873" s="71"/>
      <c r="P1873" s="72"/>
    </row>
    <row r="1874" spans="1:16">
      <c r="A1874" s="316"/>
      <c r="B1874" s="293"/>
      <c r="C1874" s="318"/>
      <c r="D1874" s="148"/>
      <c r="E1874" s="149"/>
      <c r="F1874" s="149"/>
      <c r="H1874" s="107"/>
      <c r="I1874" s="65"/>
      <c r="K1874" s="71"/>
      <c r="L1874" s="72"/>
      <c r="M1874" s="71"/>
      <c r="N1874" s="216"/>
      <c r="O1874" s="71"/>
      <c r="P1874" s="72"/>
    </row>
    <row r="1875" spans="1:16">
      <c r="A1875" s="306" t="s">
        <v>896</v>
      </c>
      <c r="B1875" s="292">
        <v>0</v>
      </c>
      <c r="C1875" s="307" t="s">
        <v>897</v>
      </c>
      <c r="D1875" s="147" t="s">
        <v>411</v>
      </c>
      <c r="G1875" t="s">
        <v>428</v>
      </c>
      <c r="H1875" s="107">
        <v>43465</v>
      </c>
      <c r="I1875" s="124"/>
      <c r="K1875" s="71">
        <v>134176</v>
      </c>
      <c r="L1875" s="72">
        <v>128414</v>
      </c>
      <c r="M1875" s="71">
        <v>139856</v>
      </c>
      <c r="N1875" s="216"/>
      <c r="O1875" s="71"/>
      <c r="P1875" s="72"/>
    </row>
    <row r="1876" spans="1:16">
      <c r="A1876" s="306"/>
      <c r="B1876" s="289"/>
      <c r="C1876" s="307"/>
      <c r="D1876" s="147" t="s">
        <v>411</v>
      </c>
      <c r="F1876" t="s">
        <v>1203</v>
      </c>
      <c r="G1876" t="s">
        <v>428</v>
      </c>
      <c r="H1876" s="107">
        <v>43465</v>
      </c>
      <c r="I1876" s="124"/>
      <c r="K1876" s="71">
        <v>108152</v>
      </c>
      <c r="L1876" s="72">
        <v>108258</v>
      </c>
      <c r="M1876" s="71">
        <v>129303</v>
      </c>
      <c r="N1876" s="216"/>
      <c r="O1876" s="71"/>
      <c r="P1876" s="72"/>
    </row>
    <row r="1877" spans="1:16">
      <c r="A1877" s="306"/>
      <c r="B1877" s="289"/>
      <c r="C1877" s="307"/>
      <c r="D1877" s="148" t="s">
        <v>412</v>
      </c>
      <c r="E1877" t="s">
        <v>728</v>
      </c>
      <c r="G1877" t="s">
        <v>428</v>
      </c>
      <c r="H1877" s="107">
        <v>43465</v>
      </c>
      <c r="I1877" s="124"/>
      <c r="K1877" s="71">
        <v>60785</v>
      </c>
      <c r="L1877" s="72">
        <v>58213</v>
      </c>
      <c r="M1877" s="71">
        <v>58484</v>
      </c>
      <c r="N1877" s="216"/>
      <c r="O1877" s="71"/>
      <c r="P1877" s="72"/>
    </row>
    <row r="1878" spans="1:16">
      <c r="A1878" s="306"/>
      <c r="B1878" s="289"/>
      <c r="C1878" s="307"/>
      <c r="D1878" s="148" t="s">
        <v>415</v>
      </c>
      <c r="G1878" t="s">
        <v>428</v>
      </c>
      <c r="H1878" s="107">
        <v>43465</v>
      </c>
      <c r="I1878" s="124"/>
      <c r="K1878" s="71"/>
      <c r="L1878" s="72">
        <v>301083</v>
      </c>
      <c r="M1878" s="71">
        <v>301083</v>
      </c>
      <c r="N1878" s="216"/>
      <c r="O1878" s="71"/>
      <c r="P1878" s="72"/>
    </row>
    <row r="1879" spans="1:16">
      <c r="A1879" s="306"/>
      <c r="B1879" s="289"/>
      <c r="C1879" s="307"/>
      <c r="D1879" s="148" t="s">
        <v>417</v>
      </c>
      <c r="F1879" t="s">
        <v>1203</v>
      </c>
      <c r="G1879" t="s">
        <v>803</v>
      </c>
      <c r="H1879" s="107">
        <v>43465</v>
      </c>
      <c r="I1879" s="124"/>
      <c r="K1879" s="71">
        <v>4492</v>
      </c>
      <c r="L1879" s="72">
        <v>4618</v>
      </c>
      <c r="M1879" s="71">
        <v>4785</v>
      </c>
      <c r="N1879" s="216"/>
      <c r="O1879" s="71"/>
      <c r="P1879" s="72"/>
    </row>
    <row r="1880" spans="1:16">
      <c r="A1880" s="306"/>
      <c r="B1880" s="289"/>
      <c r="C1880" s="307"/>
      <c r="D1880" s="150" t="s">
        <v>418</v>
      </c>
      <c r="E1880" s="134" t="s">
        <v>661</v>
      </c>
      <c r="F1880" s="134"/>
      <c r="H1880" s="107"/>
      <c r="I1880" s="65"/>
      <c r="K1880" s="71"/>
      <c r="L1880" s="72"/>
      <c r="M1880" s="71" t="s">
        <v>807</v>
      </c>
      <c r="N1880" s="216"/>
      <c r="O1880" s="71"/>
      <c r="P1880" s="72"/>
    </row>
    <row r="1881" spans="1:16">
      <c r="A1881" s="306"/>
      <c r="B1881" s="289"/>
      <c r="C1881" s="307"/>
      <c r="D1881" s="148"/>
      <c r="E1881" s="149"/>
      <c r="F1881" s="149"/>
      <c r="H1881" s="107"/>
      <c r="I1881" s="65"/>
      <c r="K1881" s="71"/>
      <c r="L1881" s="72"/>
      <c r="M1881" s="71"/>
      <c r="N1881" s="216"/>
      <c r="O1881" s="71"/>
      <c r="P1881" s="72"/>
    </row>
    <row r="1882" spans="1:16">
      <c r="A1882" s="316"/>
      <c r="B1882" s="293"/>
      <c r="C1882" s="318"/>
      <c r="D1882" s="148"/>
      <c r="E1882" s="149"/>
      <c r="F1882" s="149"/>
      <c r="H1882" s="107"/>
      <c r="I1882" s="65"/>
      <c r="K1882" s="71"/>
      <c r="L1882" s="72"/>
      <c r="M1882" s="71"/>
      <c r="N1882" s="216"/>
      <c r="O1882" s="71"/>
      <c r="P1882" s="72"/>
    </row>
    <row r="1883" spans="1:16">
      <c r="A1883" s="306" t="s">
        <v>896</v>
      </c>
      <c r="B1883" s="292">
        <v>0</v>
      </c>
      <c r="C1883" s="307" t="s">
        <v>897</v>
      </c>
      <c r="D1883" s="147" t="s">
        <v>411</v>
      </c>
      <c r="G1883" t="s">
        <v>428</v>
      </c>
      <c r="H1883" s="107">
        <v>43100</v>
      </c>
      <c r="I1883" s="151"/>
      <c r="K1883" s="71">
        <v>134176</v>
      </c>
      <c r="L1883" s="72">
        <v>128414</v>
      </c>
      <c r="M1883" s="71"/>
      <c r="N1883" s="216"/>
      <c r="O1883" s="71"/>
      <c r="P1883" s="72"/>
    </row>
    <row r="1884" spans="1:16">
      <c r="A1884" s="306"/>
      <c r="B1884" s="289"/>
      <c r="C1884" s="307"/>
      <c r="D1884" s="148" t="s">
        <v>412</v>
      </c>
      <c r="E1884" t="s">
        <v>728</v>
      </c>
      <c r="G1884" t="s">
        <v>428</v>
      </c>
      <c r="H1884" s="107">
        <v>43100</v>
      </c>
      <c r="I1884" s="151"/>
      <c r="K1884" s="71">
        <v>60785</v>
      </c>
      <c r="L1884" s="72">
        <v>58213</v>
      </c>
      <c r="M1884" s="71"/>
      <c r="N1884" s="216"/>
      <c r="O1884" s="71"/>
      <c r="P1884" s="72"/>
    </row>
    <row r="1885" spans="1:16">
      <c r="A1885" s="306"/>
      <c r="B1885" s="289"/>
      <c r="C1885" s="307"/>
      <c r="D1885" s="148" t="s">
        <v>415</v>
      </c>
      <c r="G1885" t="s">
        <v>428</v>
      </c>
      <c r="H1885" s="107">
        <v>43100</v>
      </c>
      <c r="I1885" s="151"/>
      <c r="K1885" s="71">
        <v>191560</v>
      </c>
      <c r="L1885" s="72">
        <v>191560</v>
      </c>
      <c r="M1885" s="71"/>
      <c r="N1885" s="216"/>
      <c r="O1885" s="71"/>
      <c r="P1885" s="72"/>
    </row>
    <row r="1886" spans="1:16">
      <c r="A1886" s="306"/>
      <c r="B1886" s="289"/>
      <c r="C1886" s="307"/>
      <c r="D1886" s="148" t="s">
        <v>417</v>
      </c>
      <c r="E1886" s="134" t="s">
        <v>661</v>
      </c>
      <c r="F1886" s="134"/>
      <c r="G1886" t="s">
        <v>803</v>
      </c>
      <c r="H1886" s="107">
        <v>43100</v>
      </c>
      <c r="I1886" s="151"/>
      <c r="K1886" s="71">
        <v>4492</v>
      </c>
      <c r="L1886" s="72">
        <v>4618</v>
      </c>
      <c r="M1886" s="71"/>
      <c r="N1886" s="216"/>
      <c r="O1886" s="71"/>
      <c r="P1886" s="72"/>
    </row>
    <row r="1887" spans="1:16">
      <c r="A1887" s="306"/>
      <c r="B1887" s="289"/>
      <c r="C1887" s="307"/>
      <c r="D1887" s="150" t="s">
        <v>418</v>
      </c>
      <c r="E1887" s="149"/>
      <c r="F1887" s="149"/>
      <c r="H1887" s="107"/>
      <c r="I1887" s="65"/>
      <c r="K1887" s="71"/>
      <c r="L1887" s="72" t="s">
        <v>808</v>
      </c>
      <c r="M1887" s="71"/>
      <c r="N1887" s="216"/>
      <c r="O1887" s="71"/>
      <c r="P1887" s="72"/>
    </row>
    <row r="1888" spans="1:16">
      <c r="A1888" s="306"/>
      <c r="B1888" s="289"/>
      <c r="C1888" s="307"/>
      <c r="D1888" s="148"/>
      <c r="E1888" s="149"/>
      <c r="F1888" s="149"/>
      <c r="H1888" s="107"/>
      <c r="I1888" s="65"/>
      <c r="K1888" s="71"/>
      <c r="L1888" s="72"/>
      <c r="M1888" s="71"/>
      <c r="N1888" s="216"/>
      <c r="O1888" s="71"/>
      <c r="P1888" s="72"/>
    </row>
    <row r="1889" spans="1:16">
      <c r="A1889" s="316"/>
      <c r="B1889" s="293"/>
      <c r="C1889" s="318"/>
      <c r="D1889" s="148"/>
      <c r="E1889" s="149"/>
      <c r="F1889" s="149"/>
      <c r="H1889" s="107"/>
      <c r="I1889" s="65"/>
      <c r="K1889" s="71"/>
      <c r="L1889" s="72"/>
      <c r="M1889" s="71"/>
      <c r="N1889" s="216"/>
      <c r="O1889" s="71"/>
      <c r="P1889" s="72"/>
    </row>
    <row r="1890" spans="1:16">
      <c r="A1890" s="291" t="s">
        <v>900</v>
      </c>
      <c r="B1890" s="292">
        <v>0</v>
      </c>
      <c r="C1890" s="292" t="s">
        <v>901</v>
      </c>
      <c r="D1890" s="147" t="s">
        <v>411</v>
      </c>
      <c r="E1890" s="149"/>
      <c r="F1890" s="149"/>
      <c r="G1890" t="s">
        <v>428</v>
      </c>
      <c r="H1890" s="107">
        <v>44561</v>
      </c>
      <c r="I1890" s="151"/>
      <c r="K1890" s="71"/>
      <c r="L1890" s="72"/>
      <c r="M1890" s="71">
        <v>217828</v>
      </c>
      <c r="N1890" s="216">
        <v>214050</v>
      </c>
      <c r="O1890" s="71">
        <v>299119</v>
      </c>
      <c r="P1890" s="72">
        <v>285332</v>
      </c>
    </row>
    <row r="1891" spans="1:16">
      <c r="A1891" s="286"/>
      <c r="B1891" s="289"/>
      <c r="C1891" s="289"/>
      <c r="D1891" s="148" t="s">
        <v>412</v>
      </c>
      <c r="E1891" s="149"/>
      <c r="F1891" s="149"/>
      <c r="G1891" t="s">
        <v>428</v>
      </c>
      <c r="H1891" s="107">
        <v>44561</v>
      </c>
      <c r="I1891" s="151"/>
      <c r="K1891" s="71"/>
      <c r="L1891" s="72"/>
      <c r="M1891" s="71">
        <v>100066</v>
      </c>
      <c r="N1891" s="216">
        <v>107591</v>
      </c>
      <c r="O1891" s="71">
        <v>1360</v>
      </c>
      <c r="P1891" s="72">
        <v>2327</v>
      </c>
    </row>
    <row r="1892" spans="1:16">
      <c r="A1892" s="286"/>
      <c r="B1892" s="289"/>
      <c r="C1892" s="289"/>
      <c r="D1892" s="148" t="s">
        <v>415</v>
      </c>
      <c r="E1892" t="s">
        <v>1201</v>
      </c>
      <c r="G1892" t="s">
        <v>428</v>
      </c>
      <c r="H1892" s="107">
        <v>44561</v>
      </c>
      <c r="I1892" s="151"/>
      <c r="K1892" s="71"/>
      <c r="L1892" s="72"/>
      <c r="M1892" s="71">
        <f>0.4%*M1899</f>
        <v>8481.9</v>
      </c>
      <c r="N1892" s="216">
        <f>0.6%*N1899</f>
        <v>20212.224000000002</v>
      </c>
      <c r="O1892" s="71">
        <f>2.4%*O1899</f>
        <v>41932.272000000004</v>
      </c>
      <c r="P1892" s="72">
        <f>2.7%*P1899</f>
        <v>45267.741000000002</v>
      </c>
    </row>
    <row r="1893" spans="1:16">
      <c r="A1893" s="286"/>
      <c r="B1893" s="289"/>
      <c r="C1893" s="289"/>
      <c r="D1893" s="148" t="s">
        <v>415</v>
      </c>
      <c r="E1893" t="s">
        <v>1202</v>
      </c>
      <c r="G1893" t="s">
        <v>428</v>
      </c>
      <c r="H1893" s="107">
        <v>44561</v>
      </c>
      <c r="I1893" s="151"/>
      <c r="K1893" s="71"/>
      <c r="L1893" s="72"/>
      <c r="M1893" s="71">
        <f>5%*M1899</f>
        <v>106023.75</v>
      </c>
      <c r="N1893" s="216">
        <f>3.5%*N1899</f>
        <v>117904.64000000001</v>
      </c>
      <c r="O1893" s="71">
        <f>0.9%*O1899</f>
        <v>15724.602000000003</v>
      </c>
      <c r="P1893" s="72">
        <f>0.8%*P1899</f>
        <v>13412.664000000001</v>
      </c>
    </row>
    <row r="1894" spans="1:16">
      <c r="A1894" s="286"/>
      <c r="B1894" s="289"/>
      <c r="C1894" s="289"/>
      <c r="D1894" s="148" t="s">
        <v>415</v>
      </c>
      <c r="E1894" t="s">
        <v>829</v>
      </c>
      <c r="G1894" t="s">
        <v>428</v>
      </c>
      <c r="H1894" s="107">
        <v>44561</v>
      </c>
      <c r="I1894" s="151"/>
      <c r="K1894" s="71"/>
      <c r="L1894" s="72"/>
      <c r="M1894" s="71">
        <f>0.3%*M1899</f>
        <v>6361.4250000000002</v>
      </c>
      <c r="N1894" s="216">
        <f>0.8%*N1899</f>
        <v>26949.632000000001</v>
      </c>
      <c r="O1894" s="71">
        <f>2.7%*O1899</f>
        <v>47173.806000000004</v>
      </c>
      <c r="P1894" s="72">
        <f>3.5%*P1899</f>
        <v>58680.405000000006</v>
      </c>
    </row>
    <row r="1895" spans="1:16">
      <c r="A1895" s="286"/>
      <c r="B1895" s="289"/>
      <c r="C1895" s="289"/>
      <c r="D1895" s="148" t="s">
        <v>415</v>
      </c>
      <c r="E1895" t="s">
        <v>656</v>
      </c>
      <c r="G1895" t="s">
        <v>428</v>
      </c>
      <c r="H1895" s="107">
        <v>44561</v>
      </c>
      <c r="I1895" s="151"/>
      <c r="K1895" s="71"/>
      <c r="L1895" s="72"/>
      <c r="M1895" s="71">
        <f>0.4%*M1899</f>
        <v>8481.9</v>
      </c>
      <c r="N1895" s="216">
        <f>0.9%*N1899</f>
        <v>30318.336000000003</v>
      </c>
      <c r="O1895" s="71">
        <f>0.1%*O1899</f>
        <v>1747.1780000000001</v>
      </c>
      <c r="P1895" s="72">
        <f>0.1%*P1899</f>
        <v>1676.5830000000001</v>
      </c>
    </row>
    <row r="1896" spans="1:16">
      <c r="A1896" s="286"/>
      <c r="B1896" s="289"/>
      <c r="C1896" s="289"/>
      <c r="D1896" s="148" t="s">
        <v>415</v>
      </c>
      <c r="E1896" t="s">
        <v>657</v>
      </c>
      <c r="G1896" t="s">
        <v>428</v>
      </c>
      <c r="H1896" s="107">
        <v>44561</v>
      </c>
      <c r="I1896" s="151"/>
      <c r="K1896" s="71"/>
      <c r="L1896" s="72"/>
      <c r="M1896" s="71">
        <f>0.5%*M1899</f>
        <v>10602.375</v>
      </c>
      <c r="N1896" s="216">
        <f>0.4%*N1899</f>
        <v>13474.816000000001</v>
      </c>
      <c r="O1896" s="71">
        <f>0.7%*O1899</f>
        <v>12230.245999999999</v>
      </c>
      <c r="P1896" s="72">
        <f>0.8%*P1899</f>
        <v>13412.664000000001</v>
      </c>
    </row>
    <row r="1897" spans="1:16">
      <c r="A1897" s="286"/>
      <c r="B1897" s="289"/>
      <c r="C1897" s="289"/>
      <c r="D1897" s="148" t="s">
        <v>415</v>
      </c>
      <c r="E1897" t="s">
        <v>741</v>
      </c>
      <c r="G1897" t="s">
        <v>428</v>
      </c>
      <c r="H1897" s="107">
        <v>44561</v>
      </c>
      <c r="I1897" s="151"/>
      <c r="K1897" s="71"/>
      <c r="L1897" s="72"/>
      <c r="M1897" s="71">
        <f>2%*M1899</f>
        <v>42409.5</v>
      </c>
      <c r="N1897" s="216">
        <f>1.4%*N1899</f>
        <v>47161.855999999992</v>
      </c>
      <c r="O1897" s="71">
        <f>1.4%*O1899</f>
        <v>24460.491999999998</v>
      </c>
      <c r="P1897" s="72">
        <f>1.2%*P1899</f>
        <v>20118.995999999999</v>
      </c>
    </row>
    <row r="1898" spans="1:16">
      <c r="A1898" s="286"/>
      <c r="B1898" s="289"/>
      <c r="C1898" s="289"/>
      <c r="D1898" s="148" t="s">
        <v>415</v>
      </c>
      <c r="E1898" t="s">
        <v>653</v>
      </c>
      <c r="G1898" t="s">
        <v>428</v>
      </c>
      <c r="H1898" s="107">
        <v>44561</v>
      </c>
      <c r="I1898" s="151"/>
      <c r="K1898" s="71"/>
      <c r="L1898" s="72"/>
      <c r="M1898" s="71">
        <f>91.4%*M1899</f>
        <v>1938114.1500000001</v>
      </c>
      <c r="N1898" s="216">
        <f>92.4%*N1899</f>
        <v>3112682.4960000003</v>
      </c>
      <c r="O1898" s="71">
        <f>91.8%*O1899</f>
        <v>1603909.4039999999</v>
      </c>
      <c r="P1898" s="72">
        <f>90.9%*P1899</f>
        <v>1524013.9470000002</v>
      </c>
    </row>
    <row r="1899" spans="1:16">
      <c r="A1899" s="286"/>
      <c r="B1899" s="289"/>
      <c r="C1899" s="289"/>
      <c r="D1899" s="148" t="s">
        <v>415</v>
      </c>
      <c r="E1899" t="s">
        <v>660</v>
      </c>
      <c r="G1899" t="s">
        <v>428</v>
      </c>
      <c r="H1899" s="107">
        <v>44561</v>
      </c>
      <c r="I1899" s="151"/>
      <c r="K1899" s="71"/>
      <c r="L1899" s="72"/>
      <c r="M1899" s="71">
        <v>2120475</v>
      </c>
      <c r="N1899" s="216">
        <v>3368704</v>
      </c>
      <c r="O1899" s="71">
        <v>1747178</v>
      </c>
      <c r="P1899" s="72">
        <v>1676583</v>
      </c>
    </row>
    <row r="1900" spans="1:16">
      <c r="A1900" s="286"/>
      <c r="B1900" s="289"/>
      <c r="C1900" s="289"/>
      <c r="D1900" s="148" t="s">
        <v>417</v>
      </c>
      <c r="E1900" s="134" t="s">
        <v>661</v>
      </c>
      <c r="G1900" t="s">
        <v>669</v>
      </c>
      <c r="H1900" s="107">
        <v>44561</v>
      </c>
      <c r="I1900" s="151"/>
      <c r="K1900" s="71"/>
      <c r="L1900" s="72">
        <v>2996.3</v>
      </c>
      <c r="M1900" s="71">
        <v>3154</v>
      </c>
      <c r="N1900" s="216">
        <v>3407.9</v>
      </c>
      <c r="O1900" s="71">
        <v>3520.5</v>
      </c>
      <c r="P1900" s="72">
        <v>3825.7</v>
      </c>
    </row>
    <row r="1901" spans="1:16">
      <c r="A1901" s="286"/>
      <c r="B1901" s="289"/>
      <c r="C1901" s="289"/>
      <c r="D1901" s="150" t="s">
        <v>418</v>
      </c>
      <c r="H1901" s="107"/>
      <c r="I1901" s="65"/>
      <c r="K1901" s="71"/>
      <c r="L1901" s="72"/>
      <c r="M1901" s="71"/>
      <c r="N1901" s="216"/>
      <c r="O1901" s="71"/>
      <c r="P1901" s="72" t="s">
        <v>810</v>
      </c>
    </row>
    <row r="1902" spans="1:16">
      <c r="A1902" s="286"/>
      <c r="B1902" s="289"/>
      <c r="C1902" s="289"/>
      <c r="D1902" s="66"/>
      <c r="H1902" s="107"/>
      <c r="I1902" s="65"/>
      <c r="K1902" s="71"/>
      <c r="L1902" s="72"/>
      <c r="M1902" s="71"/>
      <c r="N1902" s="216"/>
      <c r="O1902" s="71"/>
      <c r="P1902" s="72" t="s">
        <v>811</v>
      </c>
    </row>
    <row r="1903" spans="1:16">
      <c r="A1903" s="294"/>
      <c r="B1903" s="293"/>
      <c r="C1903" s="293"/>
      <c r="D1903" s="66"/>
      <c r="H1903" s="107"/>
      <c r="I1903" s="65"/>
      <c r="K1903" s="71"/>
      <c r="L1903" s="72"/>
      <c r="M1903" s="71"/>
      <c r="N1903" s="216"/>
      <c r="O1903" s="71"/>
      <c r="P1903" s="72"/>
    </row>
    <row r="1904" spans="1:16">
      <c r="A1904" s="291" t="s">
        <v>900</v>
      </c>
      <c r="B1904" s="292">
        <v>0</v>
      </c>
      <c r="C1904" s="292" t="s">
        <v>901</v>
      </c>
      <c r="D1904" s="147" t="s">
        <v>411</v>
      </c>
      <c r="E1904" s="149"/>
      <c r="F1904" s="149"/>
      <c r="G1904" t="s">
        <v>428</v>
      </c>
      <c r="H1904" s="107">
        <v>44196</v>
      </c>
      <c r="I1904" s="151"/>
      <c r="K1904" s="71"/>
      <c r="L1904" s="72">
        <v>204369</v>
      </c>
      <c r="M1904" s="71">
        <v>217828</v>
      </c>
      <c r="N1904" s="216">
        <v>214050</v>
      </c>
      <c r="O1904" s="71">
        <v>299119</v>
      </c>
      <c r="P1904" s="72"/>
    </row>
    <row r="1905" spans="1:16">
      <c r="A1905" s="286"/>
      <c r="B1905" s="289"/>
      <c r="C1905" s="289"/>
      <c r="D1905" s="148" t="s">
        <v>412</v>
      </c>
      <c r="E1905" s="149"/>
      <c r="F1905" s="149"/>
      <c r="G1905" t="s">
        <v>428</v>
      </c>
      <c r="H1905" s="107">
        <v>44196</v>
      </c>
      <c r="I1905" s="151"/>
      <c r="K1905" s="71"/>
      <c r="L1905" s="72">
        <v>116066</v>
      </c>
      <c r="M1905" s="71">
        <v>100066</v>
      </c>
      <c r="N1905" s="216">
        <v>107591</v>
      </c>
      <c r="O1905" s="71">
        <v>1360</v>
      </c>
      <c r="P1905" s="72"/>
    </row>
    <row r="1906" spans="1:16">
      <c r="A1906" s="286"/>
      <c r="B1906" s="289"/>
      <c r="C1906" s="289"/>
      <c r="D1906" s="148" t="s">
        <v>415</v>
      </c>
      <c r="E1906" t="s">
        <v>1201</v>
      </c>
      <c r="G1906" t="s">
        <v>428</v>
      </c>
      <c r="H1906" s="107">
        <v>44196</v>
      </c>
      <c r="I1906" s="151"/>
      <c r="K1906" s="71"/>
      <c r="L1906" s="72">
        <f>2%*L1913</f>
        <v>47662.92</v>
      </c>
      <c r="M1906" s="71">
        <f>0.4%*M1913</f>
        <v>8481.9</v>
      </c>
      <c r="N1906" s="216">
        <f>0.6%*N1913</f>
        <v>20212.224000000002</v>
      </c>
      <c r="O1906" s="71">
        <f>2.4%*O1913</f>
        <v>41932.272000000004</v>
      </c>
      <c r="P1906" s="72"/>
    </row>
    <row r="1907" spans="1:16">
      <c r="A1907" s="286"/>
      <c r="B1907" s="289"/>
      <c r="C1907" s="289"/>
      <c r="D1907" s="148" t="s">
        <v>415</v>
      </c>
      <c r="E1907" t="s">
        <v>1202</v>
      </c>
      <c r="G1907" t="s">
        <v>428</v>
      </c>
      <c r="H1907" s="107">
        <v>44196</v>
      </c>
      <c r="I1907" s="151"/>
      <c r="K1907" s="71"/>
      <c r="L1907" s="72">
        <f>3%*L1913</f>
        <v>71494.37999999999</v>
      </c>
      <c r="M1907" s="71">
        <f>5%*M1913</f>
        <v>106023.75</v>
      </c>
      <c r="N1907" s="216">
        <f>3.5%*N1913</f>
        <v>117904.64000000001</v>
      </c>
      <c r="O1907" s="71">
        <f>0.9%*O1913</f>
        <v>15724.602000000003</v>
      </c>
      <c r="P1907" s="72"/>
    </row>
    <row r="1908" spans="1:16">
      <c r="A1908" s="286"/>
      <c r="B1908" s="289"/>
      <c r="C1908" s="289"/>
      <c r="D1908" s="148" t="s">
        <v>415</v>
      </c>
      <c r="E1908" t="s">
        <v>829</v>
      </c>
      <c r="G1908" t="s">
        <v>428</v>
      </c>
      <c r="H1908" s="107">
        <v>44196</v>
      </c>
      <c r="I1908" s="151"/>
      <c r="K1908" s="71"/>
      <c r="L1908" s="72">
        <f>2%*L1913</f>
        <v>47662.92</v>
      </c>
      <c r="M1908" s="71">
        <f>0.3%*M1913</f>
        <v>6361.4250000000002</v>
      </c>
      <c r="N1908" s="216">
        <f>0.8%*N1913</f>
        <v>26949.632000000001</v>
      </c>
      <c r="O1908" s="71">
        <f>2.7%*O1913</f>
        <v>47173.806000000004</v>
      </c>
      <c r="P1908" s="72"/>
    </row>
    <row r="1909" spans="1:16">
      <c r="A1909" s="286"/>
      <c r="B1909" s="289"/>
      <c r="C1909" s="289"/>
      <c r="D1909" s="148" t="s">
        <v>415</v>
      </c>
      <c r="E1909" t="s">
        <v>656</v>
      </c>
      <c r="G1909" t="s">
        <v>428</v>
      </c>
      <c r="H1909" s="107">
        <v>44196</v>
      </c>
      <c r="I1909" s="151"/>
      <c r="K1909" s="71"/>
      <c r="L1909" s="72">
        <f>0.4%*L1913</f>
        <v>9532.5840000000007</v>
      </c>
      <c r="M1909" s="71">
        <f>0.4%*M1913</f>
        <v>8481.9</v>
      </c>
      <c r="N1909" s="216">
        <f>0.9%*N1913</f>
        <v>30318.336000000003</v>
      </c>
      <c r="O1909" s="71">
        <f>0.1%*O1913</f>
        <v>1747.1780000000001</v>
      </c>
      <c r="P1909" s="72"/>
    </row>
    <row r="1910" spans="1:16">
      <c r="A1910" s="286"/>
      <c r="B1910" s="289"/>
      <c r="C1910" s="289"/>
      <c r="D1910" s="148" t="s">
        <v>415</v>
      </c>
      <c r="E1910" t="s">
        <v>657</v>
      </c>
      <c r="G1910" t="s">
        <v>428</v>
      </c>
      <c r="H1910" s="107">
        <v>44196</v>
      </c>
      <c r="I1910" s="151"/>
      <c r="K1910" s="71"/>
      <c r="L1910" s="72">
        <f>0.4%*L1913</f>
        <v>9532.5840000000007</v>
      </c>
      <c r="M1910" s="71">
        <f>0.5%*M1913</f>
        <v>10602.375</v>
      </c>
      <c r="N1910" s="216">
        <f>0.4%*N1913</f>
        <v>13474.816000000001</v>
      </c>
      <c r="O1910" s="71">
        <f>0.7%*O1913</f>
        <v>12230.245999999999</v>
      </c>
      <c r="P1910" s="72"/>
    </row>
    <row r="1911" spans="1:16">
      <c r="A1911" s="286"/>
      <c r="B1911" s="289"/>
      <c r="C1911" s="289"/>
      <c r="D1911" s="148" t="s">
        <v>415</v>
      </c>
      <c r="E1911" t="s">
        <v>741</v>
      </c>
      <c r="G1911" t="s">
        <v>428</v>
      </c>
      <c r="H1911" s="107">
        <v>44196</v>
      </c>
      <c r="I1911" s="151"/>
      <c r="K1911" s="71"/>
      <c r="L1911" s="72">
        <f>0.6%*L1913</f>
        <v>14298.876</v>
      </c>
      <c r="M1911" s="71">
        <f>2%*M1913</f>
        <v>42409.5</v>
      </c>
      <c r="N1911" s="216">
        <f>1.4%*N1913</f>
        <v>47161.855999999992</v>
      </c>
      <c r="O1911" s="71">
        <f>1.4%*O1913</f>
        <v>24460.491999999998</v>
      </c>
      <c r="P1911" s="72"/>
    </row>
    <row r="1912" spans="1:16">
      <c r="A1912" s="286"/>
      <c r="B1912" s="289"/>
      <c r="C1912" s="289"/>
      <c r="D1912" s="148" t="s">
        <v>415</v>
      </c>
      <c r="E1912" t="s">
        <v>653</v>
      </c>
      <c r="G1912" t="s">
        <v>428</v>
      </c>
      <c r="H1912" s="107">
        <v>44196</v>
      </c>
      <c r="I1912" s="151"/>
      <c r="K1912" s="71"/>
      <c r="L1912" s="72">
        <f>91.6%*L1913</f>
        <v>2182961.736</v>
      </c>
      <c r="M1912" s="71">
        <f>91.4%*M1913</f>
        <v>1938114.1500000001</v>
      </c>
      <c r="N1912" s="216">
        <f>92.4%*N1913</f>
        <v>3112682.4960000003</v>
      </c>
      <c r="O1912" s="71">
        <f>91.8%*O1913</f>
        <v>1603909.4039999999</v>
      </c>
      <c r="P1912" s="72"/>
    </row>
    <row r="1913" spans="1:16">
      <c r="A1913" s="286"/>
      <c r="B1913" s="289"/>
      <c r="C1913" s="289"/>
      <c r="D1913" s="148" t="s">
        <v>415</v>
      </c>
      <c r="E1913" t="s">
        <v>660</v>
      </c>
      <c r="G1913" t="s">
        <v>428</v>
      </c>
      <c r="H1913" s="107">
        <v>44196</v>
      </c>
      <c r="I1913" s="151"/>
      <c r="K1913" s="71"/>
      <c r="L1913" s="72">
        <v>2383146</v>
      </c>
      <c r="M1913" s="71">
        <v>2120475</v>
      </c>
      <c r="N1913" s="216">
        <v>3368704</v>
      </c>
      <c r="O1913" s="71">
        <v>1747178</v>
      </c>
      <c r="P1913" s="72"/>
    </row>
    <row r="1914" spans="1:16">
      <c r="A1914" s="286"/>
      <c r="B1914" s="289"/>
      <c r="C1914" s="289"/>
      <c r="D1914" s="148" t="s">
        <v>417</v>
      </c>
      <c r="E1914" s="134" t="s">
        <v>661</v>
      </c>
      <c r="G1914" t="s">
        <v>669</v>
      </c>
      <c r="H1914" s="107">
        <v>44196</v>
      </c>
      <c r="I1914" s="151"/>
      <c r="K1914" s="71"/>
      <c r="L1914" s="72">
        <v>2996.3</v>
      </c>
      <c r="M1914" s="71">
        <v>3154</v>
      </c>
      <c r="N1914" s="216">
        <v>3407.9</v>
      </c>
      <c r="O1914" s="71">
        <v>3520.5</v>
      </c>
      <c r="P1914" s="72"/>
    </row>
    <row r="1915" spans="1:16">
      <c r="A1915" s="286"/>
      <c r="B1915" s="289"/>
      <c r="C1915" s="289"/>
      <c r="D1915" s="150" t="s">
        <v>418</v>
      </c>
      <c r="H1915" s="107"/>
      <c r="I1915" s="65"/>
      <c r="K1915" s="71"/>
      <c r="L1915" s="72"/>
      <c r="M1915" s="71"/>
      <c r="N1915" s="216"/>
      <c r="O1915" s="71" t="s">
        <v>812</v>
      </c>
      <c r="P1915" s="72"/>
    </row>
    <row r="1916" spans="1:16">
      <c r="A1916" s="286"/>
      <c r="B1916" s="289"/>
      <c r="C1916" s="289"/>
      <c r="D1916" s="66"/>
      <c r="H1916" s="107"/>
      <c r="I1916" s="65"/>
      <c r="K1916" s="71"/>
      <c r="L1916" s="72"/>
      <c r="M1916" s="71"/>
      <c r="N1916" s="216"/>
      <c r="O1916" s="71"/>
      <c r="P1916" s="72"/>
    </row>
    <row r="1917" spans="1:16">
      <c r="A1917" s="294"/>
      <c r="B1917" s="293"/>
      <c r="C1917" s="293"/>
      <c r="D1917" s="66"/>
      <c r="H1917" s="107"/>
      <c r="I1917" s="65"/>
      <c r="K1917" s="71"/>
      <c r="L1917" s="72"/>
      <c r="M1917" s="71"/>
      <c r="N1917" s="216"/>
      <c r="O1917" s="71"/>
      <c r="P1917" s="72"/>
    </row>
    <row r="1918" spans="1:16">
      <c r="A1918" s="316" t="s">
        <v>900</v>
      </c>
      <c r="B1918" s="292">
        <v>0</v>
      </c>
      <c r="C1918" s="318" t="s">
        <v>901</v>
      </c>
      <c r="D1918" s="147" t="s">
        <v>411</v>
      </c>
      <c r="E1918" s="149"/>
      <c r="F1918" s="149"/>
      <c r="G1918" t="s">
        <v>428</v>
      </c>
      <c r="H1918" s="107">
        <v>43830</v>
      </c>
      <c r="I1918" s="151"/>
      <c r="K1918" s="71">
        <v>194358</v>
      </c>
      <c r="L1918" s="72">
        <v>204369</v>
      </c>
      <c r="M1918" s="71">
        <v>217828</v>
      </c>
      <c r="N1918" s="216">
        <v>214050</v>
      </c>
      <c r="O1918" s="71"/>
      <c r="P1918" s="72"/>
    </row>
    <row r="1919" spans="1:16">
      <c r="A1919" s="324"/>
      <c r="B1919" s="289"/>
      <c r="C1919" s="325"/>
      <c r="D1919" s="148" t="s">
        <v>412</v>
      </c>
      <c r="E1919" s="149"/>
      <c r="F1919" s="149"/>
      <c r="G1919" t="s">
        <v>428</v>
      </c>
      <c r="H1919" s="107">
        <v>43830</v>
      </c>
      <c r="I1919" s="151"/>
      <c r="K1919" s="71">
        <v>130952</v>
      </c>
      <c r="L1919" s="72">
        <v>116066</v>
      </c>
      <c r="M1919" s="71">
        <v>100066</v>
      </c>
      <c r="N1919" s="216">
        <v>107591</v>
      </c>
      <c r="O1919" s="71"/>
      <c r="P1919" s="72"/>
    </row>
    <row r="1920" spans="1:16">
      <c r="A1920" s="324"/>
      <c r="B1920" s="289"/>
      <c r="C1920" s="325"/>
      <c r="D1920" s="148" t="s">
        <v>415</v>
      </c>
      <c r="E1920" t="s">
        <v>1201</v>
      </c>
      <c r="G1920" t="s">
        <v>428</v>
      </c>
      <c r="H1920" s="107">
        <v>43830</v>
      </c>
      <c r="I1920" s="151"/>
      <c r="K1920" s="71">
        <f>1%*K1927</f>
        <v>27222.86</v>
      </c>
      <c r="L1920" s="72">
        <f>2%*L1927</f>
        <v>47662.92</v>
      </c>
      <c r="M1920" s="71">
        <f>0.4%*M1927</f>
        <v>8481.9</v>
      </c>
      <c r="N1920" s="216">
        <f>0.6%*N1927</f>
        <v>20212.224000000002</v>
      </c>
      <c r="O1920" s="71"/>
      <c r="P1920" s="72"/>
    </row>
    <row r="1921" spans="1:16">
      <c r="A1921" s="324"/>
      <c r="B1921" s="289"/>
      <c r="C1921" s="325"/>
      <c r="D1921" s="148" t="s">
        <v>415</v>
      </c>
      <c r="E1921" t="s">
        <v>1202</v>
      </c>
      <c r="G1921" t="s">
        <v>428</v>
      </c>
      <c r="H1921" s="107">
        <v>43830</v>
      </c>
      <c r="I1921" s="151"/>
      <c r="K1921" s="71">
        <f>3%*K1927</f>
        <v>81668.58</v>
      </c>
      <c r="L1921" s="72">
        <f>3%*L1927</f>
        <v>71494.37999999999</v>
      </c>
      <c r="M1921" s="71">
        <f>5%*M1927</f>
        <v>106023.75</v>
      </c>
      <c r="N1921" s="216">
        <f>3.5%*N1927</f>
        <v>117904.64000000001</v>
      </c>
      <c r="O1921" s="71"/>
      <c r="P1921" s="72"/>
    </row>
    <row r="1922" spans="1:16">
      <c r="A1922" s="324"/>
      <c r="B1922" s="289"/>
      <c r="C1922" s="325"/>
      <c r="D1922" s="148" t="s">
        <v>415</v>
      </c>
      <c r="E1922" t="s">
        <v>829</v>
      </c>
      <c r="G1922" t="s">
        <v>428</v>
      </c>
      <c r="H1922" s="107">
        <v>43830</v>
      </c>
      <c r="I1922" s="151"/>
      <c r="K1922" s="71">
        <f>1%*K1927</f>
        <v>27222.86</v>
      </c>
      <c r="L1922" s="72">
        <f>2%*L1927</f>
        <v>47662.92</v>
      </c>
      <c r="M1922" s="71">
        <f>0.3%*M1927</f>
        <v>6361.4250000000002</v>
      </c>
      <c r="N1922" s="216">
        <f>0.8%*N1927</f>
        <v>26949.632000000001</v>
      </c>
      <c r="O1922" s="71"/>
      <c r="P1922" s="72"/>
    </row>
    <row r="1923" spans="1:16">
      <c r="A1923" s="324"/>
      <c r="B1923" s="289"/>
      <c r="C1923" s="325"/>
      <c r="D1923" s="148" t="s">
        <v>415</v>
      </c>
      <c r="E1923" t="s">
        <v>656</v>
      </c>
      <c r="G1923" t="s">
        <v>428</v>
      </c>
      <c r="H1923" s="107">
        <v>43830</v>
      </c>
      <c r="I1923" s="151"/>
      <c r="K1923" s="71">
        <f>0%*K1927</f>
        <v>0</v>
      </c>
      <c r="L1923" s="72">
        <f>0.4%*L1927</f>
        <v>9532.5840000000007</v>
      </c>
      <c r="M1923" s="71">
        <f>0.4%*M1927</f>
        <v>8481.9</v>
      </c>
      <c r="N1923" s="216">
        <f>0.9%*N1927</f>
        <v>30318.336000000003</v>
      </c>
      <c r="O1923" s="71"/>
      <c r="P1923" s="72"/>
    </row>
    <row r="1924" spans="1:16">
      <c r="A1924" s="324"/>
      <c r="B1924" s="289"/>
      <c r="C1924" s="325"/>
      <c r="D1924" s="148" t="s">
        <v>415</v>
      </c>
      <c r="E1924" t="s">
        <v>657</v>
      </c>
      <c r="G1924" t="s">
        <v>428</v>
      </c>
      <c r="H1924" s="107">
        <v>43830</v>
      </c>
      <c r="I1924" s="151"/>
      <c r="K1924" s="71">
        <f>1%*K1927</f>
        <v>27222.86</v>
      </c>
      <c r="L1924" s="72">
        <f>0.4%*L1927</f>
        <v>9532.5840000000007</v>
      </c>
      <c r="M1924" s="71">
        <f>0.5%*M1927</f>
        <v>10602.375</v>
      </c>
      <c r="N1924" s="216">
        <f>0.4%*N1927</f>
        <v>13474.816000000001</v>
      </c>
      <c r="O1924" s="71"/>
      <c r="P1924" s="72"/>
    </row>
    <row r="1925" spans="1:16">
      <c r="A1925" s="324"/>
      <c r="B1925" s="289"/>
      <c r="C1925" s="325"/>
      <c r="D1925" s="148" t="s">
        <v>415</v>
      </c>
      <c r="E1925" t="s">
        <v>741</v>
      </c>
      <c r="G1925" t="s">
        <v>428</v>
      </c>
      <c r="H1925" s="107">
        <v>43830</v>
      </c>
      <c r="I1925" s="151"/>
      <c r="K1925" s="71">
        <f>1%*K1927</f>
        <v>27222.86</v>
      </c>
      <c r="L1925" s="72">
        <f>0.6%*L1927</f>
        <v>14298.876</v>
      </c>
      <c r="M1925" s="71">
        <f>2%*M1927</f>
        <v>42409.5</v>
      </c>
      <c r="N1925" s="216">
        <f>1.4%*N1927</f>
        <v>47161.855999999992</v>
      </c>
      <c r="O1925" s="71"/>
      <c r="P1925" s="72"/>
    </row>
    <row r="1926" spans="1:16">
      <c r="A1926" s="324"/>
      <c r="B1926" s="289"/>
      <c r="C1926" s="325"/>
      <c r="D1926" s="148" t="s">
        <v>415</v>
      </c>
      <c r="E1926" t="s">
        <v>653</v>
      </c>
      <c r="G1926" t="s">
        <v>428</v>
      </c>
      <c r="H1926" s="107">
        <v>43830</v>
      </c>
      <c r="I1926" s="151"/>
      <c r="K1926" s="71">
        <f>93%*K1927</f>
        <v>2531725.98</v>
      </c>
      <c r="L1926" s="72">
        <f>91.6%*L1927</f>
        <v>2182961.736</v>
      </c>
      <c r="M1926" s="71">
        <f>91.4%*M1927</f>
        <v>1938114.1500000001</v>
      </c>
      <c r="N1926" s="216">
        <f>92.4%*N1927</f>
        <v>3112682.4960000003</v>
      </c>
      <c r="O1926" s="71"/>
      <c r="P1926" s="72"/>
    </row>
    <row r="1927" spans="1:16">
      <c r="A1927" s="324"/>
      <c r="B1927" s="289"/>
      <c r="C1927" s="325"/>
      <c r="D1927" s="148" t="s">
        <v>415</v>
      </c>
      <c r="E1927" t="s">
        <v>660</v>
      </c>
      <c r="G1927" t="s">
        <v>428</v>
      </c>
      <c r="H1927" s="107">
        <v>43830</v>
      </c>
      <c r="I1927" s="151"/>
      <c r="K1927" s="71">
        <v>2722286</v>
      </c>
      <c r="L1927" s="72">
        <v>2383146</v>
      </c>
      <c r="M1927" s="71">
        <v>2120475</v>
      </c>
      <c r="N1927" s="216">
        <v>3368704</v>
      </c>
      <c r="O1927" s="71"/>
      <c r="P1927" s="72"/>
    </row>
    <row r="1928" spans="1:16">
      <c r="A1928" s="324"/>
      <c r="B1928" s="289"/>
      <c r="C1928" s="325"/>
      <c r="D1928" s="148" t="s">
        <v>417</v>
      </c>
      <c r="E1928" s="134" t="s">
        <v>661</v>
      </c>
      <c r="G1928" t="s">
        <v>669</v>
      </c>
      <c r="H1928" s="107">
        <v>43830</v>
      </c>
      <c r="I1928" s="151"/>
      <c r="K1928" s="71"/>
      <c r="L1928" s="72">
        <v>2996.3</v>
      </c>
      <c r="M1928" s="71">
        <v>3154</v>
      </c>
      <c r="N1928" s="216">
        <v>3407.9</v>
      </c>
      <c r="O1928" s="71"/>
      <c r="P1928" s="72"/>
    </row>
    <row r="1929" spans="1:16">
      <c r="A1929" s="324"/>
      <c r="B1929" s="289"/>
      <c r="C1929" s="325"/>
      <c r="D1929" s="150" t="s">
        <v>418</v>
      </c>
      <c r="H1929" s="107"/>
      <c r="I1929" s="65"/>
      <c r="K1929" s="71"/>
      <c r="L1929" s="72"/>
      <c r="M1929" s="71"/>
      <c r="N1929" s="216" t="s">
        <v>813</v>
      </c>
      <c r="O1929" s="71"/>
      <c r="P1929" s="72"/>
    </row>
    <row r="1930" spans="1:16">
      <c r="A1930" s="324"/>
      <c r="B1930" s="289"/>
      <c r="C1930" s="325"/>
      <c r="D1930" s="66"/>
      <c r="H1930" s="107"/>
      <c r="I1930" s="65"/>
      <c r="K1930" s="71"/>
      <c r="L1930" s="72"/>
      <c r="M1930" s="71"/>
      <c r="N1930" s="216"/>
      <c r="O1930" s="71"/>
      <c r="P1930" s="72"/>
    </row>
    <row r="1931" spans="1:16">
      <c r="A1931" s="315"/>
      <c r="B1931" s="293"/>
      <c r="C1931" s="317"/>
      <c r="D1931" s="66"/>
      <c r="H1931" s="107"/>
      <c r="I1931" s="65"/>
      <c r="K1931" s="71"/>
      <c r="L1931" s="72"/>
      <c r="M1931" s="71"/>
      <c r="N1931" s="216"/>
      <c r="O1931" s="71"/>
      <c r="P1931" s="72"/>
    </row>
    <row r="1932" spans="1:16">
      <c r="A1932" s="316" t="s">
        <v>900</v>
      </c>
      <c r="B1932" s="292">
        <v>0</v>
      </c>
      <c r="C1932" s="318" t="s">
        <v>901</v>
      </c>
      <c r="D1932" s="147" t="s">
        <v>411</v>
      </c>
      <c r="E1932" s="149"/>
      <c r="F1932" s="149"/>
      <c r="G1932" t="s">
        <v>428</v>
      </c>
      <c r="H1932" s="107">
        <v>43465</v>
      </c>
      <c r="I1932" s="151"/>
      <c r="K1932" s="71">
        <v>194358</v>
      </c>
      <c r="L1932" s="72">
        <v>204369</v>
      </c>
      <c r="M1932" s="71">
        <v>217828</v>
      </c>
      <c r="N1932" s="216"/>
      <c r="O1932" s="71"/>
      <c r="P1932" s="72"/>
    </row>
    <row r="1933" spans="1:16">
      <c r="A1933" s="324"/>
      <c r="B1933" s="289"/>
      <c r="C1933" s="325"/>
      <c r="D1933" s="148" t="s">
        <v>412</v>
      </c>
      <c r="E1933" s="149"/>
      <c r="F1933" s="149"/>
      <c r="G1933" t="s">
        <v>428</v>
      </c>
      <c r="H1933" s="107">
        <v>43465</v>
      </c>
      <c r="I1933" s="151"/>
      <c r="K1933" s="71">
        <v>130952</v>
      </c>
      <c r="L1933" s="72">
        <v>116066</v>
      </c>
      <c r="M1933" s="71">
        <v>100066</v>
      </c>
      <c r="N1933" s="216"/>
      <c r="O1933" s="71"/>
      <c r="P1933" s="72"/>
    </row>
    <row r="1934" spans="1:16">
      <c r="A1934" s="324"/>
      <c r="B1934" s="289"/>
      <c r="C1934" s="325"/>
      <c r="D1934" s="148" t="s">
        <v>415</v>
      </c>
      <c r="E1934" t="s">
        <v>1201</v>
      </c>
      <c r="G1934" t="s">
        <v>428</v>
      </c>
      <c r="H1934" s="107">
        <v>43465</v>
      </c>
      <c r="I1934" s="151"/>
      <c r="K1934" s="71">
        <f>1%*K1941</f>
        <v>27222.86</v>
      </c>
      <c r="L1934" s="72">
        <f>2%*L1941</f>
        <v>47662.92</v>
      </c>
      <c r="M1934" s="71">
        <f>0.4%*M1941</f>
        <v>8481.9</v>
      </c>
      <c r="N1934" s="216"/>
      <c r="O1934" s="71"/>
      <c r="P1934" s="72"/>
    </row>
    <row r="1935" spans="1:16">
      <c r="A1935" s="324"/>
      <c r="B1935" s="289"/>
      <c r="C1935" s="325"/>
      <c r="D1935" s="148" t="s">
        <v>415</v>
      </c>
      <c r="E1935" t="s">
        <v>1202</v>
      </c>
      <c r="G1935" t="s">
        <v>428</v>
      </c>
      <c r="H1935" s="107">
        <v>43465</v>
      </c>
      <c r="I1935" s="151"/>
      <c r="K1935" s="71">
        <f>3%*K1941</f>
        <v>81668.58</v>
      </c>
      <c r="L1935" s="72">
        <f>3%*L1941</f>
        <v>71494.37999999999</v>
      </c>
      <c r="M1935" s="71">
        <f>5%*M1941</f>
        <v>106023.75</v>
      </c>
      <c r="N1935" s="216"/>
      <c r="O1935" s="71"/>
      <c r="P1935" s="72"/>
    </row>
    <row r="1936" spans="1:16">
      <c r="A1936" s="324"/>
      <c r="B1936" s="289"/>
      <c r="C1936" s="325"/>
      <c r="D1936" s="148" t="s">
        <v>415</v>
      </c>
      <c r="E1936" t="s">
        <v>829</v>
      </c>
      <c r="G1936" t="s">
        <v>428</v>
      </c>
      <c r="H1936" s="107">
        <v>43465</v>
      </c>
      <c r="I1936" s="151"/>
      <c r="K1936" s="71">
        <f>1%*K1941</f>
        <v>27222.86</v>
      </c>
      <c r="L1936" s="72">
        <f>2%*L1941</f>
        <v>47662.92</v>
      </c>
      <c r="M1936" s="71">
        <f>0.3%*M1941</f>
        <v>6361.4250000000002</v>
      </c>
      <c r="N1936" s="216"/>
      <c r="O1936" s="71"/>
      <c r="P1936" s="72"/>
    </row>
    <row r="1937" spans="1:16">
      <c r="A1937" s="324"/>
      <c r="B1937" s="289"/>
      <c r="C1937" s="325"/>
      <c r="D1937" s="148" t="s">
        <v>415</v>
      </c>
      <c r="E1937" t="s">
        <v>656</v>
      </c>
      <c r="G1937" t="s">
        <v>428</v>
      </c>
      <c r="H1937" s="107">
        <v>43465</v>
      </c>
      <c r="I1937" s="151"/>
      <c r="K1937" s="71">
        <f>0%*K1941</f>
        <v>0</v>
      </c>
      <c r="L1937" s="72">
        <f>0.4%*L1941</f>
        <v>9532.5840000000007</v>
      </c>
      <c r="M1937" s="71">
        <f>0.4%*M1941</f>
        <v>8481.9</v>
      </c>
      <c r="N1937" s="216"/>
      <c r="O1937" s="71"/>
      <c r="P1937" s="72"/>
    </row>
    <row r="1938" spans="1:16">
      <c r="A1938" s="324"/>
      <c r="B1938" s="289"/>
      <c r="C1938" s="325"/>
      <c r="D1938" s="148" t="s">
        <v>415</v>
      </c>
      <c r="E1938" t="s">
        <v>657</v>
      </c>
      <c r="G1938" t="s">
        <v>428</v>
      </c>
      <c r="H1938" s="107">
        <v>43465</v>
      </c>
      <c r="I1938" s="151"/>
      <c r="K1938" s="71">
        <f>1%*K1941</f>
        <v>27222.86</v>
      </c>
      <c r="L1938" s="72">
        <f>0.4%*L1941</f>
        <v>9532.5840000000007</v>
      </c>
      <c r="M1938" s="71">
        <f>0.5%*M1941</f>
        <v>10602.375</v>
      </c>
      <c r="N1938" s="216"/>
      <c r="O1938" s="71"/>
      <c r="P1938" s="72"/>
    </row>
    <row r="1939" spans="1:16">
      <c r="A1939" s="324"/>
      <c r="B1939" s="289"/>
      <c r="C1939" s="325"/>
      <c r="D1939" s="148" t="s">
        <v>415</v>
      </c>
      <c r="E1939" t="s">
        <v>741</v>
      </c>
      <c r="G1939" t="s">
        <v>428</v>
      </c>
      <c r="H1939" s="107">
        <v>43465</v>
      </c>
      <c r="I1939" s="151"/>
      <c r="K1939" s="71">
        <f>1%*K1941</f>
        <v>27222.86</v>
      </c>
      <c r="L1939" s="72">
        <f>0.6%*L1941</f>
        <v>14298.876</v>
      </c>
      <c r="M1939" s="71">
        <f>2%*M1941</f>
        <v>42409.5</v>
      </c>
      <c r="N1939" s="216"/>
      <c r="O1939" s="71"/>
      <c r="P1939" s="72"/>
    </row>
    <row r="1940" spans="1:16">
      <c r="A1940" s="324"/>
      <c r="B1940" s="289"/>
      <c r="C1940" s="325"/>
      <c r="D1940" s="148" t="s">
        <v>415</v>
      </c>
      <c r="E1940" t="s">
        <v>653</v>
      </c>
      <c r="G1940" t="s">
        <v>428</v>
      </c>
      <c r="H1940" s="107">
        <v>43465</v>
      </c>
      <c r="I1940" s="151"/>
      <c r="K1940" s="71">
        <f>93%*K1941</f>
        <v>2531725.98</v>
      </c>
      <c r="L1940" s="72">
        <f>91.6%*L1941</f>
        <v>2182961.736</v>
      </c>
      <c r="M1940" s="71">
        <f>91.4%*M1941</f>
        <v>1938114.1500000001</v>
      </c>
      <c r="N1940" s="216"/>
      <c r="O1940" s="71"/>
      <c r="P1940" s="72"/>
    </row>
    <row r="1941" spans="1:16">
      <c r="A1941" s="324"/>
      <c r="B1941" s="289"/>
      <c r="C1941" s="325"/>
      <c r="D1941" s="148" t="s">
        <v>415</v>
      </c>
      <c r="E1941" t="s">
        <v>660</v>
      </c>
      <c r="G1941" t="s">
        <v>428</v>
      </c>
      <c r="H1941" s="107">
        <v>43465</v>
      </c>
      <c r="I1941" s="151"/>
      <c r="K1941" s="71">
        <v>2722286</v>
      </c>
      <c r="L1941" s="72">
        <v>2383146</v>
      </c>
      <c r="M1941" s="71">
        <v>2120475</v>
      </c>
      <c r="N1941" s="216"/>
      <c r="O1941" s="71"/>
      <c r="P1941" s="72"/>
    </row>
    <row r="1942" spans="1:16">
      <c r="A1942" s="324"/>
      <c r="B1942" s="289"/>
      <c r="C1942" s="325"/>
      <c r="D1942" s="148" t="s">
        <v>417</v>
      </c>
      <c r="E1942" s="134" t="s">
        <v>661</v>
      </c>
      <c r="G1942" t="s">
        <v>669</v>
      </c>
      <c r="H1942" s="107">
        <v>43465</v>
      </c>
      <c r="I1942" s="151"/>
      <c r="K1942" s="71">
        <v>2903</v>
      </c>
      <c r="L1942" s="72">
        <v>2996.3</v>
      </c>
      <c r="M1942" s="71">
        <v>3154</v>
      </c>
      <c r="N1942" s="216"/>
      <c r="O1942" s="71"/>
      <c r="P1942" s="72"/>
    </row>
    <row r="1943" spans="1:16">
      <c r="A1943" s="324"/>
      <c r="B1943" s="289"/>
      <c r="C1943" s="325"/>
      <c r="D1943" s="150" t="s">
        <v>418</v>
      </c>
      <c r="H1943" s="107"/>
      <c r="I1943" s="65"/>
      <c r="K1943" s="71"/>
      <c r="L1943" s="72"/>
      <c r="M1943" s="71" t="s">
        <v>814</v>
      </c>
      <c r="N1943" s="216"/>
      <c r="O1943" s="71"/>
      <c r="P1943" s="72"/>
    </row>
    <row r="1944" spans="1:16">
      <c r="A1944" s="316" t="s">
        <v>900</v>
      </c>
      <c r="B1944" s="292">
        <v>0</v>
      </c>
      <c r="C1944" s="318" t="s">
        <v>901</v>
      </c>
      <c r="D1944" s="147" t="s">
        <v>411</v>
      </c>
      <c r="E1944" s="149"/>
      <c r="F1944" s="149"/>
      <c r="G1944" t="s">
        <v>428</v>
      </c>
      <c r="H1944" s="107">
        <v>43100</v>
      </c>
      <c r="I1944" s="151"/>
      <c r="K1944" s="71">
        <v>194358</v>
      </c>
      <c r="L1944" s="72">
        <v>204369</v>
      </c>
      <c r="M1944" s="71"/>
      <c r="N1944" s="216"/>
      <c r="O1944" s="71"/>
      <c r="P1944" s="72"/>
    </row>
    <row r="1945" spans="1:16">
      <c r="A1945" s="324"/>
      <c r="B1945" s="289"/>
      <c r="C1945" s="325"/>
      <c r="D1945" s="148" t="s">
        <v>412</v>
      </c>
      <c r="E1945" s="149"/>
      <c r="F1945" s="149"/>
      <c r="G1945" t="s">
        <v>428</v>
      </c>
      <c r="H1945" s="107">
        <v>43100</v>
      </c>
      <c r="I1945" s="151"/>
      <c r="K1945" s="71">
        <v>130952</v>
      </c>
      <c r="L1945" s="72">
        <v>116066</v>
      </c>
      <c r="M1945" s="71"/>
      <c r="N1945" s="216"/>
      <c r="O1945" s="71"/>
      <c r="P1945" s="72"/>
    </row>
    <row r="1946" spans="1:16">
      <c r="A1946" s="324"/>
      <c r="B1946" s="289"/>
      <c r="C1946" s="325"/>
      <c r="D1946" s="148" t="s">
        <v>415</v>
      </c>
      <c r="E1946" t="s">
        <v>1201</v>
      </c>
      <c r="G1946" t="s">
        <v>428</v>
      </c>
      <c r="H1946" s="107">
        <v>43100</v>
      </c>
      <c r="I1946" s="151"/>
      <c r="K1946" s="71">
        <f>1%*K1953</f>
        <v>27222.86</v>
      </c>
      <c r="L1946" s="72">
        <f>2%*L1953</f>
        <v>47662.92</v>
      </c>
      <c r="M1946" s="71"/>
      <c r="N1946" s="216"/>
      <c r="O1946" s="71"/>
      <c r="P1946" s="72"/>
    </row>
    <row r="1947" spans="1:16">
      <c r="A1947" s="324"/>
      <c r="B1947" s="289"/>
      <c r="C1947" s="325"/>
      <c r="D1947" s="148" t="s">
        <v>415</v>
      </c>
      <c r="E1947" t="s">
        <v>1202</v>
      </c>
      <c r="G1947" t="s">
        <v>428</v>
      </c>
      <c r="H1947" s="107">
        <v>43100</v>
      </c>
      <c r="I1947" s="151"/>
      <c r="K1947" s="71">
        <f>3%*K1953</f>
        <v>81668.58</v>
      </c>
      <c r="L1947" s="72">
        <f>3%*L1953</f>
        <v>71494.37999999999</v>
      </c>
      <c r="M1947" s="71"/>
      <c r="N1947" s="216"/>
      <c r="O1947" s="71"/>
      <c r="P1947" s="72"/>
    </row>
    <row r="1948" spans="1:16">
      <c r="A1948" s="324"/>
      <c r="B1948" s="289"/>
      <c r="C1948" s="325"/>
      <c r="D1948" s="148" t="s">
        <v>415</v>
      </c>
      <c r="E1948" t="s">
        <v>829</v>
      </c>
      <c r="G1948" t="s">
        <v>428</v>
      </c>
      <c r="H1948" s="107">
        <v>43100</v>
      </c>
      <c r="I1948" s="151"/>
      <c r="K1948" s="71">
        <f>1%*K1953</f>
        <v>27222.86</v>
      </c>
      <c r="L1948" s="72">
        <f>2%*L1953</f>
        <v>47662.92</v>
      </c>
      <c r="M1948" s="71"/>
      <c r="N1948" s="216"/>
      <c r="O1948" s="71"/>
      <c r="P1948" s="72"/>
    </row>
    <row r="1949" spans="1:16">
      <c r="A1949" s="324"/>
      <c r="B1949" s="289"/>
      <c r="C1949" s="325"/>
      <c r="D1949" s="148" t="s">
        <v>415</v>
      </c>
      <c r="E1949" t="s">
        <v>656</v>
      </c>
      <c r="G1949" t="s">
        <v>428</v>
      </c>
      <c r="H1949" s="107">
        <v>43100</v>
      </c>
      <c r="I1949" s="151"/>
      <c r="K1949" s="71">
        <f>0%*K1953</f>
        <v>0</v>
      </c>
      <c r="L1949" s="72">
        <f>0.4%*L1953</f>
        <v>9532.5840000000007</v>
      </c>
      <c r="M1949" s="71"/>
      <c r="N1949" s="216"/>
      <c r="O1949" s="71"/>
      <c r="P1949" s="72"/>
    </row>
    <row r="1950" spans="1:16">
      <c r="A1950" s="324"/>
      <c r="B1950" s="289"/>
      <c r="C1950" s="325"/>
      <c r="D1950" s="148" t="s">
        <v>415</v>
      </c>
      <c r="E1950" t="s">
        <v>657</v>
      </c>
      <c r="G1950" t="s">
        <v>428</v>
      </c>
      <c r="H1950" s="107">
        <v>43100</v>
      </c>
      <c r="I1950" s="151"/>
      <c r="K1950" s="71">
        <f>1%*K1953</f>
        <v>27222.86</v>
      </c>
      <c r="L1950" s="72">
        <f>0.4%*L1953</f>
        <v>9532.5840000000007</v>
      </c>
      <c r="M1950" s="71"/>
      <c r="N1950" s="216"/>
      <c r="O1950" s="71"/>
      <c r="P1950" s="72"/>
    </row>
    <row r="1951" spans="1:16">
      <c r="A1951" s="324"/>
      <c r="B1951" s="289"/>
      <c r="C1951" s="325"/>
      <c r="D1951" s="148" t="s">
        <v>415</v>
      </c>
      <c r="E1951" t="s">
        <v>741</v>
      </c>
      <c r="G1951" t="s">
        <v>428</v>
      </c>
      <c r="H1951" s="107">
        <v>43100</v>
      </c>
      <c r="I1951" s="151"/>
      <c r="K1951" s="71">
        <f>1%*K1953</f>
        <v>27222.86</v>
      </c>
      <c r="L1951" s="72">
        <f>0.6%*L1953</f>
        <v>14298.876</v>
      </c>
      <c r="M1951" s="71"/>
      <c r="N1951" s="216"/>
      <c r="O1951" s="71"/>
      <c r="P1951" s="72"/>
    </row>
    <row r="1952" spans="1:16">
      <c r="A1952" s="324"/>
      <c r="B1952" s="289"/>
      <c r="C1952" s="325"/>
      <c r="D1952" s="148" t="s">
        <v>415</v>
      </c>
      <c r="E1952" t="s">
        <v>653</v>
      </c>
      <c r="G1952" t="s">
        <v>428</v>
      </c>
      <c r="H1952" s="107">
        <v>43100</v>
      </c>
      <c r="I1952" s="151"/>
      <c r="K1952" s="71">
        <f>93%*K1953</f>
        <v>2531725.98</v>
      </c>
      <c r="L1952" s="72">
        <f>91.6%*L1953</f>
        <v>2182961.736</v>
      </c>
      <c r="M1952" s="71"/>
      <c r="N1952" s="216"/>
      <c r="O1952" s="71"/>
      <c r="P1952" s="72"/>
    </row>
    <row r="1953" spans="1:16">
      <c r="A1953" s="324"/>
      <c r="B1953" s="289"/>
      <c r="C1953" s="325"/>
      <c r="D1953" s="148" t="s">
        <v>415</v>
      </c>
      <c r="E1953" t="s">
        <v>660</v>
      </c>
      <c r="G1953" t="s">
        <v>428</v>
      </c>
      <c r="H1953" s="107">
        <v>43100</v>
      </c>
      <c r="I1953" s="151"/>
      <c r="K1953" s="71">
        <v>2722286</v>
      </c>
      <c r="L1953" s="72">
        <v>2383146</v>
      </c>
      <c r="M1953" s="71"/>
      <c r="N1953" s="216"/>
      <c r="O1953" s="71"/>
      <c r="P1953" s="72"/>
    </row>
    <row r="1954" spans="1:16">
      <c r="A1954" s="324"/>
      <c r="B1954" s="289"/>
      <c r="C1954" s="325"/>
      <c r="D1954" s="148" t="s">
        <v>417</v>
      </c>
      <c r="E1954" s="134" t="s">
        <v>661</v>
      </c>
      <c r="G1954" t="s">
        <v>669</v>
      </c>
      <c r="H1954" s="107">
        <v>43100</v>
      </c>
      <c r="I1954" s="151"/>
      <c r="K1954" s="71">
        <v>2903</v>
      </c>
      <c r="L1954" s="72">
        <v>2996.3</v>
      </c>
      <c r="M1954" s="71"/>
      <c r="N1954" s="216"/>
      <c r="O1954" s="71"/>
      <c r="P1954" s="72"/>
    </row>
    <row r="1955" spans="1:16">
      <c r="A1955" s="324"/>
      <c r="B1955" s="289"/>
      <c r="C1955" s="325"/>
      <c r="D1955" s="150" t="s">
        <v>418</v>
      </c>
      <c r="H1955" s="107"/>
      <c r="I1955" s="65"/>
      <c r="K1955" s="71"/>
      <c r="L1955" s="72" t="s">
        <v>815</v>
      </c>
      <c r="M1955" s="71"/>
      <c r="N1955" s="216"/>
      <c r="O1955" s="71"/>
      <c r="P1955" s="72"/>
    </row>
    <row r="1956" spans="1:16">
      <c r="A1956" s="306" t="s">
        <v>902</v>
      </c>
      <c r="B1956" s="292">
        <v>0</v>
      </c>
      <c r="C1956" s="307" t="s">
        <v>903</v>
      </c>
      <c r="D1956" s="147" t="s">
        <v>411</v>
      </c>
      <c r="G1956" t="s">
        <v>816</v>
      </c>
      <c r="H1956" s="107">
        <v>44561</v>
      </c>
      <c r="I1956" s="151"/>
      <c r="K1956" s="71"/>
      <c r="L1956" s="72"/>
      <c r="M1956" s="71">
        <v>2430</v>
      </c>
      <c r="N1956" s="216">
        <v>2164</v>
      </c>
      <c r="O1956" s="71">
        <v>1825</v>
      </c>
      <c r="P1956" s="72">
        <v>2070</v>
      </c>
    </row>
    <row r="1957" spans="1:16">
      <c r="A1957" s="306"/>
      <c r="B1957" s="289"/>
      <c r="C1957" s="307"/>
      <c r="D1957" s="148" t="s">
        <v>412</v>
      </c>
      <c r="G1957" t="s">
        <v>816</v>
      </c>
      <c r="H1957" s="107">
        <v>44561</v>
      </c>
      <c r="I1957" s="151"/>
      <c r="K1957" s="71"/>
      <c r="L1957" s="72"/>
      <c r="M1957" s="71">
        <v>626</v>
      </c>
      <c r="N1957" s="216">
        <v>523</v>
      </c>
      <c r="O1957" s="71">
        <v>406</v>
      </c>
      <c r="P1957" s="72">
        <v>339</v>
      </c>
    </row>
    <row r="1958" spans="1:16">
      <c r="A1958" s="306"/>
      <c r="B1958" s="289"/>
      <c r="C1958" s="307"/>
      <c r="D1958" s="148" t="s">
        <v>414</v>
      </c>
      <c r="G1958" t="s">
        <v>816</v>
      </c>
      <c r="H1958" s="107">
        <v>44561</v>
      </c>
      <c r="I1958" s="151"/>
      <c r="K1958" s="71"/>
      <c r="L1958" s="72"/>
      <c r="M1958" s="71">
        <f t="shared" ref="M1958:O1958" si="88">SUM(M1956:M1957)</f>
        <v>3056</v>
      </c>
      <c r="N1958" s="216">
        <f t="shared" si="88"/>
        <v>2687</v>
      </c>
      <c r="O1958" s="71">
        <f t="shared" si="88"/>
        <v>2231</v>
      </c>
      <c r="P1958" s="72">
        <f>SUM(P1956:P1957)</f>
        <v>2409</v>
      </c>
    </row>
    <row r="1959" spans="1:16">
      <c r="A1959" s="306"/>
      <c r="B1959" s="289"/>
      <c r="C1959" s="307"/>
      <c r="D1959" s="148" t="s">
        <v>415</v>
      </c>
      <c r="G1959" t="s">
        <v>816</v>
      </c>
      <c r="H1959" s="107">
        <v>44561</v>
      </c>
      <c r="I1959" s="151"/>
      <c r="K1959" s="71"/>
      <c r="L1959" s="72"/>
      <c r="M1959" s="71"/>
      <c r="N1959" s="216">
        <v>3322</v>
      </c>
      <c r="O1959" s="71">
        <v>1619</v>
      </c>
      <c r="P1959" s="72">
        <v>1599</v>
      </c>
    </row>
    <row r="1960" spans="1:16">
      <c r="A1960" s="306"/>
      <c r="B1960" s="289"/>
      <c r="C1960" s="307"/>
      <c r="D1960" s="148" t="s">
        <v>417</v>
      </c>
      <c r="E1960" s="134" t="s">
        <v>661</v>
      </c>
      <c r="G1960" t="s">
        <v>817</v>
      </c>
      <c r="H1960" s="107">
        <v>44561</v>
      </c>
      <c r="I1960" s="151"/>
      <c r="J1960">
        <v>104864</v>
      </c>
      <c r="K1960" s="71">
        <v>88580</v>
      </c>
      <c r="L1960" s="72">
        <v>106252</v>
      </c>
      <c r="M1960" s="71">
        <v>231302</v>
      </c>
      <c r="N1960" s="216">
        <v>262028</v>
      </c>
      <c r="O1960" s="71">
        <v>201542</v>
      </c>
      <c r="P1960" s="72">
        <v>258874</v>
      </c>
    </row>
    <row r="1961" spans="1:16">
      <c r="A1961" s="306"/>
      <c r="B1961" s="289"/>
      <c r="C1961" s="307"/>
      <c r="D1961" s="150" t="s">
        <v>418</v>
      </c>
      <c r="H1961" s="107">
        <v>44561</v>
      </c>
      <c r="I1961" s="151"/>
      <c r="K1961" s="71"/>
      <c r="L1961" s="72"/>
      <c r="M1961" s="71"/>
      <c r="N1961" s="216"/>
      <c r="O1961" s="71"/>
      <c r="P1961" s="72" t="s">
        <v>818</v>
      </c>
    </row>
    <row r="1962" spans="1:16">
      <c r="A1962" s="306" t="s">
        <v>902</v>
      </c>
      <c r="B1962" s="292">
        <v>0</v>
      </c>
      <c r="C1962" s="307" t="s">
        <v>903</v>
      </c>
      <c r="D1962" s="147" t="s">
        <v>411</v>
      </c>
      <c r="G1962" t="s">
        <v>428</v>
      </c>
      <c r="H1962" s="107">
        <v>44196</v>
      </c>
      <c r="I1962" s="151" t="s">
        <v>970</v>
      </c>
      <c r="K1962" s="71">
        <v>38990</v>
      </c>
      <c r="L1962" s="72">
        <v>44332</v>
      </c>
      <c r="M1962" s="71">
        <v>44778</v>
      </c>
      <c r="N1962" s="216">
        <v>36681</v>
      </c>
      <c r="O1962" s="71"/>
      <c r="P1962" s="72"/>
    </row>
    <row r="1963" spans="1:16">
      <c r="A1963" s="306"/>
      <c r="B1963" s="289"/>
      <c r="C1963" s="307"/>
      <c r="D1963" s="148" t="s">
        <v>412</v>
      </c>
      <c r="G1963" t="s">
        <v>428</v>
      </c>
      <c r="H1963" s="107">
        <v>44196</v>
      </c>
      <c r="I1963" s="151" t="s">
        <v>970</v>
      </c>
      <c r="K1963" s="71">
        <v>185474</v>
      </c>
      <c r="L1963" s="72">
        <v>206312</v>
      </c>
      <c r="M1963" s="71">
        <v>204321</v>
      </c>
      <c r="N1963" s="216">
        <v>128693</v>
      </c>
      <c r="O1963" s="71"/>
      <c r="P1963" s="72"/>
    </row>
    <row r="1964" spans="1:16">
      <c r="A1964" s="306"/>
      <c r="B1964" s="289"/>
      <c r="C1964" s="307"/>
      <c r="D1964" s="148" t="s">
        <v>414</v>
      </c>
      <c r="G1964" t="s">
        <v>428</v>
      </c>
      <c r="H1964" s="107">
        <v>44196</v>
      </c>
      <c r="I1964" s="151" t="s">
        <v>970</v>
      </c>
      <c r="K1964" s="71">
        <f t="shared" ref="K1964:N1964" si="89">SUM(K1962:K1963)</f>
        <v>224464</v>
      </c>
      <c r="L1964" s="72">
        <f t="shared" si="89"/>
        <v>250644</v>
      </c>
      <c r="M1964" s="71">
        <f t="shared" si="89"/>
        <v>249099</v>
      </c>
      <c r="N1964" s="216">
        <f t="shared" si="89"/>
        <v>165374</v>
      </c>
      <c r="O1964" s="71"/>
      <c r="P1964" s="72"/>
    </row>
    <row r="1965" spans="1:16">
      <c r="A1965" s="306"/>
      <c r="B1965" s="289"/>
      <c r="C1965" s="307"/>
      <c r="D1965" s="148" t="s">
        <v>415</v>
      </c>
      <c r="E1965" t="s">
        <v>653</v>
      </c>
      <c r="G1965" t="s">
        <v>428</v>
      </c>
      <c r="H1965" s="107">
        <v>44196</v>
      </c>
      <c r="I1965" s="151" t="s">
        <v>970</v>
      </c>
      <c r="K1965" s="71"/>
      <c r="L1965" s="72"/>
      <c r="M1965" s="71"/>
      <c r="N1965" s="216">
        <v>469342</v>
      </c>
      <c r="O1965" s="71"/>
      <c r="P1965" s="72"/>
    </row>
    <row r="1966" spans="1:16">
      <c r="A1966" s="306"/>
      <c r="B1966" s="289"/>
      <c r="C1966" s="307"/>
      <c r="D1966" s="148" t="s">
        <v>415</v>
      </c>
      <c r="E1966" t="s">
        <v>819</v>
      </c>
      <c r="G1966" t="s">
        <v>428</v>
      </c>
      <c r="H1966" s="107">
        <v>44196</v>
      </c>
      <c r="I1966" s="151" t="s">
        <v>970</v>
      </c>
      <c r="K1966" s="71"/>
      <c r="L1966" s="72"/>
      <c r="M1966" s="71"/>
      <c r="N1966" s="216">
        <v>19862</v>
      </c>
      <c r="O1966" s="71"/>
      <c r="P1966" s="72"/>
    </row>
    <row r="1967" spans="1:16">
      <c r="A1967" s="306"/>
      <c r="B1967" s="289"/>
      <c r="C1967" s="307"/>
      <c r="D1967" s="148" t="s">
        <v>415</v>
      </c>
      <c r="E1967" t="s">
        <v>820</v>
      </c>
      <c r="G1967" t="s">
        <v>428</v>
      </c>
      <c r="H1967" s="107">
        <v>44196</v>
      </c>
      <c r="I1967" s="151" t="s">
        <v>970</v>
      </c>
      <c r="K1967" s="71"/>
      <c r="L1967" s="72"/>
      <c r="M1967" s="71"/>
      <c r="N1967" s="216"/>
      <c r="O1967" s="71"/>
      <c r="P1967" s="72"/>
    </row>
    <row r="1968" spans="1:16">
      <c r="A1968" s="306"/>
      <c r="B1968" s="289"/>
      <c r="C1968" s="307"/>
      <c r="D1968" s="148" t="s">
        <v>415</v>
      </c>
      <c r="E1968" t="s">
        <v>821</v>
      </c>
      <c r="G1968" t="s">
        <v>428</v>
      </c>
      <c r="H1968" s="107">
        <v>44196</v>
      </c>
      <c r="I1968" s="151" t="s">
        <v>970</v>
      </c>
      <c r="K1968" s="71">
        <v>4439</v>
      </c>
      <c r="L1968" s="72">
        <v>5551</v>
      </c>
      <c r="M1968" s="71">
        <v>6234</v>
      </c>
      <c r="N1968" s="216">
        <v>4903</v>
      </c>
      <c r="O1968" s="71"/>
      <c r="P1968" s="72"/>
    </row>
    <row r="1969" spans="1:16">
      <c r="A1969" s="306"/>
      <c r="B1969" s="289"/>
      <c r="C1969" s="307"/>
      <c r="D1969" s="148" t="s">
        <v>415</v>
      </c>
      <c r="E1969" t="s">
        <v>822</v>
      </c>
      <c r="G1969" t="s">
        <v>428</v>
      </c>
      <c r="H1969" s="107">
        <v>44196</v>
      </c>
      <c r="I1969" s="151" t="s">
        <v>970</v>
      </c>
      <c r="K1969" s="71">
        <v>0</v>
      </c>
      <c r="L1969" s="72">
        <v>748</v>
      </c>
      <c r="M1969" s="71">
        <v>656</v>
      </c>
      <c r="N1969" s="216">
        <v>501</v>
      </c>
      <c r="O1969" s="71"/>
      <c r="P1969" s="72"/>
    </row>
    <row r="1970" spans="1:16">
      <c r="A1970" s="306"/>
      <c r="B1970" s="289"/>
      <c r="C1970" s="307"/>
      <c r="D1970" s="148" t="s">
        <v>415</v>
      </c>
      <c r="E1970" t="s">
        <v>656</v>
      </c>
      <c r="G1970" t="s">
        <v>428</v>
      </c>
      <c r="H1970" s="107">
        <v>44196</v>
      </c>
      <c r="I1970" s="151" t="s">
        <v>970</v>
      </c>
      <c r="K1970" s="71"/>
      <c r="L1970" s="72"/>
      <c r="M1970" s="71"/>
      <c r="N1970" s="216"/>
      <c r="O1970" s="71"/>
      <c r="P1970" s="72"/>
    </row>
    <row r="1971" spans="1:16">
      <c r="A1971" s="306"/>
      <c r="B1971" s="289"/>
      <c r="C1971" s="307"/>
      <c r="D1971" s="148" t="s">
        <v>415</v>
      </c>
      <c r="E1971" t="s">
        <v>657</v>
      </c>
      <c r="G1971" t="s">
        <v>428</v>
      </c>
      <c r="H1971" s="107">
        <v>44196</v>
      </c>
      <c r="I1971" s="151" t="s">
        <v>970</v>
      </c>
      <c r="K1971" s="71"/>
      <c r="L1971" s="72"/>
      <c r="M1971" s="71"/>
      <c r="N1971" s="216">
        <v>413096</v>
      </c>
      <c r="O1971" s="71"/>
      <c r="P1971" s="72"/>
    </row>
    <row r="1972" spans="1:16">
      <c r="A1972" s="306"/>
      <c r="B1972" s="289"/>
      <c r="C1972" s="307"/>
      <c r="D1972" s="148" t="s">
        <v>415</v>
      </c>
      <c r="E1972" t="s">
        <v>770</v>
      </c>
      <c r="G1972" t="s">
        <v>428</v>
      </c>
      <c r="H1972" s="107">
        <v>44196</v>
      </c>
      <c r="I1972" s="151" t="s">
        <v>970</v>
      </c>
      <c r="K1972" s="71"/>
      <c r="L1972" s="72"/>
      <c r="M1972" s="71"/>
      <c r="N1972" s="216"/>
      <c r="O1972" s="71"/>
      <c r="P1972" s="72"/>
    </row>
    <row r="1973" spans="1:16">
      <c r="A1973" s="306"/>
      <c r="B1973" s="289"/>
      <c r="C1973" s="307"/>
      <c r="D1973" s="148" t="s">
        <v>415</v>
      </c>
      <c r="E1973" t="s">
        <v>823</v>
      </c>
      <c r="G1973" t="s">
        <v>428</v>
      </c>
      <c r="H1973" s="107">
        <v>44196</v>
      </c>
      <c r="I1973" s="151" t="s">
        <v>970</v>
      </c>
      <c r="K1973" s="71"/>
      <c r="L1973" s="72"/>
      <c r="M1973" s="71"/>
      <c r="N1973" s="216"/>
      <c r="O1973" s="71"/>
      <c r="P1973" s="72"/>
    </row>
    <row r="1974" spans="1:16">
      <c r="A1974" s="306"/>
      <c r="B1974" s="289"/>
      <c r="C1974" s="307"/>
      <c r="D1974" s="148" t="s">
        <v>415</v>
      </c>
      <c r="E1974" t="s">
        <v>740</v>
      </c>
      <c r="G1974" t="s">
        <v>428</v>
      </c>
      <c r="H1974" s="107">
        <v>44196</v>
      </c>
      <c r="I1974" s="151" t="s">
        <v>970</v>
      </c>
      <c r="K1974" s="71"/>
      <c r="L1974" s="72"/>
      <c r="M1974" s="71"/>
      <c r="N1974" s="216"/>
      <c r="O1974" s="71"/>
      <c r="P1974" s="72"/>
    </row>
    <row r="1975" spans="1:16">
      <c r="A1975" s="306"/>
      <c r="B1975" s="289"/>
      <c r="C1975" s="307"/>
      <c r="D1975" s="148" t="s">
        <v>415</v>
      </c>
      <c r="E1975" t="s">
        <v>658</v>
      </c>
      <c r="G1975" t="s">
        <v>428</v>
      </c>
      <c r="H1975" s="107">
        <v>44196</v>
      </c>
      <c r="I1975" s="151" t="s">
        <v>970</v>
      </c>
      <c r="K1975" s="71"/>
      <c r="L1975" s="72"/>
      <c r="M1975" s="71"/>
      <c r="N1975" s="216">
        <v>2827136</v>
      </c>
      <c r="O1975" s="71"/>
      <c r="P1975" s="72"/>
    </row>
    <row r="1976" spans="1:16">
      <c r="A1976" s="306"/>
      <c r="B1976" s="289"/>
      <c r="C1976" s="307"/>
      <c r="D1976" s="148" t="s">
        <v>415</v>
      </c>
      <c r="E1976" t="s">
        <v>824</v>
      </c>
      <c r="G1976" t="s">
        <v>428</v>
      </c>
      <c r="H1976" s="107">
        <v>44196</v>
      </c>
      <c r="I1976" s="151" t="s">
        <v>970</v>
      </c>
      <c r="K1976" s="71"/>
      <c r="L1976" s="72"/>
      <c r="M1976" s="71"/>
      <c r="N1976" s="216">
        <v>0</v>
      </c>
      <c r="O1976" s="71"/>
      <c r="P1976" s="72"/>
    </row>
    <row r="1977" spans="1:16">
      <c r="A1977" s="306"/>
      <c r="B1977" s="289"/>
      <c r="C1977" s="307"/>
      <c r="D1977" s="148" t="s">
        <v>415</v>
      </c>
      <c r="E1977" t="s">
        <v>659</v>
      </c>
      <c r="G1977" t="s">
        <v>428</v>
      </c>
      <c r="H1977" s="107">
        <v>44196</v>
      </c>
      <c r="I1977" s="151" t="s">
        <v>970</v>
      </c>
      <c r="K1977" s="71"/>
      <c r="L1977" s="72"/>
      <c r="M1977" s="71"/>
      <c r="N1977" s="216"/>
      <c r="O1977" s="71"/>
      <c r="P1977" s="72"/>
    </row>
    <row r="1978" spans="1:16">
      <c r="A1978" s="306"/>
      <c r="B1978" s="289"/>
      <c r="C1978" s="307"/>
      <c r="D1978" s="148" t="s">
        <v>415</v>
      </c>
      <c r="E1978" t="s">
        <v>742</v>
      </c>
      <c r="G1978" t="s">
        <v>428</v>
      </c>
      <c r="H1978" s="107">
        <v>44196</v>
      </c>
      <c r="I1978" s="151" t="s">
        <v>970</v>
      </c>
      <c r="K1978" s="71"/>
      <c r="L1978" s="72"/>
      <c r="M1978" s="71"/>
      <c r="N1978" s="216"/>
      <c r="O1978" s="71"/>
      <c r="P1978" s="72"/>
    </row>
    <row r="1979" spans="1:16">
      <c r="A1979" s="306"/>
      <c r="B1979" s="289"/>
      <c r="C1979" s="307"/>
      <c r="D1979" s="148" t="s">
        <v>415</v>
      </c>
      <c r="E1979" t="s">
        <v>714</v>
      </c>
      <c r="G1979" t="s">
        <v>428</v>
      </c>
      <c r="H1979" s="107">
        <v>44196</v>
      </c>
      <c r="I1979" s="151" t="s">
        <v>970</v>
      </c>
      <c r="K1979" s="71"/>
      <c r="L1979" s="72"/>
      <c r="M1979" s="71"/>
      <c r="N1979" s="216"/>
      <c r="O1979" s="71"/>
      <c r="P1979" s="72"/>
    </row>
    <row r="1980" spans="1:16">
      <c r="A1980" s="306"/>
      <c r="B1980" s="289"/>
      <c r="C1980" s="307"/>
      <c r="D1980" s="148" t="s">
        <v>415</v>
      </c>
      <c r="E1980" t="s">
        <v>660</v>
      </c>
      <c r="G1980" t="s">
        <v>428</v>
      </c>
      <c r="H1980" s="107">
        <v>44196</v>
      </c>
      <c r="I1980" s="151" t="s">
        <v>970</v>
      </c>
      <c r="K1980" s="71">
        <v>4439</v>
      </c>
      <c r="L1980" s="72">
        <v>6299</v>
      </c>
      <c r="M1980" s="71">
        <v>6890</v>
      </c>
      <c r="N1980" s="216">
        <v>3734840</v>
      </c>
      <c r="O1980" s="71"/>
      <c r="P1980" s="72"/>
    </row>
    <row r="1981" spans="1:16">
      <c r="A1981" s="306"/>
      <c r="B1981" s="289"/>
      <c r="C1981" s="307"/>
      <c r="D1981" s="148" t="s">
        <v>779</v>
      </c>
      <c r="G1981" t="s">
        <v>428</v>
      </c>
      <c r="H1981" s="107">
        <v>44196</v>
      </c>
      <c r="I1981" s="151" t="s">
        <v>970</v>
      </c>
      <c r="K1981" s="71">
        <f>SUM(K1964:K1980)</f>
        <v>233342</v>
      </c>
      <c r="L1981" s="72">
        <f>SUM(L1964:L1980)</f>
        <v>263242</v>
      </c>
      <c r="M1981" s="71">
        <f>SUM(M1964:M1980)</f>
        <v>262879</v>
      </c>
      <c r="N1981" s="216">
        <f>SUM(N1964:N1980)</f>
        <v>7635054</v>
      </c>
      <c r="O1981" s="71"/>
      <c r="P1981" s="72"/>
    </row>
    <row r="1982" spans="1:16">
      <c r="A1982" s="306"/>
      <c r="B1982" s="289"/>
      <c r="C1982" s="307"/>
      <c r="D1982" s="148" t="s">
        <v>417</v>
      </c>
      <c r="E1982" s="134" t="s">
        <v>661</v>
      </c>
      <c r="G1982" t="s">
        <v>817</v>
      </c>
      <c r="H1982" s="107">
        <v>44196</v>
      </c>
      <c r="I1982" s="151" t="s">
        <v>970</v>
      </c>
      <c r="J1982">
        <v>104864</v>
      </c>
      <c r="K1982" s="71">
        <v>88580</v>
      </c>
      <c r="L1982" s="72">
        <v>106252</v>
      </c>
      <c r="M1982" s="71">
        <v>231302</v>
      </c>
      <c r="N1982" s="216">
        <v>262028</v>
      </c>
      <c r="O1982" s="71"/>
      <c r="P1982" s="72"/>
    </row>
    <row r="1983" spans="1:16">
      <c r="A1983" s="306"/>
      <c r="B1983" s="289"/>
      <c r="C1983" s="307"/>
      <c r="D1983" s="150" t="s">
        <v>418</v>
      </c>
      <c r="H1983" s="107">
        <v>44196</v>
      </c>
      <c r="I1983" s="151" t="s">
        <v>970</v>
      </c>
      <c r="K1983" s="71"/>
      <c r="L1983" s="72"/>
      <c r="M1983" s="71"/>
      <c r="N1983" s="216"/>
      <c r="O1983" s="71" t="s">
        <v>825</v>
      </c>
      <c r="P1983" s="72"/>
    </row>
    <row r="1984" spans="1:16">
      <c r="A1984" s="306" t="s">
        <v>904</v>
      </c>
      <c r="B1984" s="292">
        <v>0</v>
      </c>
      <c r="C1984" s="307" t="s">
        <v>905</v>
      </c>
      <c r="D1984" s="147" t="s">
        <v>411</v>
      </c>
      <c r="E1984" s="124"/>
      <c r="F1984" s="124" t="s">
        <v>135</v>
      </c>
      <c r="G1984" s="124" t="s">
        <v>428</v>
      </c>
      <c r="H1984" s="107">
        <v>44561</v>
      </c>
      <c r="I1984" s="107"/>
      <c r="K1984" s="71"/>
      <c r="L1984" s="72"/>
      <c r="M1984" s="71"/>
      <c r="N1984" s="216">
        <v>5405608</v>
      </c>
      <c r="O1984" s="71">
        <v>5395112</v>
      </c>
      <c r="P1984" s="72">
        <v>5856588</v>
      </c>
    </row>
    <row r="1985" spans="1:16">
      <c r="A1985" s="306"/>
      <c r="B1985" s="289"/>
      <c r="C1985" s="307"/>
      <c r="D1985" s="147" t="s">
        <v>411</v>
      </c>
      <c r="F1985" t="s">
        <v>826</v>
      </c>
      <c r="G1985" s="124" t="s">
        <v>428</v>
      </c>
      <c r="H1985" s="107">
        <v>44561</v>
      </c>
      <c r="I1985" s="65" t="s">
        <v>970</v>
      </c>
      <c r="K1985" s="71"/>
      <c r="L1985" s="72"/>
      <c r="M1985" s="71"/>
      <c r="N1985" s="216">
        <v>5260041</v>
      </c>
      <c r="O1985" s="71">
        <v>5199836</v>
      </c>
      <c r="P1985" s="72">
        <v>5707208</v>
      </c>
    </row>
    <row r="1986" spans="1:16">
      <c r="A1986" s="306"/>
      <c r="B1986" s="289"/>
      <c r="C1986" s="307"/>
      <c r="D1986" s="147" t="s">
        <v>411</v>
      </c>
      <c r="F1986" t="s">
        <v>827</v>
      </c>
      <c r="G1986" s="124" t="s">
        <v>428</v>
      </c>
      <c r="H1986" s="107">
        <v>44561</v>
      </c>
      <c r="I1986" s="65" t="s">
        <v>970</v>
      </c>
      <c r="K1986" s="71"/>
      <c r="L1986" s="72"/>
      <c r="M1986" s="71"/>
      <c r="N1986" s="216">
        <v>145567</v>
      </c>
      <c r="O1986" s="71">
        <v>195276</v>
      </c>
      <c r="P1986" s="72">
        <v>149380</v>
      </c>
    </row>
    <row r="1987" spans="1:16">
      <c r="A1987" s="306"/>
      <c r="B1987" s="289"/>
      <c r="C1987" s="307"/>
      <c r="D1987" s="148" t="s">
        <v>412</v>
      </c>
      <c r="E1987" s="124"/>
      <c r="F1987" s="124" t="s">
        <v>135</v>
      </c>
      <c r="G1987" s="124" t="s">
        <v>428</v>
      </c>
      <c r="H1987" s="107">
        <v>44561</v>
      </c>
      <c r="I1987" s="107"/>
      <c r="K1987" s="71"/>
      <c r="L1987" s="72"/>
      <c r="M1987" s="71"/>
      <c r="N1987" s="216">
        <v>4104403</v>
      </c>
      <c r="O1987" s="71">
        <v>4137836</v>
      </c>
      <c r="P1987" s="72">
        <v>4483137</v>
      </c>
    </row>
    <row r="1988" spans="1:16">
      <c r="A1988" s="306"/>
      <c r="B1988" s="289"/>
      <c r="C1988" s="307"/>
      <c r="D1988" s="148" t="s">
        <v>412</v>
      </c>
      <c r="F1988" t="s">
        <v>826</v>
      </c>
      <c r="G1988" s="124" t="s">
        <v>428</v>
      </c>
      <c r="H1988" s="107">
        <v>44561</v>
      </c>
      <c r="I1988" s="65" t="s">
        <v>970</v>
      </c>
      <c r="K1988" s="71"/>
      <c r="L1988" s="72"/>
      <c r="M1988" s="71"/>
      <c r="N1988" s="216">
        <v>2879992</v>
      </c>
      <c r="O1988" s="71">
        <v>2871876</v>
      </c>
      <c r="P1988" s="72">
        <v>3133817</v>
      </c>
    </row>
    <row r="1989" spans="1:16">
      <c r="A1989" s="306"/>
      <c r="B1989" s="289"/>
      <c r="C1989" s="307"/>
      <c r="D1989" s="148" t="s">
        <v>412</v>
      </c>
      <c r="F1989" t="s">
        <v>827</v>
      </c>
      <c r="G1989" s="124" t="s">
        <v>428</v>
      </c>
      <c r="H1989" s="107">
        <v>44561</v>
      </c>
      <c r="I1989" s="65" t="s">
        <v>970</v>
      </c>
      <c r="K1989" s="71"/>
      <c r="L1989" s="72"/>
      <c r="M1989" s="71"/>
      <c r="N1989" s="216">
        <v>1224411</v>
      </c>
      <c r="O1989" s="71">
        <v>1265960</v>
      </c>
      <c r="P1989" s="72">
        <v>1349320</v>
      </c>
    </row>
    <row r="1990" spans="1:16">
      <c r="A1990" s="306"/>
      <c r="B1990" s="289"/>
      <c r="C1990" s="307"/>
      <c r="D1990" s="148" t="s">
        <v>414</v>
      </c>
      <c r="E1990" s="124"/>
      <c r="F1990" s="124" t="s">
        <v>135</v>
      </c>
      <c r="G1990" s="124" t="s">
        <v>428</v>
      </c>
      <c r="H1990" s="107">
        <v>44561</v>
      </c>
      <c r="I1990" s="151"/>
      <c r="K1990" s="71"/>
      <c r="L1990" s="72"/>
      <c r="M1990" s="71"/>
      <c r="N1990" s="216">
        <f>N1984+N1987</f>
        <v>9510011</v>
      </c>
      <c r="O1990" s="71">
        <f t="shared" ref="O1990:P1992" si="90">O1984+O1987</f>
        <v>9532948</v>
      </c>
      <c r="P1990" s="72">
        <f t="shared" si="90"/>
        <v>10339725</v>
      </c>
    </row>
    <row r="1991" spans="1:16">
      <c r="A1991" s="306"/>
      <c r="B1991" s="289"/>
      <c r="C1991" s="307"/>
      <c r="D1991" s="148" t="s">
        <v>414</v>
      </c>
      <c r="F1991" t="s">
        <v>826</v>
      </c>
      <c r="G1991" s="124" t="s">
        <v>428</v>
      </c>
      <c r="H1991" s="107">
        <v>44561</v>
      </c>
      <c r="I1991" s="65" t="s">
        <v>970</v>
      </c>
      <c r="K1991" s="71"/>
      <c r="L1991" s="72"/>
      <c r="M1991" s="71"/>
      <c r="N1991" s="216">
        <f>N1985+N1988</f>
        <v>8140033</v>
      </c>
      <c r="O1991" s="71">
        <f t="shared" si="90"/>
        <v>8071712</v>
      </c>
      <c r="P1991" s="72">
        <f t="shared" si="90"/>
        <v>8841025</v>
      </c>
    </row>
    <row r="1992" spans="1:16">
      <c r="A1992" s="306"/>
      <c r="B1992" s="289"/>
      <c r="C1992" s="307"/>
      <c r="D1992" s="148" t="s">
        <v>414</v>
      </c>
      <c r="F1992" t="s">
        <v>827</v>
      </c>
      <c r="G1992" s="124" t="s">
        <v>428</v>
      </c>
      <c r="H1992" s="107">
        <v>44561</v>
      </c>
      <c r="I1992" s="65" t="s">
        <v>970</v>
      </c>
      <c r="K1992" s="71"/>
      <c r="L1992" s="72"/>
      <c r="M1992" s="71"/>
      <c r="N1992" s="216">
        <f>N1986+N1989</f>
        <v>1369978</v>
      </c>
      <c r="O1992" s="71">
        <f t="shared" si="90"/>
        <v>1461236</v>
      </c>
      <c r="P1992" s="72">
        <f t="shared" si="90"/>
        <v>1498700</v>
      </c>
    </row>
    <row r="1993" spans="1:16">
      <c r="A1993" s="306"/>
      <c r="B1993" s="289"/>
      <c r="C1993" s="307"/>
      <c r="D1993" s="148" t="s">
        <v>415</v>
      </c>
      <c r="E1993" t="s">
        <v>828</v>
      </c>
      <c r="G1993" s="124" t="s">
        <v>428</v>
      </c>
      <c r="H1993" s="107">
        <v>44561</v>
      </c>
      <c r="I1993" s="65"/>
      <c r="K1993" s="71"/>
      <c r="L1993" s="72"/>
      <c r="M1993" s="71"/>
      <c r="N1993" s="216">
        <v>494538</v>
      </c>
      <c r="O1993" s="71">
        <v>517985</v>
      </c>
      <c r="P1993" s="72">
        <v>571164</v>
      </c>
    </row>
    <row r="1994" spans="1:16">
      <c r="A1994" s="306"/>
      <c r="B1994" s="289"/>
      <c r="C1994" s="307"/>
      <c r="D1994" s="148" t="s">
        <v>415</v>
      </c>
      <c r="E1994" t="s">
        <v>819</v>
      </c>
      <c r="G1994" s="124" t="s">
        <v>428</v>
      </c>
      <c r="H1994" s="107">
        <v>44561</v>
      </c>
      <c r="I1994" s="65"/>
      <c r="K1994" s="71"/>
      <c r="L1994" s="72"/>
      <c r="M1994" s="71"/>
      <c r="N1994" s="216">
        <v>54</v>
      </c>
      <c r="O1994" s="71">
        <v>14</v>
      </c>
      <c r="P1994" s="72">
        <v>56</v>
      </c>
    </row>
    <row r="1995" spans="1:16">
      <c r="A1995" s="306"/>
      <c r="B1995" s="289"/>
      <c r="C1995" s="307"/>
      <c r="D1995" s="148" t="s">
        <v>415</v>
      </c>
      <c r="E1995" t="s">
        <v>790</v>
      </c>
      <c r="G1995" s="124" t="s">
        <v>428</v>
      </c>
      <c r="H1995" s="107">
        <v>44561</v>
      </c>
      <c r="I1995" s="65"/>
      <c r="K1995" s="71"/>
      <c r="L1995" s="72"/>
      <c r="M1995" s="71"/>
      <c r="N1995" s="216">
        <v>122922</v>
      </c>
      <c r="O1995" s="71">
        <v>121904</v>
      </c>
      <c r="P1995" s="72">
        <v>175732</v>
      </c>
    </row>
    <row r="1996" spans="1:16">
      <c r="A1996" s="306"/>
      <c r="B1996" s="289"/>
      <c r="C1996" s="307"/>
      <c r="D1996" s="148" t="s">
        <v>415</v>
      </c>
      <c r="E1996" t="s">
        <v>829</v>
      </c>
      <c r="G1996" s="124" t="s">
        <v>428</v>
      </c>
      <c r="H1996" s="107">
        <v>44561</v>
      </c>
      <c r="I1996" s="65"/>
      <c r="K1996" s="71"/>
      <c r="L1996" s="72"/>
      <c r="M1996" s="71"/>
      <c r="N1996" s="216">
        <v>151406</v>
      </c>
      <c r="O1996" s="71">
        <v>318438</v>
      </c>
      <c r="P1996" s="72">
        <v>197919</v>
      </c>
    </row>
    <row r="1997" spans="1:16">
      <c r="A1997" s="306"/>
      <c r="B1997" s="289"/>
      <c r="C1997" s="307"/>
      <c r="D1997" s="148" t="s">
        <v>415</v>
      </c>
      <c r="E1997" t="s">
        <v>830</v>
      </c>
      <c r="G1997" s="124" t="s">
        <v>428</v>
      </c>
      <c r="H1997" s="107">
        <v>44561</v>
      </c>
      <c r="I1997" s="65"/>
      <c r="K1997" s="71"/>
      <c r="L1997" s="72"/>
      <c r="M1997" s="71"/>
      <c r="N1997" s="216">
        <v>19113</v>
      </c>
      <c r="O1997" s="71">
        <v>19679</v>
      </c>
      <c r="P1997" s="72">
        <v>28925</v>
      </c>
    </row>
    <row r="1998" spans="1:16">
      <c r="A1998" s="306"/>
      <c r="B1998" s="289"/>
      <c r="C1998" s="307"/>
      <c r="D1998" s="148" t="s">
        <v>415</v>
      </c>
      <c r="E1998" t="s">
        <v>710</v>
      </c>
      <c r="G1998" s="124" t="s">
        <v>428</v>
      </c>
      <c r="H1998" s="107">
        <v>44561</v>
      </c>
      <c r="I1998" s="65"/>
      <c r="K1998" s="71"/>
      <c r="L1998" s="72"/>
      <c r="M1998" s="71"/>
      <c r="N1998" s="216">
        <v>2767</v>
      </c>
      <c r="O1998" s="71">
        <v>2265</v>
      </c>
      <c r="P1998" s="72">
        <v>970</v>
      </c>
    </row>
    <row r="1999" spans="1:16">
      <c r="A1999" s="306"/>
      <c r="B1999" s="289"/>
      <c r="C1999" s="307"/>
      <c r="D1999" s="148" t="s">
        <v>415</v>
      </c>
      <c r="E1999" t="s">
        <v>831</v>
      </c>
      <c r="G1999" s="124" t="s">
        <v>428</v>
      </c>
      <c r="H1999" s="107">
        <v>44561</v>
      </c>
      <c r="I1999" s="65"/>
      <c r="K1999" s="71"/>
      <c r="L1999" s="72"/>
      <c r="M1999" s="71"/>
      <c r="N1999" s="216">
        <v>7987</v>
      </c>
      <c r="O1999" s="71">
        <v>4737</v>
      </c>
      <c r="P1999" s="72">
        <v>7488</v>
      </c>
    </row>
    <row r="2000" spans="1:16">
      <c r="A2000" s="306"/>
      <c r="B2000" s="289"/>
      <c r="C2000" s="307"/>
      <c r="D2000" s="148" t="s">
        <v>415</v>
      </c>
      <c r="E2000" t="s">
        <v>714</v>
      </c>
      <c r="G2000" s="124" t="s">
        <v>428</v>
      </c>
      <c r="H2000" s="107">
        <v>44561</v>
      </c>
      <c r="I2000" s="65"/>
      <c r="K2000" s="71"/>
      <c r="L2000" s="72"/>
      <c r="M2000" s="71"/>
      <c r="N2000" s="216">
        <v>276686</v>
      </c>
      <c r="O2000" s="71">
        <v>219190</v>
      </c>
      <c r="P2000" s="72">
        <v>322438</v>
      </c>
    </row>
    <row r="2001" spans="1:16">
      <c r="A2001" s="306"/>
      <c r="B2001" s="289"/>
      <c r="C2001" s="307"/>
      <c r="D2001" s="148" t="s">
        <v>415</v>
      </c>
      <c r="E2001" t="s">
        <v>832</v>
      </c>
      <c r="G2001" s="124" t="s">
        <v>428</v>
      </c>
      <c r="H2001" s="107">
        <v>44561</v>
      </c>
      <c r="I2001" s="65"/>
      <c r="K2001" s="71"/>
      <c r="L2001" s="72"/>
      <c r="M2001" s="71"/>
      <c r="N2001" s="216">
        <v>6379</v>
      </c>
      <c r="O2001" s="71">
        <v>5616</v>
      </c>
      <c r="P2001" s="72">
        <v>15555</v>
      </c>
    </row>
    <row r="2002" spans="1:16">
      <c r="A2002" s="306"/>
      <c r="B2002" s="289"/>
      <c r="C2002" s="307"/>
      <c r="D2002" s="148" t="s">
        <v>415</v>
      </c>
      <c r="E2002" t="s">
        <v>789</v>
      </c>
      <c r="G2002" s="124" t="s">
        <v>428</v>
      </c>
      <c r="H2002" s="107">
        <v>44561</v>
      </c>
      <c r="I2002" s="107"/>
      <c r="J2002">
        <f>SUM(J1993:J2001)</f>
        <v>0</v>
      </c>
      <c r="K2002" s="71">
        <f t="shared" ref="K2002:P2002" si="91">SUM(K1993:K2001)</f>
        <v>0</v>
      </c>
      <c r="L2002" s="72">
        <f t="shared" si="91"/>
        <v>0</v>
      </c>
      <c r="M2002" s="71">
        <f t="shared" si="91"/>
        <v>0</v>
      </c>
      <c r="N2002" s="216">
        <f t="shared" si="91"/>
        <v>1081852</v>
      </c>
      <c r="O2002" s="71">
        <f t="shared" si="91"/>
        <v>1209828</v>
      </c>
      <c r="P2002" s="72">
        <f t="shared" si="91"/>
        <v>1320247</v>
      </c>
    </row>
    <row r="2003" spans="1:16">
      <c r="A2003" s="306"/>
      <c r="B2003" s="289"/>
      <c r="C2003" s="307"/>
      <c r="D2003" s="148" t="s">
        <v>417</v>
      </c>
      <c r="E2003" s="134" t="s">
        <v>661</v>
      </c>
      <c r="G2003" t="s">
        <v>833</v>
      </c>
      <c r="H2003" s="107">
        <v>44561</v>
      </c>
      <c r="I2003" s="65"/>
      <c r="K2003" s="71"/>
      <c r="L2003" s="72"/>
      <c r="M2003" s="71"/>
      <c r="N2003" s="216">
        <v>27353000000000</v>
      </c>
      <c r="O2003" s="71">
        <v>30077000000000</v>
      </c>
      <c r="P2003" s="72">
        <v>42655000000000</v>
      </c>
    </row>
    <row r="2004" spans="1:16">
      <c r="A2004" s="306"/>
      <c r="B2004" s="289"/>
      <c r="C2004" s="307"/>
      <c r="D2004" s="150" t="s">
        <v>418</v>
      </c>
      <c r="H2004" s="107">
        <v>44561</v>
      </c>
      <c r="I2004" s="65"/>
      <c r="K2004" s="71"/>
      <c r="L2004" s="72"/>
      <c r="M2004" s="71"/>
      <c r="N2004" s="216"/>
      <c r="O2004" s="71"/>
      <c r="P2004" s="72" t="s">
        <v>834</v>
      </c>
    </row>
    <row r="2005" spans="1:16">
      <c r="A2005" s="306"/>
      <c r="B2005" s="289"/>
      <c r="C2005" s="307"/>
      <c r="D2005" s="66"/>
      <c r="H2005" s="107"/>
      <c r="I2005" s="65"/>
      <c r="K2005" s="71"/>
      <c r="L2005" s="72"/>
      <c r="M2005" s="71"/>
      <c r="N2005" s="216"/>
      <c r="O2005" s="71"/>
      <c r="P2005" s="72"/>
    </row>
    <row r="2006" spans="1:16">
      <c r="A2006" s="316"/>
      <c r="B2006" s="293"/>
      <c r="C2006" s="318"/>
      <c r="D2006" s="66"/>
      <c r="H2006" s="107"/>
      <c r="I2006" s="65"/>
      <c r="K2006" s="71"/>
      <c r="L2006" s="72"/>
      <c r="M2006" s="71"/>
      <c r="N2006" s="216"/>
      <c r="O2006" s="71"/>
      <c r="P2006" s="72"/>
    </row>
    <row r="2007" spans="1:16">
      <c r="A2007" s="306" t="s">
        <v>906</v>
      </c>
      <c r="B2007" s="292">
        <v>0</v>
      </c>
      <c r="C2007" s="307" t="s">
        <v>907</v>
      </c>
      <c r="D2007" s="147" t="s">
        <v>411</v>
      </c>
      <c r="G2007" s="124" t="s">
        <v>428</v>
      </c>
      <c r="H2007" s="107">
        <v>44561</v>
      </c>
      <c r="I2007" s="107"/>
      <c r="K2007" s="71"/>
      <c r="L2007" s="72"/>
      <c r="M2007" s="71">
        <v>27632</v>
      </c>
      <c r="N2007" s="216">
        <v>27036</v>
      </c>
      <c r="O2007" s="71">
        <v>25968</v>
      </c>
      <c r="P2007" s="72">
        <v>28744</v>
      </c>
    </row>
    <row r="2008" spans="1:16">
      <c r="A2008" s="306"/>
      <c r="B2008" s="289"/>
      <c r="C2008" s="307"/>
      <c r="D2008" s="148" t="s">
        <v>412</v>
      </c>
      <c r="G2008" s="124" t="s">
        <v>428</v>
      </c>
      <c r="H2008" s="107">
        <v>44561</v>
      </c>
      <c r="I2008" s="107"/>
      <c r="K2008" s="71"/>
      <c r="L2008" s="72"/>
      <c r="M2008" s="71">
        <v>53617</v>
      </c>
      <c r="N2008" s="216">
        <v>51714</v>
      </c>
      <c r="O2008" s="71">
        <v>46490</v>
      </c>
      <c r="P2008" s="72">
        <v>36737</v>
      </c>
    </row>
    <row r="2009" spans="1:16">
      <c r="A2009" s="306"/>
      <c r="B2009" s="289"/>
      <c r="C2009" s="307"/>
      <c r="D2009" s="148" t="s">
        <v>414</v>
      </c>
      <c r="G2009" s="124" t="s">
        <v>428</v>
      </c>
      <c r="H2009" s="107">
        <v>44561</v>
      </c>
      <c r="I2009" s="151"/>
      <c r="K2009" s="71"/>
      <c r="L2009" s="72"/>
      <c r="M2009" s="71">
        <f>M2007+M2008</f>
        <v>81249</v>
      </c>
      <c r="N2009" s="216">
        <f>N2007+N2008</f>
        <v>78750</v>
      </c>
      <c r="O2009" s="71">
        <f>O2007+O2008</f>
        <v>72458</v>
      </c>
      <c r="P2009" s="72">
        <f>P2007+P2008</f>
        <v>65481</v>
      </c>
    </row>
    <row r="2010" spans="1:16">
      <c r="A2010" s="306"/>
      <c r="B2010" s="289"/>
      <c r="C2010" s="307"/>
      <c r="D2010" s="148" t="s">
        <v>415</v>
      </c>
      <c r="E2010" t="s">
        <v>835</v>
      </c>
      <c r="G2010" s="124" t="s">
        <v>428</v>
      </c>
      <c r="H2010" s="107">
        <v>44561</v>
      </c>
      <c r="I2010" s="65"/>
      <c r="K2010" s="71"/>
      <c r="L2010" s="72"/>
      <c r="M2010" s="71"/>
      <c r="N2010" s="216">
        <v>644000</v>
      </c>
      <c r="O2010" s="71">
        <v>528000</v>
      </c>
      <c r="P2010" s="72">
        <v>606000</v>
      </c>
    </row>
    <row r="2011" spans="1:16">
      <c r="A2011" s="306"/>
      <c r="B2011" s="289"/>
      <c r="C2011" s="307"/>
      <c r="D2011" s="148" t="s">
        <v>415</v>
      </c>
      <c r="E2011" t="s">
        <v>836</v>
      </c>
      <c r="G2011" s="124" t="s">
        <v>428</v>
      </c>
      <c r="H2011" s="107">
        <v>44561</v>
      </c>
      <c r="I2011" s="65"/>
      <c r="K2011" s="71"/>
      <c r="L2011" s="72"/>
      <c r="M2011" s="71"/>
      <c r="N2011" s="216">
        <v>0</v>
      </c>
      <c r="O2011" s="71">
        <v>0</v>
      </c>
      <c r="P2011" s="72">
        <v>347000</v>
      </c>
    </row>
    <row r="2012" spans="1:16">
      <c r="A2012" s="306"/>
      <c r="B2012" s="289"/>
      <c r="C2012" s="307"/>
      <c r="D2012" s="148" t="s">
        <v>415</v>
      </c>
      <c r="E2012" t="s">
        <v>819</v>
      </c>
      <c r="G2012" s="124" t="s">
        <v>428</v>
      </c>
      <c r="H2012" s="107">
        <v>44561</v>
      </c>
      <c r="I2012" s="65"/>
      <c r="K2012" s="71"/>
      <c r="L2012" s="72"/>
      <c r="M2012" s="71"/>
      <c r="N2012" s="216">
        <v>231000</v>
      </c>
      <c r="O2012" s="71">
        <v>246000</v>
      </c>
      <c r="P2012" s="72">
        <v>225000</v>
      </c>
    </row>
    <row r="2013" spans="1:16">
      <c r="A2013" s="306"/>
      <c r="B2013" s="289"/>
      <c r="C2013" s="307"/>
      <c r="D2013" s="148" t="s">
        <v>415</v>
      </c>
      <c r="E2013" t="s">
        <v>791</v>
      </c>
      <c r="G2013" s="124" t="s">
        <v>428</v>
      </c>
      <c r="H2013" s="107">
        <v>44561</v>
      </c>
      <c r="I2013" s="65"/>
      <c r="K2013" s="71"/>
      <c r="L2013" s="72"/>
      <c r="M2013" s="71"/>
      <c r="N2013" s="216">
        <v>110000</v>
      </c>
      <c r="O2013" s="71">
        <v>85400</v>
      </c>
      <c r="P2013" s="72">
        <v>51600</v>
      </c>
    </row>
    <row r="2014" spans="1:16">
      <c r="A2014" s="306"/>
      <c r="B2014" s="289"/>
      <c r="C2014" s="307"/>
      <c r="D2014" s="148" t="s">
        <v>415</v>
      </c>
      <c r="E2014" t="s">
        <v>685</v>
      </c>
      <c r="G2014" s="124" t="s">
        <v>428</v>
      </c>
      <c r="H2014" s="107">
        <v>44561</v>
      </c>
      <c r="I2014" s="65"/>
      <c r="K2014" s="71"/>
      <c r="L2014" s="72"/>
      <c r="M2014" s="71"/>
      <c r="N2014" s="216">
        <v>20700</v>
      </c>
      <c r="O2014" s="71">
        <v>33000</v>
      </c>
      <c r="P2014" s="72">
        <v>15100</v>
      </c>
    </row>
    <row r="2015" spans="1:16">
      <c r="A2015" s="306"/>
      <c r="B2015" s="289"/>
      <c r="C2015" s="307"/>
      <c r="D2015" s="148" t="s">
        <v>415</v>
      </c>
      <c r="E2015" t="s">
        <v>658</v>
      </c>
      <c r="G2015" s="124" t="s">
        <v>428</v>
      </c>
      <c r="H2015" s="107">
        <v>44561</v>
      </c>
      <c r="I2015" s="65"/>
      <c r="K2015" s="71"/>
      <c r="L2015" s="72"/>
      <c r="M2015" s="71"/>
      <c r="N2015" s="216">
        <v>1580000</v>
      </c>
      <c r="O2015" s="71">
        <v>1540000</v>
      </c>
      <c r="P2015" s="72">
        <v>134000</v>
      </c>
    </row>
    <row r="2016" spans="1:16">
      <c r="A2016" s="306"/>
      <c r="B2016" s="289"/>
      <c r="C2016" s="307"/>
      <c r="D2016" s="148" t="s">
        <v>415</v>
      </c>
      <c r="E2016" t="s">
        <v>837</v>
      </c>
      <c r="G2016" s="124" t="s">
        <v>428</v>
      </c>
      <c r="H2016" s="107">
        <v>44561</v>
      </c>
      <c r="I2016" s="65"/>
      <c r="K2016" s="71"/>
      <c r="L2016" s="72"/>
      <c r="M2016" s="71"/>
      <c r="N2016" s="216">
        <v>148000</v>
      </c>
      <c r="O2016" s="71">
        <v>81900</v>
      </c>
      <c r="P2016" s="72">
        <v>118000</v>
      </c>
    </row>
    <row r="2017" spans="1:16">
      <c r="A2017" s="306"/>
      <c r="B2017" s="289"/>
      <c r="C2017" s="307"/>
      <c r="D2017" s="148" t="s">
        <v>415</v>
      </c>
      <c r="E2017" t="s">
        <v>838</v>
      </c>
      <c r="G2017" s="124" t="s">
        <v>428</v>
      </c>
      <c r="H2017" s="107">
        <v>44561</v>
      </c>
      <c r="I2017" s="65"/>
      <c r="K2017" s="71"/>
      <c r="L2017" s="72"/>
      <c r="M2017" s="71"/>
      <c r="N2017" s="216">
        <v>30800</v>
      </c>
      <c r="O2017" s="71">
        <v>20900</v>
      </c>
      <c r="P2017" s="72">
        <v>21900</v>
      </c>
    </row>
    <row r="2018" spans="1:16">
      <c r="A2018" s="306"/>
      <c r="B2018" s="289"/>
      <c r="C2018" s="307"/>
      <c r="D2018" s="148" t="s">
        <v>415</v>
      </c>
      <c r="E2018" t="s">
        <v>839</v>
      </c>
      <c r="G2018" s="124" t="s">
        <v>428</v>
      </c>
      <c r="H2018" s="107">
        <v>44561</v>
      </c>
      <c r="I2018" s="107"/>
      <c r="K2018" s="71"/>
      <c r="L2018" s="72"/>
      <c r="M2018" s="71"/>
      <c r="N2018" s="216">
        <f>SUM(N2010:N2017)</f>
        <v>2764500</v>
      </c>
      <c r="O2018" s="71">
        <f>SUM(O2010:O2017)</f>
        <v>2535200</v>
      </c>
      <c r="P2018" s="72">
        <f>SUM(P2010:P2017)</f>
        <v>1518600</v>
      </c>
    </row>
    <row r="2019" spans="1:16">
      <c r="A2019" s="306"/>
      <c r="B2019" s="289"/>
      <c r="C2019" s="307"/>
      <c r="D2019" s="148" t="s">
        <v>415</v>
      </c>
      <c r="E2019" t="s">
        <v>840</v>
      </c>
      <c r="G2019" s="124" t="s">
        <v>428</v>
      </c>
      <c r="H2019" s="107">
        <v>44561</v>
      </c>
      <c r="I2019" s="107"/>
      <c r="K2019" s="71"/>
      <c r="L2019" s="72"/>
      <c r="M2019" s="71"/>
      <c r="N2019" s="216">
        <v>2760000</v>
      </c>
      <c r="O2019" s="71">
        <v>2540000</v>
      </c>
      <c r="P2019" s="72">
        <v>1520000</v>
      </c>
    </row>
    <row r="2020" spans="1:16">
      <c r="A2020" s="306"/>
      <c r="B2020" s="289"/>
      <c r="C2020" s="307"/>
      <c r="D2020" s="148" t="s">
        <v>417</v>
      </c>
      <c r="E2020" s="134" t="s">
        <v>661</v>
      </c>
      <c r="G2020" t="s">
        <v>763</v>
      </c>
      <c r="H2020" s="107">
        <v>44561</v>
      </c>
      <c r="I2020" s="65"/>
      <c r="K2020" s="71"/>
      <c r="L2020" s="72"/>
      <c r="M2020" s="71"/>
      <c r="N2020" s="216">
        <v>131.5</v>
      </c>
      <c r="O2020" s="71">
        <v>920.9</v>
      </c>
      <c r="P2020" s="72">
        <v>1035.2</v>
      </c>
    </row>
    <row r="2021" spans="1:16">
      <c r="A2021" s="306"/>
      <c r="B2021" s="289"/>
      <c r="C2021" s="307"/>
      <c r="D2021" s="150" t="s">
        <v>418</v>
      </c>
      <c r="H2021" s="107">
        <v>44561</v>
      </c>
      <c r="I2021" s="65"/>
      <c r="K2021" s="71"/>
      <c r="L2021" s="72"/>
      <c r="M2021" s="71"/>
      <c r="N2021" s="216"/>
      <c r="O2021" s="71"/>
      <c r="P2021" s="72" t="s">
        <v>841</v>
      </c>
    </row>
    <row r="2022" spans="1:16">
      <c r="A2022" s="316"/>
      <c r="B2022" s="290"/>
      <c r="C2022" s="318"/>
      <c r="D2022" s="66"/>
      <c r="H2022" s="107"/>
      <c r="I2022" s="65"/>
      <c r="K2022" s="71"/>
      <c r="L2022" s="72"/>
      <c r="M2022" s="71"/>
      <c r="N2022" s="216"/>
      <c r="O2022" s="71"/>
      <c r="P2022" s="72"/>
    </row>
    <row r="2023" spans="1:16">
      <c r="A2023" s="319" t="s">
        <v>906</v>
      </c>
      <c r="B2023" s="320">
        <v>0</v>
      </c>
      <c r="C2023" s="323" t="s">
        <v>907</v>
      </c>
      <c r="D2023" s="153" t="s">
        <v>411</v>
      </c>
      <c r="G2023" s="124" t="s">
        <v>428</v>
      </c>
      <c r="H2023" s="107">
        <v>44196</v>
      </c>
      <c r="I2023" s="107"/>
      <c r="K2023" s="71"/>
      <c r="L2023" s="72">
        <v>31332</v>
      </c>
      <c r="M2023" s="71">
        <v>29623</v>
      </c>
      <c r="N2023" s="216">
        <v>31995</v>
      </c>
      <c r="O2023" s="71">
        <v>28129</v>
      </c>
      <c r="P2023" s="72"/>
    </row>
    <row r="2024" spans="1:16">
      <c r="A2024" s="319"/>
      <c r="B2024" s="321"/>
      <c r="C2024" s="323"/>
      <c r="D2024" s="117" t="s">
        <v>412</v>
      </c>
      <c r="G2024" s="124" t="s">
        <v>428</v>
      </c>
      <c r="H2024" s="107">
        <v>44196</v>
      </c>
      <c r="I2024" s="107"/>
      <c r="K2024" s="71"/>
      <c r="L2024" s="72">
        <v>60151</v>
      </c>
      <c r="M2024" s="71">
        <v>53617</v>
      </c>
      <c r="N2024" s="216">
        <v>51714</v>
      </c>
      <c r="O2024" s="71">
        <v>46490</v>
      </c>
      <c r="P2024" s="72"/>
    </row>
    <row r="2025" spans="1:16">
      <c r="A2025" s="319"/>
      <c r="B2025" s="321"/>
      <c r="C2025" s="323"/>
      <c r="D2025" s="117" t="s">
        <v>414</v>
      </c>
      <c r="G2025" s="124" t="s">
        <v>428</v>
      </c>
      <c r="H2025" s="107">
        <v>44196</v>
      </c>
      <c r="I2025" s="151"/>
      <c r="K2025" s="71"/>
      <c r="L2025" s="72">
        <f t="shared" ref="L2025" si="92">L2023+L2024</f>
        <v>91483</v>
      </c>
      <c r="M2025" s="71">
        <f>M2023+M2024</f>
        <v>83240</v>
      </c>
      <c r="N2025" s="216">
        <f>N2023+N2024</f>
        <v>83709</v>
      </c>
      <c r="O2025" s="71">
        <f>O2023+O2024</f>
        <v>74619</v>
      </c>
      <c r="P2025" s="72"/>
    </row>
    <row r="2026" spans="1:16">
      <c r="A2026" s="319"/>
      <c r="B2026" s="321"/>
      <c r="C2026" s="323"/>
      <c r="D2026" s="117" t="s">
        <v>415</v>
      </c>
      <c r="E2026" t="s">
        <v>828</v>
      </c>
      <c r="G2026" s="124" t="s">
        <v>428</v>
      </c>
      <c r="H2026" s="107">
        <v>44196</v>
      </c>
      <c r="I2026" s="65"/>
      <c r="K2026" s="71"/>
      <c r="L2026" s="72"/>
      <c r="M2026" s="71"/>
      <c r="N2026" s="216">
        <v>557375</v>
      </c>
      <c r="O2026" s="71">
        <v>513056</v>
      </c>
      <c r="P2026" s="72"/>
    </row>
    <row r="2027" spans="1:16">
      <c r="A2027" s="319"/>
      <c r="B2027" s="321"/>
      <c r="C2027" s="323"/>
      <c r="D2027" s="117" t="s">
        <v>415</v>
      </c>
      <c r="E2027" t="s">
        <v>658</v>
      </c>
      <c r="G2027" s="124" t="s">
        <v>428</v>
      </c>
      <c r="H2027" s="107">
        <v>44196</v>
      </c>
      <c r="I2027" s="65"/>
      <c r="K2027" s="71"/>
      <c r="L2027" s="72"/>
      <c r="M2027" s="71"/>
      <c r="N2027" s="216">
        <v>1595207</v>
      </c>
      <c r="O2027" s="71">
        <v>1539349</v>
      </c>
      <c r="P2027" s="72"/>
    </row>
    <row r="2028" spans="1:16">
      <c r="A2028" s="319"/>
      <c r="B2028" s="321"/>
      <c r="C2028" s="323"/>
      <c r="D2028" s="117" t="s">
        <v>415</v>
      </c>
      <c r="E2028" t="s">
        <v>837</v>
      </c>
      <c r="G2028" s="124" t="s">
        <v>428</v>
      </c>
      <c r="H2028" s="107">
        <v>44196</v>
      </c>
      <c r="I2028" s="65"/>
      <c r="K2028" s="71"/>
      <c r="L2028" s="72"/>
      <c r="M2028" s="71"/>
      <c r="N2028" s="216">
        <v>99999</v>
      </c>
      <c r="O2028" s="71">
        <v>81897</v>
      </c>
      <c r="P2028" s="72"/>
    </row>
    <row r="2029" spans="1:16">
      <c r="A2029" s="319"/>
      <c r="B2029" s="321"/>
      <c r="C2029" s="323"/>
      <c r="D2029" s="117" t="s">
        <v>415</v>
      </c>
      <c r="E2029" t="s">
        <v>842</v>
      </c>
      <c r="G2029" s="124" t="s">
        <v>428</v>
      </c>
      <c r="H2029" s="107">
        <v>44196</v>
      </c>
      <c r="I2029" s="65"/>
      <c r="K2029" s="71"/>
      <c r="L2029" s="72"/>
      <c r="M2029" s="71"/>
      <c r="N2029" s="216">
        <v>397315</v>
      </c>
      <c r="O2029" s="71">
        <v>389988</v>
      </c>
      <c r="P2029" s="72"/>
    </row>
    <row r="2030" spans="1:16">
      <c r="A2030" s="319"/>
      <c r="B2030" s="321"/>
      <c r="C2030" s="323"/>
      <c r="D2030" s="117" t="s">
        <v>415</v>
      </c>
      <c r="E2030" t="s">
        <v>839</v>
      </c>
      <c r="G2030" s="124" t="s">
        <v>428</v>
      </c>
      <c r="H2030" s="107">
        <v>44196</v>
      </c>
      <c r="I2030" s="107"/>
      <c r="K2030" s="71"/>
      <c r="L2030" s="72"/>
      <c r="M2030" s="71"/>
      <c r="N2030" s="216">
        <f>SUM(N2026:N2029)</f>
        <v>2649896</v>
      </c>
      <c r="O2030" s="71">
        <f>SUM(O2026:O2029)</f>
        <v>2524290</v>
      </c>
      <c r="P2030" s="72"/>
    </row>
    <row r="2031" spans="1:16">
      <c r="A2031" s="319"/>
      <c r="B2031" s="321"/>
      <c r="C2031" s="323"/>
      <c r="D2031" s="117" t="s">
        <v>417</v>
      </c>
      <c r="E2031" t="s">
        <v>10</v>
      </c>
      <c r="G2031" t="s">
        <v>763</v>
      </c>
      <c r="H2031" s="107">
        <v>44196</v>
      </c>
      <c r="I2031" s="65"/>
      <c r="K2031" s="71"/>
      <c r="L2031" s="72"/>
      <c r="M2031" s="71"/>
      <c r="N2031" s="216">
        <v>131.5</v>
      </c>
      <c r="O2031" s="71">
        <v>920.9</v>
      </c>
      <c r="P2031" s="72"/>
    </row>
    <row r="2032" spans="1:16">
      <c r="A2032" s="319"/>
      <c r="B2032" s="321"/>
      <c r="C2032" s="323"/>
      <c r="D2032" s="118" t="s">
        <v>418</v>
      </c>
      <c r="H2032" s="107">
        <v>44196</v>
      </c>
      <c r="I2032" s="65"/>
      <c r="K2032" s="71"/>
      <c r="L2032" s="72"/>
      <c r="M2032" s="71"/>
      <c r="N2032" s="216"/>
      <c r="O2032" s="71" t="s">
        <v>843</v>
      </c>
      <c r="P2032" s="72"/>
    </row>
    <row r="2033" spans="1:16">
      <c r="A2033" s="319"/>
      <c r="B2033" s="322"/>
      <c r="C2033" s="323"/>
      <c r="D2033" s="117"/>
      <c r="H2033" s="107"/>
      <c r="I2033" s="65"/>
      <c r="K2033" s="71"/>
      <c r="L2033" s="72"/>
      <c r="M2033" s="71"/>
      <c r="N2033" s="216"/>
      <c r="O2033" s="71"/>
      <c r="P2033" s="72"/>
    </row>
    <row r="2034" spans="1:16">
      <c r="A2034" s="319" t="s">
        <v>906</v>
      </c>
      <c r="B2034" s="320">
        <v>0</v>
      </c>
      <c r="C2034" s="323" t="s">
        <v>907</v>
      </c>
      <c r="D2034" s="153" t="s">
        <v>411</v>
      </c>
      <c r="G2034" s="124" t="s">
        <v>428</v>
      </c>
      <c r="H2034" s="107">
        <v>43830</v>
      </c>
      <c r="I2034" s="107"/>
      <c r="K2034" s="71">
        <v>31638</v>
      </c>
      <c r="L2034" s="72">
        <v>31332</v>
      </c>
      <c r="M2034" s="71">
        <v>29623</v>
      </c>
      <c r="N2034" s="216">
        <v>31995</v>
      </c>
      <c r="O2034" s="71"/>
      <c r="P2034" s="72"/>
    </row>
    <row r="2035" spans="1:16">
      <c r="A2035" s="319"/>
      <c r="B2035" s="321"/>
      <c r="C2035" s="323"/>
      <c r="D2035" s="117" t="s">
        <v>412</v>
      </c>
      <c r="G2035" s="124" t="s">
        <v>428</v>
      </c>
      <c r="H2035" s="107">
        <v>43830</v>
      </c>
      <c r="I2035" s="107"/>
      <c r="K2035" s="71">
        <v>57363</v>
      </c>
      <c r="L2035" s="72">
        <v>60151</v>
      </c>
      <c r="M2035" s="71">
        <v>53617</v>
      </c>
      <c r="N2035" s="216">
        <v>51714</v>
      </c>
      <c r="O2035" s="71"/>
      <c r="P2035" s="72"/>
    </row>
    <row r="2036" spans="1:16">
      <c r="A2036" s="319"/>
      <c r="B2036" s="321"/>
      <c r="C2036" s="323"/>
      <c r="D2036" s="117" t="s">
        <v>414</v>
      </c>
      <c r="G2036" s="124" t="s">
        <v>428</v>
      </c>
      <c r="H2036" s="107">
        <v>43830</v>
      </c>
      <c r="I2036" s="151"/>
      <c r="K2036" s="71">
        <f t="shared" ref="K2036:L2036" si="93">K2034+K2035</f>
        <v>89001</v>
      </c>
      <c r="L2036" s="72">
        <f t="shared" si="93"/>
        <v>91483</v>
      </c>
      <c r="M2036" s="71">
        <f>M2034+M2035</f>
        <v>83240</v>
      </c>
      <c r="N2036" s="216">
        <f>N2034+N2035</f>
        <v>83709</v>
      </c>
      <c r="O2036" s="71"/>
      <c r="P2036" s="72"/>
    </row>
    <row r="2037" spans="1:16">
      <c r="A2037" s="319"/>
      <c r="B2037" s="321"/>
      <c r="C2037" s="323"/>
      <c r="D2037" s="117" t="s">
        <v>415</v>
      </c>
      <c r="E2037" t="s">
        <v>828</v>
      </c>
      <c r="G2037" s="124" t="s">
        <v>428</v>
      </c>
      <c r="H2037" s="107">
        <v>43830</v>
      </c>
      <c r="I2037" s="65"/>
      <c r="K2037" s="71"/>
      <c r="L2037" s="72"/>
      <c r="M2037" s="71"/>
      <c r="N2037" s="216">
        <v>557375</v>
      </c>
      <c r="O2037" s="71"/>
      <c r="P2037" s="72"/>
    </row>
    <row r="2038" spans="1:16">
      <c r="A2038" s="319"/>
      <c r="B2038" s="321"/>
      <c r="C2038" s="323"/>
      <c r="D2038" s="117" t="s">
        <v>415</v>
      </c>
      <c r="E2038" t="s">
        <v>658</v>
      </c>
      <c r="G2038" s="124" t="s">
        <v>428</v>
      </c>
      <c r="H2038" s="107">
        <v>43830</v>
      </c>
      <c r="I2038" s="65"/>
      <c r="K2038" s="71"/>
      <c r="L2038" s="72"/>
      <c r="M2038" s="71"/>
      <c r="N2038" s="216">
        <v>1595207</v>
      </c>
      <c r="O2038" s="71"/>
      <c r="P2038" s="72"/>
    </row>
    <row r="2039" spans="1:16">
      <c r="A2039" s="319"/>
      <c r="B2039" s="321"/>
      <c r="C2039" s="323"/>
      <c r="D2039" s="117" t="s">
        <v>415</v>
      </c>
      <c r="E2039" t="s">
        <v>837</v>
      </c>
      <c r="G2039" s="124" t="s">
        <v>428</v>
      </c>
      <c r="H2039" s="107">
        <v>43830</v>
      </c>
      <c r="I2039" s="65"/>
      <c r="K2039" s="71"/>
      <c r="L2039" s="72"/>
      <c r="M2039" s="71"/>
      <c r="N2039" s="216">
        <v>99999</v>
      </c>
      <c r="O2039" s="71"/>
      <c r="P2039" s="72"/>
    </row>
    <row r="2040" spans="1:16">
      <c r="A2040" s="319"/>
      <c r="B2040" s="321"/>
      <c r="C2040" s="323"/>
      <c r="D2040" s="117" t="s">
        <v>415</v>
      </c>
      <c r="E2040" t="s">
        <v>842</v>
      </c>
      <c r="G2040" s="124" t="s">
        <v>428</v>
      </c>
      <c r="H2040" s="107">
        <v>43830</v>
      </c>
      <c r="I2040" s="65"/>
      <c r="K2040" s="71"/>
      <c r="L2040" s="72"/>
      <c r="M2040" s="71"/>
      <c r="N2040" s="216">
        <v>397315</v>
      </c>
      <c r="O2040" s="71"/>
      <c r="P2040" s="72"/>
    </row>
    <row r="2041" spans="1:16">
      <c r="A2041" s="319"/>
      <c r="B2041" s="321"/>
      <c r="C2041" s="323"/>
      <c r="D2041" s="117" t="s">
        <v>415</v>
      </c>
      <c r="E2041" t="s">
        <v>839</v>
      </c>
      <c r="G2041" s="124" t="s">
        <v>428</v>
      </c>
      <c r="H2041" s="107">
        <v>43830</v>
      </c>
      <c r="I2041" s="107"/>
      <c r="K2041" s="71"/>
      <c r="L2041" s="72"/>
      <c r="M2041" s="71"/>
      <c r="N2041" s="216">
        <f>SUM(N2037:N2040)</f>
        <v>2649896</v>
      </c>
      <c r="O2041" s="71"/>
      <c r="P2041" s="72"/>
    </row>
    <row r="2042" spans="1:16">
      <c r="A2042" s="319"/>
      <c r="B2042" s="321"/>
      <c r="C2042" s="323"/>
      <c r="D2042" s="117" t="s">
        <v>417</v>
      </c>
      <c r="E2042" t="s">
        <v>10</v>
      </c>
      <c r="G2042" t="s">
        <v>763</v>
      </c>
      <c r="H2042" s="107">
        <v>43830</v>
      </c>
      <c r="I2042" s="65"/>
      <c r="K2042" s="71"/>
      <c r="L2042" s="72"/>
      <c r="M2042" s="71"/>
      <c r="N2042" s="216">
        <v>131.5</v>
      </c>
      <c r="O2042" s="71"/>
      <c r="P2042" s="72"/>
    </row>
    <row r="2043" spans="1:16">
      <c r="A2043" s="319"/>
      <c r="B2043" s="321"/>
      <c r="C2043" s="323"/>
      <c r="D2043" s="118" t="s">
        <v>418</v>
      </c>
      <c r="H2043" s="107">
        <v>43830</v>
      </c>
      <c r="I2043" s="65"/>
      <c r="K2043" s="71"/>
      <c r="L2043" s="72"/>
      <c r="M2043" s="71"/>
      <c r="N2043" s="216" t="s">
        <v>844</v>
      </c>
      <c r="O2043" s="71"/>
      <c r="P2043" s="72"/>
    </row>
    <row r="2044" spans="1:16">
      <c r="A2044" s="319"/>
      <c r="B2044" s="322"/>
      <c r="C2044" s="323"/>
      <c r="D2044" s="117"/>
      <c r="H2044" s="107"/>
      <c r="I2044" s="65"/>
      <c r="K2044" s="71"/>
      <c r="L2044" s="72"/>
      <c r="M2044" s="71"/>
      <c r="N2044" s="216"/>
      <c r="O2044" s="71"/>
      <c r="P2044" s="72"/>
    </row>
    <row r="2045" spans="1:16">
      <c r="A2045" s="315" t="s">
        <v>908</v>
      </c>
      <c r="B2045" s="288">
        <v>0</v>
      </c>
      <c r="C2045" s="317" t="s">
        <v>909</v>
      </c>
      <c r="D2045" s="147" t="s">
        <v>411</v>
      </c>
      <c r="G2045" s="124" t="s">
        <v>428</v>
      </c>
      <c r="H2045" s="107">
        <v>44651</v>
      </c>
      <c r="I2045" s="65" t="s">
        <v>616</v>
      </c>
      <c r="K2045" s="71"/>
      <c r="L2045" s="72"/>
      <c r="M2045" s="71"/>
      <c r="N2045" s="216"/>
      <c r="O2045" s="71"/>
      <c r="P2045" s="72"/>
    </row>
    <row r="2046" spans="1:16">
      <c r="A2046" s="306"/>
      <c r="B2046" s="289"/>
      <c r="C2046" s="307"/>
      <c r="D2046" s="148" t="s">
        <v>412</v>
      </c>
      <c r="G2046" s="124" t="s">
        <v>428</v>
      </c>
      <c r="H2046" s="107">
        <v>44651</v>
      </c>
      <c r="I2046" s="65" t="s">
        <v>616</v>
      </c>
      <c r="K2046" s="71"/>
      <c r="L2046" s="72"/>
      <c r="M2046" s="71"/>
      <c r="N2046" s="216"/>
      <c r="O2046" s="71"/>
      <c r="P2046" s="72"/>
    </row>
    <row r="2047" spans="1:16">
      <c r="A2047" s="306"/>
      <c r="B2047" s="289"/>
      <c r="C2047" s="307"/>
      <c r="D2047" s="148" t="s">
        <v>415</v>
      </c>
      <c r="G2047" s="124" t="s">
        <v>428</v>
      </c>
      <c r="H2047" s="107">
        <v>44651</v>
      </c>
      <c r="I2047" s="65" t="s">
        <v>616</v>
      </c>
      <c r="K2047" s="71"/>
      <c r="L2047" s="72"/>
      <c r="M2047" s="71"/>
      <c r="N2047" s="216"/>
      <c r="O2047" s="71"/>
      <c r="P2047" s="72"/>
    </row>
    <row r="2048" spans="1:16">
      <c r="A2048" s="306"/>
      <c r="B2048" s="289"/>
      <c r="C2048" s="307"/>
      <c r="D2048" s="148" t="s">
        <v>779</v>
      </c>
      <c r="E2048" t="s">
        <v>845</v>
      </c>
      <c r="G2048" s="124" t="s">
        <v>428</v>
      </c>
      <c r="H2048" s="107">
        <v>44651</v>
      </c>
      <c r="I2048" s="65" t="s">
        <v>616</v>
      </c>
      <c r="K2048" s="71">
        <v>480631</v>
      </c>
      <c r="L2048" s="72">
        <v>575573</v>
      </c>
      <c r="M2048" s="71">
        <v>545024</v>
      </c>
      <c r="N2048" s="216">
        <v>499222</v>
      </c>
      <c r="O2048" s="71">
        <v>454023</v>
      </c>
      <c r="P2048" s="72"/>
    </row>
    <row r="2049" spans="1:16">
      <c r="A2049" s="306"/>
      <c r="B2049" s="289"/>
      <c r="C2049" s="307"/>
      <c r="D2049" s="148" t="s">
        <v>779</v>
      </c>
      <c r="E2049" t="s">
        <v>846</v>
      </c>
      <c r="G2049" s="124" t="s">
        <v>428</v>
      </c>
      <c r="H2049" s="107">
        <v>44651</v>
      </c>
      <c r="I2049" s="65" t="s">
        <v>616</v>
      </c>
      <c r="K2049" s="71">
        <v>53049</v>
      </c>
      <c r="L2049" s="72">
        <v>56021</v>
      </c>
      <c r="M2049" s="71">
        <v>52343</v>
      </c>
      <c r="N2049" s="216">
        <v>50318</v>
      </c>
      <c r="O2049" s="71">
        <v>53681</v>
      </c>
      <c r="P2049" s="72"/>
    </row>
    <row r="2050" spans="1:16">
      <c r="A2050" s="306"/>
      <c r="B2050" s="289"/>
      <c r="C2050" s="307"/>
      <c r="D2050" s="148" t="s">
        <v>779</v>
      </c>
      <c r="E2050" t="s">
        <v>847</v>
      </c>
      <c r="G2050" s="124" t="s">
        <v>428</v>
      </c>
      <c r="H2050" s="107">
        <v>44651</v>
      </c>
      <c r="I2050" s="65" t="s">
        <v>616</v>
      </c>
      <c r="K2050" s="71">
        <v>128317</v>
      </c>
      <c r="L2050" s="72">
        <v>142838</v>
      </c>
      <c r="M2050" s="71">
        <v>139984</v>
      </c>
      <c r="N2050" s="216">
        <v>137458</v>
      </c>
      <c r="O2050" s="71">
        <v>157459</v>
      </c>
      <c r="P2050" s="72"/>
    </row>
    <row r="2051" spans="1:16">
      <c r="A2051" s="306"/>
      <c r="B2051" s="289"/>
      <c r="C2051" s="307"/>
      <c r="D2051" s="148" t="s">
        <v>779</v>
      </c>
      <c r="E2051" t="s">
        <v>443</v>
      </c>
      <c r="G2051" s="124" t="s">
        <v>428</v>
      </c>
      <c r="H2051" s="107">
        <v>44651</v>
      </c>
      <c r="I2051" s="65"/>
      <c r="K2051" s="71">
        <f t="shared" ref="K2051:N2051" si="94">SUM(K2048:K2050)</f>
        <v>661997</v>
      </c>
      <c r="L2051" s="72">
        <f t="shared" si="94"/>
        <v>774432</v>
      </c>
      <c r="M2051" s="71">
        <f t="shared" si="94"/>
        <v>737351</v>
      </c>
      <c r="N2051" s="216">
        <f t="shared" si="94"/>
        <v>686998</v>
      </c>
      <c r="O2051" s="71">
        <f>SUM(O2048:O2050)</f>
        <v>665163</v>
      </c>
      <c r="P2051" s="72"/>
    </row>
    <row r="2052" spans="1:16">
      <c r="A2052" s="306"/>
      <c r="B2052" s="289"/>
      <c r="C2052" s="307"/>
      <c r="D2052" s="148" t="s">
        <v>417</v>
      </c>
      <c r="E2052" t="s">
        <v>10</v>
      </c>
      <c r="G2052" t="s">
        <v>817</v>
      </c>
      <c r="H2052" s="107">
        <v>44651</v>
      </c>
      <c r="I2052" s="65"/>
      <c r="K2052" s="71">
        <v>287624</v>
      </c>
      <c r="L2052" s="72">
        <v>332682</v>
      </c>
      <c r="M2052" s="71">
        <v>337499</v>
      </c>
      <c r="N2052" s="216">
        <v>321966</v>
      </c>
      <c r="O2052" s="71">
        <v>301961</v>
      </c>
      <c r="P2052" s="72">
        <v>361730</v>
      </c>
    </row>
    <row r="2053" spans="1:16">
      <c r="A2053" s="306"/>
      <c r="B2053" s="289"/>
      <c r="C2053" s="307"/>
      <c r="D2053" s="150" t="s">
        <v>418</v>
      </c>
      <c r="H2053" s="107"/>
      <c r="I2053" s="65"/>
      <c r="K2053" s="71"/>
      <c r="L2053" s="72"/>
      <c r="M2053" s="71"/>
      <c r="N2053" s="216"/>
      <c r="O2053" s="71"/>
      <c r="P2053" s="72" t="s">
        <v>848</v>
      </c>
    </row>
    <row r="2054" spans="1:16">
      <c r="A2054" s="316"/>
      <c r="B2054" s="289"/>
      <c r="C2054" s="318"/>
      <c r="D2054" s="66"/>
      <c r="H2054" s="107"/>
      <c r="I2054" s="65"/>
      <c r="K2054" s="71"/>
      <c r="L2054" s="72"/>
      <c r="M2054" s="71"/>
      <c r="N2054" s="216"/>
      <c r="O2054" s="71"/>
      <c r="P2054" s="72"/>
    </row>
    <row r="2055" spans="1:16">
      <c r="A2055" s="315" t="s">
        <v>908</v>
      </c>
      <c r="B2055" s="289">
        <v>0</v>
      </c>
      <c r="C2055" s="317" t="s">
        <v>909</v>
      </c>
      <c r="D2055" s="147" t="s">
        <v>411</v>
      </c>
      <c r="G2055" s="124" t="s">
        <v>428</v>
      </c>
      <c r="H2055" s="107">
        <v>44286</v>
      </c>
      <c r="I2055" s="65" t="s">
        <v>616</v>
      </c>
      <c r="K2055" s="71"/>
      <c r="L2055" s="72"/>
      <c r="M2055" s="71"/>
      <c r="N2055" s="216"/>
      <c r="O2055" s="71"/>
      <c r="P2055" s="72"/>
    </row>
    <row r="2056" spans="1:16">
      <c r="A2056" s="306"/>
      <c r="B2056" s="289"/>
      <c r="C2056" s="307"/>
      <c r="D2056" s="148" t="s">
        <v>412</v>
      </c>
      <c r="G2056" s="124" t="s">
        <v>428</v>
      </c>
      <c r="H2056" s="107">
        <v>44286</v>
      </c>
      <c r="I2056" s="65" t="s">
        <v>616</v>
      </c>
      <c r="K2056" s="71"/>
      <c r="L2056" s="72"/>
      <c r="M2056" s="71"/>
      <c r="N2056" s="216"/>
      <c r="O2056" s="71"/>
      <c r="P2056" s="72"/>
    </row>
    <row r="2057" spans="1:16">
      <c r="A2057" s="306"/>
      <c r="B2057" s="289"/>
      <c r="C2057" s="307"/>
      <c r="D2057" s="148" t="s">
        <v>415</v>
      </c>
      <c r="G2057" s="124" t="s">
        <v>428</v>
      </c>
      <c r="H2057" s="107">
        <v>44286</v>
      </c>
      <c r="I2057" s="65" t="s">
        <v>616</v>
      </c>
      <c r="K2057" s="71"/>
      <c r="L2057" s="72"/>
      <c r="M2057" s="71"/>
      <c r="N2057" s="216"/>
      <c r="O2057" s="71"/>
      <c r="P2057" s="72"/>
    </row>
    <row r="2058" spans="1:16">
      <c r="A2058" s="306"/>
      <c r="B2058" s="289"/>
      <c r="C2058" s="307"/>
      <c r="D2058" s="148" t="s">
        <v>779</v>
      </c>
      <c r="E2058" t="s">
        <v>845</v>
      </c>
      <c r="G2058" s="124" t="s">
        <v>428</v>
      </c>
      <c r="H2058" s="107">
        <v>44286</v>
      </c>
      <c r="I2058" s="65" t="s">
        <v>616</v>
      </c>
      <c r="J2058">
        <v>552940</v>
      </c>
      <c r="K2058" s="71">
        <v>480631</v>
      </c>
      <c r="L2058" s="72">
        <v>576817</v>
      </c>
      <c r="M2058" s="71">
        <v>545024</v>
      </c>
      <c r="N2058" s="216">
        <v>499222</v>
      </c>
      <c r="O2058" s="71"/>
      <c r="P2058" s="72"/>
    </row>
    <row r="2059" spans="1:16">
      <c r="A2059" s="306"/>
      <c r="B2059" s="289"/>
      <c r="C2059" s="307"/>
      <c r="D2059" s="148" t="s">
        <v>779</v>
      </c>
      <c r="E2059" t="s">
        <v>846</v>
      </c>
      <c r="G2059" s="124" t="s">
        <v>428</v>
      </c>
      <c r="H2059" s="107">
        <v>44286</v>
      </c>
      <c r="I2059" s="65" t="s">
        <v>616</v>
      </c>
      <c r="J2059">
        <v>48474</v>
      </c>
      <c r="K2059" s="71">
        <v>53049</v>
      </c>
      <c r="L2059" s="72">
        <v>56021</v>
      </c>
      <c r="M2059" s="71">
        <v>52343</v>
      </c>
      <c r="N2059" s="216">
        <v>50318</v>
      </c>
      <c r="O2059" s="71"/>
      <c r="P2059" s="72"/>
    </row>
    <row r="2060" spans="1:16">
      <c r="A2060" s="306"/>
      <c r="B2060" s="289"/>
      <c r="C2060" s="307"/>
      <c r="D2060" s="148" t="s">
        <v>779</v>
      </c>
      <c r="E2060" t="s">
        <v>847</v>
      </c>
      <c r="G2060" s="124" t="s">
        <v>428</v>
      </c>
      <c r="H2060" s="107">
        <v>44286</v>
      </c>
      <c r="I2060" s="65" t="s">
        <v>616</v>
      </c>
      <c r="J2060">
        <v>121819</v>
      </c>
      <c r="K2060" s="71">
        <v>128317</v>
      </c>
      <c r="L2060" s="72">
        <v>142838</v>
      </c>
      <c r="M2060" s="71">
        <v>139984</v>
      </c>
      <c r="N2060" s="216">
        <v>137458</v>
      </c>
      <c r="O2060" s="71"/>
      <c r="P2060" s="72"/>
    </row>
    <row r="2061" spans="1:16">
      <c r="A2061" s="306"/>
      <c r="B2061" s="289"/>
      <c r="C2061" s="307"/>
      <c r="D2061" s="148" t="s">
        <v>779</v>
      </c>
      <c r="E2061" t="s">
        <v>443</v>
      </c>
      <c r="G2061" s="124" t="s">
        <v>428</v>
      </c>
      <c r="H2061" s="107">
        <v>44286</v>
      </c>
      <c r="I2061" s="65"/>
      <c r="J2061">
        <f t="shared" ref="J2061:M2061" si="95">SUM(J2058:J2060)</f>
        <v>723233</v>
      </c>
      <c r="K2061" s="71">
        <f t="shared" si="95"/>
        <v>661997</v>
      </c>
      <c r="L2061" s="72">
        <f t="shared" si="95"/>
        <v>775676</v>
      </c>
      <c r="M2061" s="71">
        <f t="shared" si="95"/>
        <v>737351</v>
      </c>
      <c r="N2061" s="216">
        <f>SUM(N2058:N2060)</f>
        <v>686998</v>
      </c>
      <c r="O2061" s="71"/>
      <c r="P2061" s="72"/>
    </row>
    <row r="2062" spans="1:16">
      <c r="A2062" s="306"/>
      <c r="B2062" s="289"/>
      <c r="C2062" s="307"/>
      <c r="D2062" s="148" t="s">
        <v>417</v>
      </c>
      <c r="E2062" t="s">
        <v>10</v>
      </c>
      <c r="G2062" t="s">
        <v>817</v>
      </c>
      <c r="H2062" s="107">
        <v>44286</v>
      </c>
      <c r="I2062" s="65"/>
      <c r="J2062">
        <v>295647</v>
      </c>
      <c r="K2062" s="71">
        <v>287624</v>
      </c>
      <c r="L2062" s="72">
        <v>332682</v>
      </c>
      <c r="M2062" s="71">
        <v>337499</v>
      </c>
      <c r="N2062" s="216">
        <v>321966</v>
      </c>
      <c r="O2062" s="71"/>
      <c r="P2062" s="72"/>
    </row>
    <row r="2063" spans="1:16">
      <c r="A2063" s="306"/>
      <c r="B2063" s="289"/>
      <c r="C2063" s="307"/>
      <c r="D2063" s="150" t="s">
        <v>418</v>
      </c>
      <c r="H2063" s="107"/>
      <c r="I2063" s="65"/>
      <c r="K2063" s="71"/>
      <c r="L2063" s="72"/>
      <c r="M2063" s="71"/>
      <c r="N2063" s="216" t="s">
        <v>849</v>
      </c>
      <c r="O2063" s="71"/>
      <c r="P2063" s="72"/>
    </row>
    <row r="2064" spans="1:16">
      <c r="A2064" s="316"/>
      <c r="B2064" s="290"/>
      <c r="C2064" s="318"/>
      <c r="D2064" s="66"/>
      <c r="H2064" s="107"/>
      <c r="I2064" s="65"/>
      <c r="K2064" s="71"/>
      <c r="L2064" s="72"/>
      <c r="M2064" s="71"/>
      <c r="N2064" s="216"/>
      <c r="O2064" s="71"/>
      <c r="P2064" s="72"/>
    </row>
    <row r="2065" spans="1:16">
      <c r="A2065" s="304" t="s">
        <v>917</v>
      </c>
      <c r="B2065" s="288" t="s">
        <v>918</v>
      </c>
      <c r="C2065" s="305" t="s">
        <v>919</v>
      </c>
      <c r="D2065" s="172" t="s">
        <v>411</v>
      </c>
      <c r="E2065" s="106"/>
      <c r="F2065" s="205"/>
      <c r="G2065" s="205" t="s">
        <v>429</v>
      </c>
      <c r="H2065" s="208">
        <v>44561</v>
      </c>
      <c r="I2065" s="206"/>
      <c r="K2065" s="71"/>
      <c r="L2065" s="72"/>
      <c r="M2065" s="71"/>
      <c r="N2065" s="216">
        <v>33.9</v>
      </c>
      <c r="O2065" s="71">
        <v>32.4</v>
      </c>
      <c r="P2065" s="72">
        <v>33.4</v>
      </c>
    </row>
    <row r="2066" spans="1:16">
      <c r="A2066" s="295"/>
      <c r="B2066" s="289"/>
      <c r="C2066" s="296"/>
      <c r="D2066" s="66" t="s">
        <v>412</v>
      </c>
      <c r="G2066" t="s">
        <v>429</v>
      </c>
      <c r="H2066" s="173">
        <v>44561</v>
      </c>
      <c r="I2066" s="65"/>
      <c r="K2066" s="71"/>
      <c r="L2066" s="72"/>
      <c r="M2066" s="71"/>
      <c r="N2066" s="216">
        <v>2.6</v>
      </c>
      <c r="O2066" s="71">
        <v>2.6</v>
      </c>
      <c r="P2066" s="72">
        <v>2.6</v>
      </c>
    </row>
    <row r="2067" spans="1:16">
      <c r="A2067" s="295"/>
      <c r="B2067" s="289"/>
      <c r="C2067" s="296"/>
      <c r="D2067" s="66" t="s">
        <v>415</v>
      </c>
      <c r="E2067" t="s">
        <v>416</v>
      </c>
      <c r="G2067" t="s">
        <v>429</v>
      </c>
      <c r="H2067" s="173">
        <v>44561</v>
      </c>
      <c r="I2067" s="65"/>
      <c r="K2067" s="71"/>
      <c r="L2067" s="72"/>
      <c r="M2067" s="71"/>
      <c r="N2067" s="216">
        <v>13.6</v>
      </c>
      <c r="O2067" s="71">
        <v>10.9</v>
      </c>
      <c r="P2067" s="72">
        <v>12</v>
      </c>
    </row>
    <row r="2068" spans="1:16">
      <c r="A2068" s="295"/>
      <c r="B2068" s="289"/>
      <c r="C2068" s="296"/>
      <c r="D2068" s="66" t="s">
        <v>415</v>
      </c>
      <c r="E2068">
        <v>9</v>
      </c>
      <c r="G2068" t="s">
        <v>429</v>
      </c>
      <c r="H2068" s="173">
        <v>44561</v>
      </c>
      <c r="I2068" s="65"/>
      <c r="K2068" s="71"/>
      <c r="L2068" s="72"/>
      <c r="M2068" s="71"/>
      <c r="N2068" s="216"/>
      <c r="O2068" s="71"/>
      <c r="P2068" s="72">
        <v>0.3</v>
      </c>
    </row>
    <row r="2069" spans="1:16">
      <c r="A2069" s="295"/>
      <c r="B2069" s="289"/>
      <c r="C2069" s="296"/>
      <c r="D2069" s="66" t="s">
        <v>415</v>
      </c>
      <c r="E2069" t="s">
        <v>1026</v>
      </c>
      <c r="G2069" t="s">
        <v>429</v>
      </c>
      <c r="H2069" s="173">
        <v>44561</v>
      </c>
      <c r="I2069" s="65"/>
      <c r="K2069" s="71"/>
      <c r="L2069" s="72"/>
      <c r="M2069" s="71"/>
      <c r="N2069" s="216"/>
      <c r="O2069" s="71"/>
      <c r="P2069" s="72">
        <v>11.7</v>
      </c>
    </row>
    <row r="2070" spans="1:16">
      <c r="A2070" s="291"/>
      <c r="B2070" s="289"/>
      <c r="C2070" s="292"/>
      <c r="D2070" s="112" t="s">
        <v>487</v>
      </c>
      <c r="G2070" t="s">
        <v>429</v>
      </c>
      <c r="H2070" s="173">
        <v>44561</v>
      </c>
      <c r="I2070" s="65"/>
      <c r="K2070" s="71"/>
      <c r="L2070" s="72"/>
      <c r="M2070" s="71"/>
      <c r="N2070" s="216">
        <f>N2065+N2066+N2067</f>
        <v>50.1</v>
      </c>
      <c r="O2070" s="71">
        <f>O2065+O2066+O2067</f>
        <v>45.9</v>
      </c>
      <c r="P2070" s="72">
        <f>P2065+P2066+P2067</f>
        <v>48</v>
      </c>
    </row>
    <row r="2071" spans="1:16">
      <c r="A2071" s="291"/>
      <c r="B2071" s="289"/>
      <c r="C2071" s="292"/>
      <c r="D2071" s="112" t="s">
        <v>601</v>
      </c>
      <c r="E2071" t="s">
        <v>423</v>
      </c>
      <c r="G2071" t="s">
        <v>1031</v>
      </c>
      <c r="H2071" s="173">
        <v>44561</v>
      </c>
      <c r="I2071" s="65"/>
      <c r="K2071" s="71"/>
      <c r="L2071" s="72"/>
      <c r="M2071" s="71"/>
      <c r="N2071" s="216">
        <v>660</v>
      </c>
      <c r="O2071" s="71">
        <v>643</v>
      </c>
      <c r="P2071" s="72">
        <v>643</v>
      </c>
    </row>
    <row r="2072" spans="1:16">
      <c r="A2072" s="291"/>
      <c r="B2072" s="289"/>
      <c r="C2072" s="292"/>
      <c r="D2072" s="112" t="s">
        <v>601</v>
      </c>
      <c r="E2072" t="s">
        <v>424</v>
      </c>
      <c r="G2072" t="s">
        <v>1031</v>
      </c>
      <c r="H2072" s="173">
        <v>44561</v>
      </c>
      <c r="I2072" s="65" t="s">
        <v>616</v>
      </c>
      <c r="K2072" s="71"/>
      <c r="L2072" s="72"/>
      <c r="M2072" s="71"/>
      <c r="N2072" s="216">
        <v>602</v>
      </c>
      <c r="O2072" s="71">
        <v>586</v>
      </c>
      <c r="P2072" s="72">
        <v>586</v>
      </c>
    </row>
    <row r="2073" spans="1:16">
      <c r="A2073" s="302"/>
      <c r="B2073" s="290"/>
      <c r="C2073" s="303"/>
      <c r="D2073" s="175" t="s">
        <v>418</v>
      </c>
      <c r="E2073" s="176"/>
      <c r="F2073" s="176"/>
      <c r="G2073" s="176"/>
      <c r="H2073" s="209">
        <v>44561</v>
      </c>
      <c r="I2073" s="203"/>
      <c r="K2073" s="71"/>
      <c r="L2073" s="72"/>
      <c r="M2073" s="71"/>
      <c r="N2073" s="216"/>
      <c r="O2073" s="71"/>
      <c r="P2073" s="72" t="s">
        <v>971</v>
      </c>
    </row>
    <row r="2074" spans="1:16">
      <c r="A2074" s="243"/>
      <c r="B2074" s="105"/>
      <c r="C2074" s="105"/>
      <c r="D2074" s="178"/>
      <c r="H2074" s="173"/>
      <c r="I2074" s="65"/>
      <c r="K2074" s="71"/>
      <c r="L2074" s="72"/>
      <c r="M2074" s="71"/>
      <c r="N2074" s="216"/>
      <c r="O2074" s="71"/>
      <c r="P2074" s="72"/>
    </row>
    <row r="2075" spans="1:16">
      <c r="A2075" s="304" t="s">
        <v>917</v>
      </c>
      <c r="B2075" s="288" t="s">
        <v>918</v>
      </c>
      <c r="C2075" s="305" t="s">
        <v>919</v>
      </c>
      <c r="D2075" s="172" t="s">
        <v>411</v>
      </c>
      <c r="E2075" s="106"/>
      <c r="F2075" s="106"/>
      <c r="G2075" s="106" t="s">
        <v>429</v>
      </c>
      <c r="H2075" s="208">
        <v>44196</v>
      </c>
      <c r="I2075" s="206" t="s">
        <v>970</v>
      </c>
      <c r="K2075" s="71"/>
      <c r="L2075" s="72"/>
      <c r="M2075" s="71"/>
      <c r="N2075" s="216"/>
      <c r="O2075" s="71">
        <v>32.4</v>
      </c>
      <c r="P2075" s="72"/>
    </row>
    <row r="2076" spans="1:16">
      <c r="A2076" s="295"/>
      <c r="B2076" s="289"/>
      <c r="C2076" s="296"/>
      <c r="D2076" s="66" t="s">
        <v>412</v>
      </c>
      <c r="G2076" t="s">
        <v>429</v>
      </c>
      <c r="H2076" s="173">
        <v>44196</v>
      </c>
      <c r="I2076" s="65" t="s">
        <v>970</v>
      </c>
      <c r="K2076" s="71"/>
      <c r="L2076" s="72"/>
      <c r="M2076" s="71"/>
      <c r="N2076" s="216"/>
      <c r="O2076" s="71">
        <v>2.6</v>
      </c>
      <c r="P2076" s="72"/>
    </row>
    <row r="2077" spans="1:16">
      <c r="A2077" s="295"/>
      <c r="B2077" s="289"/>
      <c r="C2077" s="296"/>
      <c r="D2077" s="66" t="s">
        <v>415</v>
      </c>
      <c r="E2077" t="s">
        <v>1026</v>
      </c>
      <c r="G2077" t="s">
        <v>429</v>
      </c>
      <c r="H2077" s="173">
        <v>44196</v>
      </c>
      <c r="I2077" s="65" t="s">
        <v>970</v>
      </c>
      <c r="K2077" s="71"/>
      <c r="L2077" s="72"/>
      <c r="M2077" s="71"/>
      <c r="N2077" s="216"/>
      <c r="O2077" s="71">
        <v>10.9</v>
      </c>
      <c r="P2077" s="72"/>
    </row>
    <row r="2078" spans="1:16">
      <c r="A2078" s="295"/>
      <c r="B2078" s="289"/>
      <c r="C2078" s="296"/>
      <c r="D2078" s="66" t="s">
        <v>417</v>
      </c>
      <c r="H2078" s="173">
        <v>44196</v>
      </c>
      <c r="I2078" s="65" t="s">
        <v>970</v>
      </c>
      <c r="K2078" s="71"/>
      <c r="L2078" s="72"/>
      <c r="M2078" s="71"/>
      <c r="N2078" s="216"/>
      <c r="O2078" s="71"/>
      <c r="P2078" s="72"/>
    </row>
    <row r="2079" spans="1:16">
      <c r="A2079" s="302"/>
      <c r="B2079" s="290"/>
      <c r="C2079" s="303"/>
      <c r="D2079" s="175" t="s">
        <v>418</v>
      </c>
      <c r="E2079" s="176"/>
      <c r="F2079" s="176"/>
      <c r="G2079" s="176"/>
      <c r="H2079" s="209">
        <v>44196</v>
      </c>
      <c r="I2079" s="203" t="s">
        <v>970</v>
      </c>
      <c r="K2079" s="71"/>
      <c r="L2079" s="72"/>
      <c r="M2079" s="71"/>
      <c r="N2079" s="216"/>
      <c r="O2079" s="71" t="s">
        <v>972</v>
      </c>
      <c r="P2079" s="72"/>
    </row>
    <row r="2080" spans="1:16">
      <c r="A2080" s="173"/>
      <c r="B2080" s="173"/>
      <c r="C2080" s="173"/>
      <c r="D2080" s="173"/>
      <c r="E2080" s="173"/>
      <c r="F2080" s="173"/>
      <c r="G2080" s="173"/>
      <c r="H2080" s="173"/>
      <c r="I2080" s="173"/>
      <c r="K2080" s="71"/>
      <c r="L2080" s="72"/>
      <c r="M2080" s="71"/>
      <c r="N2080" s="216"/>
      <c r="O2080" s="71"/>
      <c r="P2080" s="72"/>
    </row>
    <row r="2081" spans="1:16">
      <c r="A2081" s="304" t="s">
        <v>917</v>
      </c>
      <c r="B2081" s="288" t="s">
        <v>918</v>
      </c>
      <c r="C2081" s="305" t="s">
        <v>919</v>
      </c>
      <c r="D2081" s="172" t="s">
        <v>411</v>
      </c>
      <c r="E2081" s="106"/>
      <c r="F2081" s="205"/>
      <c r="G2081" s="205" t="s">
        <v>429</v>
      </c>
      <c r="H2081" s="208">
        <v>43830</v>
      </c>
      <c r="I2081" s="206"/>
      <c r="K2081" s="71"/>
      <c r="L2081" s="72"/>
      <c r="M2081" s="71"/>
      <c r="N2081" s="216">
        <v>33.9</v>
      </c>
      <c r="O2081" s="71"/>
      <c r="P2081" s="72"/>
    </row>
    <row r="2082" spans="1:16">
      <c r="A2082" s="295"/>
      <c r="B2082" s="289"/>
      <c r="C2082" s="296"/>
      <c r="D2082" s="66" t="s">
        <v>412</v>
      </c>
      <c r="G2082" t="s">
        <v>429</v>
      </c>
      <c r="H2082" s="173">
        <v>43830</v>
      </c>
      <c r="I2082" s="65"/>
      <c r="K2082" s="71"/>
      <c r="L2082" s="72"/>
      <c r="M2082" s="71"/>
      <c r="N2082" s="216">
        <v>2.6</v>
      </c>
      <c r="O2082" s="71"/>
      <c r="P2082" s="72"/>
    </row>
    <row r="2083" spans="1:16">
      <c r="A2083" s="295"/>
      <c r="B2083" s="289"/>
      <c r="C2083" s="296"/>
      <c r="D2083" s="66" t="s">
        <v>415</v>
      </c>
      <c r="E2083" t="s">
        <v>1026</v>
      </c>
      <c r="G2083" t="s">
        <v>429</v>
      </c>
      <c r="H2083" s="173">
        <v>43830</v>
      </c>
      <c r="I2083" s="65"/>
      <c r="K2083" s="71"/>
      <c r="L2083" s="72"/>
      <c r="M2083" s="71"/>
      <c r="N2083" s="216">
        <v>13.6</v>
      </c>
      <c r="O2083" s="71"/>
      <c r="P2083" s="72"/>
    </row>
    <row r="2084" spans="1:16">
      <c r="A2084" s="295"/>
      <c r="B2084" s="289"/>
      <c r="C2084" s="296"/>
      <c r="D2084" s="66" t="s">
        <v>487</v>
      </c>
      <c r="G2084" t="s">
        <v>429</v>
      </c>
      <c r="H2084" s="173">
        <v>43830</v>
      </c>
      <c r="I2084" s="65"/>
      <c r="K2084" s="71"/>
      <c r="L2084" s="72"/>
      <c r="M2084" s="71"/>
      <c r="N2084" s="216">
        <f>SUM(N2081:N2083)</f>
        <v>50.1</v>
      </c>
      <c r="O2084" s="71"/>
      <c r="P2084" s="72"/>
    </row>
    <row r="2085" spans="1:16">
      <c r="A2085" s="295"/>
      <c r="B2085" s="289"/>
      <c r="C2085" s="296"/>
      <c r="D2085" s="66" t="s">
        <v>601</v>
      </c>
      <c r="E2085" t="s">
        <v>423</v>
      </c>
      <c r="G2085" t="s">
        <v>1031</v>
      </c>
      <c r="H2085" s="173">
        <v>43830</v>
      </c>
      <c r="I2085" s="65"/>
      <c r="K2085" s="71"/>
      <c r="L2085" s="72">
        <v>624</v>
      </c>
      <c r="M2085" s="71">
        <v>644</v>
      </c>
      <c r="N2085" s="216">
        <v>641</v>
      </c>
      <c r="O2085" s="71"/>
      <c r="P2085" s="72"/>
    </row>
    <row r="2086" spans="1:16">
      <c r="A2086" s="295"/>
      <c r="B2086" s="289"/>
      <c r="C2086" s="296"/>
      <c r="D2086" s="66" t="s">
        <v>601</v>
      </c>
      <c r="E2086" t="s">
        <v>424</v>
      </c>
      <c r="G2086" t="s">
        <v>1031</v>
      </c>
      <c r="H2086" s="173">
        <v>43830</v>
      </c>
      <c r="I2086" s="65" t="s">
        <v>616</v>
      </c>
      <c r="K2086" s="71"/>
      <c r="L2086" s="72">
        <v>572</v>
      </c>
      <c r="M2086" s="71">
        <v>595</v>
      </c>
      <c r="N2086" s="216">
        <v>590</v>
      </c>
      <c r="O2086" s="71"/>
      <c r="P2086" s="72"/>
    </row>
    <row r="2087" spans="1:16">
      <c r="A2087" s="302"/>
      <c r="B2087" s="290"/>
      <c r="C2087" s="303"/>
      <c r="D2087" s="175" t="s">
        <v>418</v>
      </c>
      <c r="E2087" s="176"/>
      <c r="F2087" s="176"/>
      <c r="G2087" s="176"/>
      <c r="H2087" s="209">
        <v>43830</v>
      </c>
      <c r="I2087" s="203"/>
      <c r="K2087" s="71"/>
      <c r="L2087" s="72"/>
      <c r="M2087" s="71"/>
      <c r="N2087" s="216" t="s">
        <v>973</v>
      </c>
      <c r="O2087" s="71"/>
      <c r="P2087" s="72"/>
    </row>
    <row r="2088" spans="1:16">
      <c r="A2088" s="269"/>
      <c r="B2088" s="144"/>
      <c r="C2088" s="152"/>
      <c r="D2088" s="178"/>
      <c r="H2088" s="173"/>
      <c r="I2088" s="65"/>
      <c r="K2088" s="71"/>
      <c r="L2088" s="72"/>
      <c r="M2088" s="71"/>
      <c r="N2088" s="216"/>
      <c r="O2088" s="71"/>
      <c r="P2088" s="72"/>
    </row>
    <row r="2089" spans="1:16">
      <c r="A2089" s="311" t="s">
        <v>917</v>
      </c>
      <c r="B2089" s="288" t="s">
        <v>918</v>
      </c>
      <c r="C2089" s="313" t="s">
        <v>919</v>
      </c>
      <c r="D2089" s="172" t="s">
        <v>411</v>
      </c>
      <c r="E2089" s="106"/>
      <c r="F2089" s="205"/>
      <c r="G2089" s="205" t="s">
        <v>429</v>
      </c>
      <c r="H2089" s="208">
        <v>43465</v>
      </c>
      <c r="I2089" s="206"/>
      <c r="K2089" s="71"/>
      <c r="L2089" s="72"/>
      <c r="M2089" s="71">
        <v>40.299999999999997</v>
      </c>
      <c r="N2089" s="216"/>
      <c r="O2089" s="71"/>
      <c r="P2089" s="72"/>
    </row>
    <row r="2090" spans="1:16">
      <c r="A2090" s="306"/>
      <c r="B2090" s="289"/>
      <c r="C2090" s="307"/>
      <c r="D2090" s="66" t="s">
        <v>412</v>
      </c>
      <c r="G2090" t="s">
        <v>429</v>
      </c>
      <c r="H2090" s="173">
        <v>43465</v>
      </c>
      <c r="I2090" s="65"/>
      <c r="K2090" s="71"/>
      <c r="L2090" s="72"/>
      <c r="M2090" s="71">
        <v>3</v>
      </c>
      <c r="N2090" s="216"/>
      <c r="O2090" s="71"/>
      <c r="P2090" s="72"/>
    </row>
    <row r="2091" spans="1:16">
      <c r="A2091" s="306"/>
      <c r="B2091" s="289"/>
      <c r="C2091" s="307"/>
      <c r="D2091" s="66" t="s">
        <v>415</v>
      </c>
      <c r="E2091" t="s">
        <v>1026</v>
      </c>
      <c r="G2091" t="s">
        <v>429</v>
      </c>
      <c r="H2091" s="173">
        <v>43465</v>
      </c>
      <c r="I2091" s="65"/>
      <c r="K2091" s="71"/>
      <c r="L2091" s="72"/>
      <c r="M2091" s="71">
        <v>12.7</v>
      </c>
      <c r="N2091" s="216"/>
      <c r="O2091" s="71"/>
      <c r="P2091" s="72"/>
    </row>
    <row r="2092" spans="1:16">
      <c r="A2092" s="306"/>
      <c r="B2092" s="289"/>
      <c r="C2092" s="307"/>
      <c r="D2092" s="66" t="s">
        <v>487</v>
      </c>
      <c r="G2092" t="s">
        <v>429</v>
      </c>
      <c r="H2092" s="173">
        <v>43465</v>
      </c>
      <c r="I2092" s="65"/>
      <c r="K2092" s="71"/>
      <c r="L2092" s="72"/>
      <c r="M2092" s="71">
        <f>SUM(M2089:M2091)</f>
        <v>56</v>
      </c>
      <c r="N2092" s="216"/>
      <c r="O2092" s="71"/>
      <c r="P2092" s="72"/>
    </row>
    <row r="2093" spans="1:16">
      <c r="A2093" s="306"/>
      <c r="B2093" s="289"/>
      <c r="C2093" s="307"/>
      <c r="D2093" s="66" t="s">
        <v>601</v>
      </c>
      <c r="E2093" t="s">
        <v>423</v>
      </c>
      <c r="G2093" t="s">
        <v>1031</v>
      </c>
      <c r="H2093" s="173">
        <v>43465</v>
      </c>
      <c r="I2093" s="65"/>
      <c r="K2093" s="71">
        <v>630</v>
      </c>
      <c r="L2093" s="72">
        <v>624</v>
      </c>
      <c r="M2093" s="71">
        <v>644</v>
      </c>
      <c r="N2093" s="216"/>
      <c r="O2093" s="71"/>
      <c r="P2093" s="72"/>
    </row>
    <row r="2094" spans="1:16">
      <c r="A2094" s="306"/>
      <c r="B2094" s="289"/>
      <c r="C2094" s="307"/>
      <c r="D2094" s="66" t="s">
        <v>601</v>
      </c>
      <c r="E2094" t="s">
        <v>424</v>
      </c>
      <c r="G2094" t="s">
        <v>1031</v>
      </c>
      <c r="H2094" s="173">
        <v>43465</v>
      </c>
      <c r="I2094" s="65" t="s">
        <v>616</v>
      </c>
      <c r="K2094" s="71">
        <v>578</v>
      </c>
      <c r="L2094" s="72">
        <v>572</v>
      </c>
      <c r="M2094" s="71">
        <v>595</v>
      </c>
      <c r="N2094" s="216"/>
      <c r="O2094" s="71"/>
      <c r="P2094" s="72"/>
    </row>
    <row r="2095" spans="1:16">
      <c r="A2095" s="312"/>
      <c r="B2095" s="290"/>
      <c r="C2095" s="314"/>
      <c r="D2095" s="175" t="s">
        <v>418</v>
      </c>
      <c r="E2095" s="176"/>
      <c r="F2095" s="176"/>
      <c r="G2095" s="176"/>
      <c r="H2095" s="209">
        <v>43465</v>
      </c>
      <c r="I2095" s="203"/>
      <c r="K2095" s="71"/>
      <c r="L2095" s="72"/>
      <c r="M2095" s="71" t="s">
        <v>974</v>
      </c>
      <c r="N2095" s="216"/>
      <c r="O2095" s="71"/>
      <c r="P2095" s="72"/>
    </row>
    <row r="2096" spans="1:16">
      <c r="A2096" s="269"/>
      <c r="B2096" s="116"/>
      <c r="C2096" s="152"/>
      <c r="D2096" s="178"/>
      <c r="H2096" s="65"/>
      <c r="I2096" s="65"/>
      <c r="K2096" s="71"/>
      <c r="L2096" s="72"/>
      <c r="M2096" s="71"/>
      <c r="N2096" s="216"/>
      <c r="O2096" s="71"/>
      <c r="P2096" s="72"/>
    </row>
    <row r="2097" spans="1:16">
      <c r="A2097" s="311" t="s">
        <v>917</v>
      </c>
      <c r="B2097" s="288" t="s">
        <v>918</v>
      </c>
      <c r="C2097" s="313" t="s">
        <v>919</v>
      </c>
      <c r="D2097" s="172" t="s">
        <v>411</v>
      </c>
      <c r="E2097" s="106"/>
      <c r="F2097" s="205"/>
      <c r="G2097" s="205" t="s">
        <v>429</v>
      </c>
      <c r="H2097" s="208">
        <v>43100</v>
      </c>
      <c r="I2097" s="206"/>
      <c r="K2097" s="71"/>
      <c r="L2097" s="72">
        <v>29.9</v>
      </c>
      <c r="M2097" s="71"/>
      <c r="N2097" s="216"/>
      <c r="O2097" s="71"/>
      <c r="P2097" s="72"/>
    </row>
    <row r="2098" spans="1:16">
      <c r="A2098" s="306"/>
      <c r="B2098" s="289"/>
      <c r="C2098" s="307"/>
      <c r="D2098" s="66" t="s">
        <v>412</v>
      </c>
      <c r="G2098" t="s">
        <v>429</v>
      </c>
      <c r="H2098" s="173">
        <v>43100</v>
      </c>
      <c r="I2098" s="65"/>
      <c r="K2098" s="71"/>
      <c r="L2098" s="72">
        <v>3</v>
      </c>
      <c r="M2098" s="71"/>
      <c r="N2098" s="216"/>
      <c r="O2098" s="71"/>
      <c r="P2098" s="72"/>
    </row>
    <row r="2099" spans="1:16">
      <c r="A2099" s="306"/>
      <c r="B2099" s="289"/>
      <c r="C2099" s="307"/>
      <c r="D2099" s="66" t="s">
        <v>415</v>
      </c>
      <c r="E2099" t="s">
        <v>1026</v>
      </c>
      <c r="G2099" t="s">
        <v>429</v>
      </c>
      <c r="H2099" s="173">
        <v>43100</v>
      </c>
      <c r="I2099" s="65"/>
      <c r="K2099" s="71"/>
      <c r="L2099" s="72">
        <v>12.1</v>
      </c>
      <c r="M2099" s="71"/>
      <c r="N2099" s="216"/>
      <c r="O2099" s="71"/>
      <c r="P2099" s="72"/>
    </row>
    <row r="2100" spans="1:16">
      <c r="A2100" s="306"/>
      <c r="B2100" s="289"/>
      <c r="C2100" s="307"/>
      <c r="D2100" s="66" t="s">
        <v>487</v>
      </c>
      <c r="G2100" t="s">
        <v>429</v>
      </c>
      <c r="H2100" s="173">
        <v>43100</v>
      </c>
      <c r="I2100" s="65"/>
      <c r="K2100" s="71"/>
      <c r="L2100" s="72">
        <f>SUM(L2097:L2099)</f>
        <v>45</v>
      </c>
      <c r="M2100" s="71"/>
      <c r="N2100" s="216"/>
      <c r="O2100" s="71"/>
      <c r="P2100" s="72"/>
    </row>
    <row r="2101" spans="1:16">
      <c r="A2101" s="306"/>
      <c r="B2101" s="289"/>
      <c r="C2101" s="307"/>
      <c r="D2101" s="66" t="s">
        <v>601</v>
      </c>
      <c r="E2101" t="s">
        <v>423</v>
      </c>
      <c r="G2101" t="s">
        <v>1031</v>
      </c>
      <c r="H2101" s="173">
        <v>43100</v>
      </c>
      <c r="I2101" s="65"/>
      <c r="J2101">
        <v>622</v>
      </c>
      <c r="K2101" s="71">
        <v>630</v>
      </c>
      <c r="L2101" s="72">
        <v>624</v>
      </c>
      <c r="M2101" s="71"/>
      <c r="N2101" s="216"/>
      <c r="O2101" s="71"/>
      <c r="P2101" s="72"/>
    </row>
    <row r="2102" spans="1:16">
      <c r="A2102" s="306"/>
      <c r="B2102" s="289"/>
      <c r="C2102" s="307"/>
      <c r="D2102" s="66" t="s">
        <v>601</v>
      </c>
      <c r="E2102" t="s">
        <v>424</v>
      </c>
      <c r="G2102" t="s">
        <v>1031</v>
      </c>
      <c r="H2102" s="173">
        <v>43100</v>
      </c>
      <c r="I2102" s="65" t="s">
        <v>616</v>
      </c>
      <c r="J2102">
        <v>573</v>
      </c>
      <c r="K2102" s="71">
        <v>578</v>
      </c>
      <c r="L2102" s="72">
        <v>572</v>
      </c>
      <c r="M2102" s="71"/>
      <c r="N2102" s="216"/>
      <c r="O2102" s="71"/>
      <c r="P2102" s="72"/>
    </row>
    <row r="2103" spans="1:16">
      <c r="A2103" s="312"/>
      <c r="B2103" s="290"/>
      <c r="C2103" s="314"/>
      <c r="D2103" s="175" t="s">
        <v>418</v>
      </c>
      <c r="E2103" s="176"/>
      <c r="F2103" s="176"/>
      <c r="G2103" s="176"/>
      <c r="H2103" s="209">
        <v>43100</v>
      </c>
      <c r="I2103" s="203"/>
      <c r="K2103" s="71"/>
      <c r="L2103" s="72" t="s">
        <v>975</v>
      </c>
      <c r="M2103" s="71"/>
      <c r="N2103" s="216"/>
      <c r="O2103" s="71"/>
      <c r="P2103" s="72"/>
    </row>
    <row r="2104" spans="1:16">
      <c r="A2104" s="268"/>
      <c r="B2104" s="116"/>
      <c r="C2104" s="115"/>
      <c r="D2104" s="178"/>
      <c r="H2104" s="65"/>
      <c r="I2104" s="65"/>
      <c r="K2104" s="71"/>
      <c r="L2104" s="72"/>
      <c r="M2104" s="71"/>
      <c r="N2104" s="216"/>
      <c r="O2104" s="71"/>
      <c r="P2104" s="72"/>
    </row>
    <row r="2105" spans="1:16">
      <c r="A2105" s="306" t="s">
        <v>920</v>
      </c>
      <c r="B2105" s="288" t="s">
        <v>921</v>
      </c>
      <c r="C2105" s="307" t="s">
        <v>922</v>
      </c>
      <c r="D2105" s="66" t="s">
        <v>411</v>
      </c>
      <c r="E2105" s="205"/>
      <c r="F2105" s="205" t="s">
        <v>1027</v>
      </c>
      <c r="G2105" s="205" t="s">
        <v>428</v>
      </c>
      <c r="H2105" s="208">
        <v>44561</v>
      </c>
      <c r="I2105" s="206"/>
      <c r="K2105" s="71"/>
      <c r="L2105" s="72"/>
      <c r="M2105" s="71"/>
      <c r="N2105" s="216">
        <v>647550</v>
      </c>
      <c r="O2105" s="71">
        <v>566554</v>
      </c>
      <c r="P2105" s="72">
        <v>730075</v>
      </c>
    </row>
    <row r="2106" spans="1:16">
      <c r="A2106" s="306"/>
      <c r="B2106" s="289"/>
      <c r="C2106" s="307"/>
      <c r="D2106" s="66" t="s">
        <v>411</v>
      </c>
      <c r="F2106" t="s">
        <v>976</v>
      </c>
      <c r="G2106" t="s">
        <v>428</v>
      </c>
      <c r="H2106" s="173">
        <v>44561</v>
      </c>
      <c r="I2106" s="65"/>
      <c r="K2106" s="71"/>
      <c r="L2106" s="72"/>
      <c r="M2106" s="71"/>
      <c r="N2106" s="216">
        <v>1021060</v>
      </c>
      <c r="O2106" s="71">
        <v>912515</v>
      </c>
      <c r="P2106" s="72">
        <v>1098517</v>
      </c>
    </row>
    <row r="2107" spans="1:16">
      <c r="A2107" s="306"/>
      <c r="B2107" s="289"/>
      <c r="C2107" s="307"/>
      <c r="D2107" s="66" t="s">
        <v>412</v>
      </c>
      <c r="E2107" t="s">
        <v>413</v>
      </c>
      <c r="G2107" t="s">
        <v>428</v>
      </c>
      <c r="H2107" s="173">
        <v>44561</v>
      </c>
      <c r="I2107" s="65"/>
      <c r="K2107" s="71"/>
      <c r="L2107" s="72"/>
      <c r="M2107" s="71"/>
      <c r="N2107" s="216">
        <v>95429</v>
      </c>
      <c r="O2107" s="71">
        <v>79567</v>
      </c>
      <c r="P2107" s="72">
        <v>86539</v>
      </c>
    </row>
    <row r="2108" spans="1:16">
      <c r="A2108" s="306"/>
      <c r="B2108" s="289"/>
      <c r="C2108" s="307"/>
      <c r="D2108" s="66" t="s">
        <v>414</v>
      </c>
      <c r="E2108" t="s">
        <v>413</v>
      </c>
      <c r="G2108" t="s">
        <v>428</v>
      </c>
      <c r="H2108" s="173">
        <v>44561</v>
      </c>
      <c r="I2108" s="65"/>
      <c r="K2108" s="71"/>
      <c r="L2108" s="72"/>
      <c r="M2108" s="71"/>
      <c r="N2108" s="216">
        <v>1764039</v>
      </c>
      <c r="O2108" s="71">
        <v>1558636</v>
      </c>
      <c r="P2108" s="72">
        <f>SUM(P2105:P2107)</f>
        <v>1915131</v>
      </c>
    </row>
    <row r="2109" spans="1:16">
      <c r="A2109" s="306"/>
      <c r="B2109" s="289"/>
      <c r="C2109" s="307"/>
      <c r="D2109" s="66" t="s">
        <v>414</v>
      </c>
      <c r="E2109" t="s">
        <v>420</v>
      </c>
      <c r="G2109" t="s">
        <v>428</v>
      </c>
      <c r="H2109" s="173">
        <v>44561</v>
      </c>
      <c r="I2109" s="65" t="s">
        <v>970</v>
      </c>
      <c r="K2109" s="71"/>
      <c r="L2109" s="72"/>
      <c r="M2109" s="71"/>
      <c r="N2109" s="216"/>
      <c r="O2109" s="71">
        <v>1479069</v>
      </c>
      <c r="P2109" s="72">
        <v>1828592</v>
      </c>
    </row>
    <row r="2110" spans="1:16">
      <c r="A2110" s="306"/>
      <c r="B2110" s="289"/>
      <c r="C2110" s="307"/>
      <c r="D2110" s="66" t="s">
        <v>415</v>
      </c>
      <c r="G2110" t="s">
        <v>428</v>
      </c>
      <c r="H2110" s="173">
        <v>44561</v>
      </c>
      <c r="I2110" s="65"/>
      <c r="K2110" s="71"/>
      <c r="L2110" s="72"/>
      <c r="M2110" s="71"/>
      <c r="N2110" s="216">
        <f>N2108*0.1</f>
        <v>176403.90000000002</v>
      </c>
      <c r="O2110" s="71">
        <f>O2108*0.1</f>
        <v>155863.6</v>
      </c>
      <c r="P2110" s="72">
        <f>P2108*0.1</f>
        <v>191513.1</v>
      </c>
    </row>
    <row r="2111" spans="1:16">
      <c r="A2111" s="306"/>
      <c r="B2111" s="289"/>
      <c r="C2111" s="307"/>
      <c r="D2111" s="66" t="s">
        <v>600</v>
      </c>
      <c r="G2111" t="s">
        <v>1032</v>
      </c>
      <c r="H2111" s="173">
        <v>44561</v>
      </c>
      <c r="I2111" s="65"/>
      <c r="K2111" s="71"/>
      <c r="L2111" s="72"/>
      <c r="M2111" s="71"/>
      <c r="N2111" s="216">
        <v>54.8</v>
      </c>
      <c r="O2111" s="71">
        <v>47.2</v>
      </c>
      <c r="P2111" s="72">
        <v>44.2</v>
      </c>
    </row>
    <row r="2112" spans="1:16">
      <c r="A2112" s="306"/>
      <c r="B2112" s="289"/>
      <c r="C2112" s="307"/>
      <c r="D2112" s="66" t="s">
        <v>418</v>
      </c>
      <c r="H2112" s="173">
        <v>44561</v>
      </c>
      <c r="I2112" s="65"/>
      <c r="K2112" s="71"/>
      <c r="L2112" s="72"/>
      <c r="M2112" s="71"/>
      <c r="N2112" s="216"/>
      <c r="O2112" s="71"/>
      <c r="P2112" s="72" t="s">
        <v>977</v>
      </c>
    </row>
    <row r="2113" spans="1:16">
      <c r="A2113" s="306"/>
      <c r="B2113" s="290"/>
      <c r="C2113" s="307"/>
      <c r="D2113" s="112"/>
      <c r="H2113" s="65"/>
      <c r="I2113" s="65"/>
      <c r="K2113" s="71"/>
      <c r="L2113" s="72"/>
      <c r="M2113" s="71"/>
      <c r="N2113" s="216"/>
      <c r="O2113" s="71"/>
      <c r="P2113" s="72" t="s">
        <v>978</v>
      </c>
    </row>
    <row r="2114" spans="1:16">
      <c r="A2114" s="270"/>
      <c r="B2114" s="116"/>
      <c r="C2114" s="180"/>
      <c r="D2114" s="181"/>
      <c r="E2114" s="106"/>
      <c r="F2114" s="106"/>
      <c r="G2114" s="106"/>
      <c r="H2114" s="182"/>
      <c r="I2114" s="182"/>
      <c r="K2114" s="71"/>
      <c r="L2114" s="72"/>
      <c r="M2114" s="71"/>
      <c r="N2114" s="216"/>
      <c r="O2114" s="71"/>
      <c r="P2114" s="72"/>
    </row>
    <row r="2115" spans="1:16">
      <c r="A2115" s="306" t="s">
        <v>920</v>
      </c>
      <c r="B2115" s="288" t="s">
        <v>921</v>
      </c>
      <c r="C2115" s="307" t="s">
        <v>922</v>
      </c>
      <c r="D2115" s="179" t="s">
        <v>411</v>
      </c>
      <c r="E2115" s="205"/>
      <c r="F2115" s="205" t="s">
        <v>1027</v>
      </c>
      <c r="G2115" t="s">
        <v>428</v>
      </c>
      <c r="H2115" s="173">
        <v>44196</v>
      </c>
      <c r="I2115" s="65" t="s">
        <v>970</v>
      </c>
      <c r="K2115" s="71"/>
      <c r="L2115" s="72"/>
      <c r="M2115" s="71"/>
      <c r="N2115" s="216">
        <v>647550</v>
      </c>
      <c r="O2115" s="71">
        <v>566554</v>
      </c>
      <c r="P2115" s="72"/>
    </row>
    <row r="2116" spans="1:16">
      <c r="A2116" s="306"/>
      <c r="B2116" s="289"/>
      <c r="C2116" s="307"/>
      <c r="D2116" s="66" t="s">
        <v>411</v>
      </c>
      <c r="F2116" t="s">
        <v>976</v>
      </c>
      <c r="G2116" t="s">
        <v>428</v>
      </c>
      <c r="H2116" s="173">
        <v>44196</v>
      </c>
      <c r="I2116" s="65" t="s">
        <v>970</v>
      </c>
      <c r="K2116" s="71"/>
      <c r="L2116" s="72"/>
      <c r="M2116" s="71"/>
      <c r="N2116" s="216">
        <v>1021060</v>
      </c>
      <c r="O2116" s="71">
        <v>912515</v>
      </c>
      <c r="P2116" s="72"/>
    </row>
    <row r="2117" spans="1:16">
      <c r="A2117" s="306"/>
      <c r="B2117" s="289"/>
      <c r="C2117" s="307"/>
      <c r="D2117" s="66" t="s">
        <v>412</v>
      </c>
      <c r="E2117" t="s">
        <v>413</v>
      </c>
      <c r="G2117" t="s">
        <v>428</v>
      </c>
      <c r="H2117" s="173">
        <v>44196</v>
      </c>
      <c r="I2117" s="65" t="s">
        <v>970</v>
      </c>
      <c r="K2117" s="71"/>
      <c r="L2117" s="72"/>
      <c r="M2117" s="71"/>
      <c r="N2117" s="216">
        <v>95429</v>
      </c>
      <c r="O2117" s="71">
        <v>79567</v>
      </c>
      <c r="P2117" s="72"/>
    </row>
    <row r="2118" spans="1:16">
      <c r="A2118" s="306"/>
      <c r="B2118" s="289"/>
      <c r="C2118" s="307"/>
      <c r="D2118" s="66" t="s">
        <v>414</v>
      </c>
      <c r="E2118" t="s">
        <v>413</v>
      </c>
      <c r="G2118" t="s">
        <v>428</v>
      </c>
      <c r="H2118" s="173">
        <v>44196</v>
      </c>
      <c r="I2118" s="65" t="s">
        <v>970</v>
      </c>
      <c r="K2118" s="71"/>
      <c r="L2118" s="72"/>
      <c r="M2118" s="71"/>
      <c r="N2118" s="216">
        <v>1764039</v>
      </c>
      <c r="O2118" s="71">
        <v>1558636</v>
      </c>
      <c r="P2118" s="72"/>
    </row>
    <row r="2119" spans="1:16">
      <c r="A2119" s="306"/>
      <c r="B2119" s="289"/>
      <c r="C2119" s="307"/>
      <c r="D2119" s="66" t="s">
        <v>414</v>
      </c>
      <c r="E2119" t="s">
        <v>420</v>
      </c>
      <c r="G2119" t="s">
        <v>428</v>
      </c>
      <c r="H2119" s="173">
        <v>44196</v>
      </c>
      <c r="I2119" s="65" t="s">
        <v>970</v>
      </c>
      <c r="K2119" s="71"/>
      <c r="L2119" s="72"/>
      <c r="M2119" s="71"/>
      <c r="N2119" s="216"/>
      <c r="O2119" s="71">
        <v>1479069</v>
      </c>
      <c r="P2119" s="72"/>
    </row>
    <row r="2120" spans="1:16">
      <c r="A2120" s="306"/>
      <c r="B2120" s="289"/>
      <c r="C2120" s="307"/>
      <c r="D2120" s="66" t="s">
        <v>415</v>
      </c>
      <c r="G2120" t="s">
        <v>428</v>
      </c>
      <c r="H2120" s="173">
        <v>44196</v>
      </c>
      <c r="I2120" s="65" t="s">
        <v>970</v>
      </c>
      <c r="K2120" s="71"/>
      <c r="L2120" s="72"/>
      <c r="M2120" s="71"/>
      <c r="N2120" s="216"/>
      <c r="O2120" s="71"/>
      <c r="P2120" s="72"/>
    </row>
    <row r="2121" spans="1:16">
      <c r="A2121" s="306"/>
      <c r="B2121" s="289"/>
      <c r="C2121" s="307"/>
      <c r="D2121" s="66" t="s">
        <v>417</v>
      </c>
      <c r="H2121" s="173">
        <v>44196</v>
      </c>
      <c r="I2121" s="65" t="s">
        <v>970</v>
      </c>
      <c r="K2121" s="71"/>
      <c r="L2121" s="72"/>
      <c r="M2121" s="71"/>
      <c r="N2121" s="216"/>
      <c r="O2121" s="71"/>
      <c r="P2121" s="72"/>
    </row>
    <row r="2122" spans="1:16">
      <c r="A2122" s="306"/>
      <c r="B2122" s="289"/>
      <c r="C2122" s="307"/>
      <c r="D2122" s="66" t="s">
        <v>418</v>
      </c>
      <c r="H2122" s="173">
        <v>44196</v>
      </c>
      <c r="I2122" s="65" t="s">
        <v>970</v>
      </c>
      <c r="K2122" s="71"/>
      <c r="L2122" s="72"/>
      <c r="M2122" s="71"/>
      <c r="N2122" s="216"/>
      <c r="O2122" s="71" t="s">
        <v>979</v>
      </c>
      <c r="P2122" s="72"/>
    </row>
    <row r="2123" spans="1:16">
      <c r="A2123" s="306"/>
      <c r="B2123" s="290"/>
      <c r="C2123" s="307"/>
      <c r="D2123" s="112"/>
      <c r="H2123" s="65"/>
      <c r="I2123" s="65"/>
      <c r="K2123" s="71"/>
      <c r="L2123" s="72"/>
      <c r="M2123" s="71"/>
      <c r="N2123" s="216"/>
      <c r="O2123" s="71"/>
      <c r="P2123" s="72"/>
    </row>
    <row r="2124" spans="1:16">
      <c r="A2124" s="270"/>
      <c r="B2124" s="183"/>
      <c r="C2124" s="180"/>
      <c r="D2124" s="181"/>
      <c r="E2124" s="106"/>
      <c r="F2124" s="106"/>
      <c r="G2124" s="106"/>
      <c r="H2124" s="182"/>
      <c r="I2124" s="182"/>
      <c r="K2124" s="71"/>
      <c r="L2124" s="72"/>
      <c r="M2124" s="71"/>
      <c r="N2124" s="216"/>
      <c r="O2124" s="71"/>
      <c r="P2124" s="72"/>
    </row>
    <row r="2125" spans="1:16">
      <c r="A2125" s="306" t="s">
        <v>920</v>
      </c>
      <c r="B2125" s="292" t="s">
        <v>921</v>
      </c>
      <c r="C2125" s="307" t="s">
        <v>922</v>
      </c>
      <c r="D2125" s="179" t="s">
        <v>411</v>
      </c>
      <c r="E2125" s="205"/>
      <c r="F2125" s="205" t="s">
        <v>1027</v>
      </c>
      <c r="G2125" t="s">
        <v>428</v>
      </c>
      <c r="H2125" s="173">
        <v>43830</v>
      </c>
      <c r="I2125" s="65" t="s">
        <v>970</v>
      </c>
      <c r="K2125" s="71"/>
      <c r="L2125" s="72"/>
      <c r="M2125" s="71"/>
      <c r="N2125" s="216">
        <v>647550</v>
      </c>
      <c r="O2125" s="71"/>
      <c r="P2125" s="72"/>
    </row>
    <row r="2126" spans="1:16">
      <c r="A2126" s="306"/>
      <c r="B2126" s="289"/>
      <c r="C2126" s="307"/>
      <c r="D2126" s="66" t="s">
        <v>411</v>
      </c>
      <c r="F2126" t="s">
        <v>976</v>
      </c>
      <c r="G2126" t="s">
        <v>428</v>
      </c>
      <c r="H2126" s="173">
        <v>43830</v>
      </c>
      <c r="I2126" s="65" t="s">
        <v>970</v>
      </c>
      <c r="K2126" s="71"/>
      <c r="L2126" s="72"/>
      <c r="M2126" s="71"/>
      <c r="N2126" s="216">
        <v>1021060</v>
      </c>
      <c r="O2126" s="71"/>
      <c r="P2126" s="72"/>
    </row>
    <row r="2127" spans="1:16">
      <c r="A2127" s="306"/>
      <c r="B2127" s="289"/>
      <c r="C2127" s="307"/>
      <c r="D2127" s="66" t="s">
        <v>412</v>
      </c>
      <c r="E2127" t="s">
        <v>413</v>
      </c>
      <c r="G2127" t="s">
        <v>428</v>
      </c>
      <c r="H2127" s="173">
        <v>43830</v>
      </c>
      <c r="I2127" s="65" t="s">
        <v>970</v>
      </c>
      <c r="K2127" s="71"/>
      <c r="L2127" s="72"/>
      <c r="M2127" s="71"/>
      <c r="N2127" s="216">
        <v>95429</v>
      </c>
      <c r="O2127" s="71"/>
      <c r="P2127" s="72"/>
    </row>
    <row r="2128" spans="1:16">
      <c r="A2128" s="306"/>
      <c r="B2128" s="289"/>
      <c r="C2128" s="307"/>
      <c r="D2128" s="66" t="s">
        <v>414</v>
      </c>
      <c r="E2128" t="s">
        <v>413</v>
      </c>
      <c r="G2128" t="s">
        <v>428</v>
      </c>
      <c r="H2128" s="173">
        <v>43830</v>
      </c>
      <c r="I2128" s="65" t="s">
        <v>970</v>
      </c>
      <c r="K2128" s="71"/>
      <c r="L2128" s="72"/>
      <c r="M2128" s="71"/>
      <c r="N2128" s="216">
        <v>1764039</v>
      </c>
      <c r="O2128" s="71"/>
      <c r="P2128" s="72"/>
    </row>
    <row r="2129" spans="1:16">
      <c r="A2129" s="306"/>
      <c r="B2129" s="289"/>
      <c r="C2129" s="307"/>
      <c r="D2129" s="66" t="s">
        <v>414</v>
      </c>
      <c r="E2129" t="s">
        <v>420</v>
      </c>
      <c r="H2129" s="173">
        <v>43830</v>
      </c>
      <c r="I2129" s="65" t="s">
        <v>970</v>
      </c>
      <c r="K2129" s="71"/>
      <c r="L2129" s="72"/>
      <c r="M2129" s="71"/>
      <c r="N2129" s="216"/>
      <c r="O2129" s="71"/>
      <c r="P2129" s="72"/>
    </row>
    <row r="2130" spans="1:16">
      <c r="A2130" s="306"/>
      <c r="B2130" s="289"/>
      <c r="C2130" s="307"/>
      <c r="D2130" s="66" t="s">
        <v>415</v>
      </c>
      <c r="G2130" t="s">
        <v>428</v>
      </c>
      <c r="H2130" s="173">
        <v>43830</v>
      </c>
      <c r="I2130" s="65" t="s">
        <v>970</v>
      </c>
      <c r="K2130" s="71"/>
      <c r="L2130" s="72"/>
      <c r="M2130" s="71"/>
      <c r="N2130" s="216"/>
      <c r="O2130" s="71"/>
      <c r="P2130" s="72"/>
    </row>
    <row r="2131" spans="1:16">
      <c r="A2131" s="306"/>
      <c r="B2131" s="289"/>
      <c r="C2131" s="307"/>
      <c r="D2131" s="66" t="s">
        <v>417</v>
      </c>
      <c r="H2131" s="173">
        <v>43830</v>
      </c>
      <c r="I2131" s="65" t="s">
        <v>970</v>
      </c>
      <c r="K2131" s="71"/>
      <c r="L2131" s="72"/>
      <c r="M2131" s="71"/>
      <c r="N2131" s="216"/>
      <c r="O2131" s="71"/>
      <c r="P2131" s="72"/>
    </row>
    <row r="2132" spans="1:16">
      <c r="A2132" s="306"/>
      <c r="B2132" s="289"/>
      <c r="C2132" s="307"/>
      <c r="D2132" s="66" t="s">
        <v>418</v>
      </c>
      <c r="H2132" s="173">
        <v>43830</v>
      </c>
      <c r="I2132" s="65" t="s">
        <v>970</v>
      </c>
      <c r="K2132" s="71"/>
      <c r="L2132" s="72"/>
      <c r="M2132" s="71"/>
      <c r="N2132" s="216" t="s">
        <v>980</v>
      </c>
      <c r="O2132" s="71"/>
      <c r="P2132" s="72"/>
    </row>
    <row r="2133" spans="1:16">
      <c r="A2133" s="306"/>
      <c r="B2133" s="293"/>
      <c r="C2133" s="307"/>
      <c r="D2133" s="112"/>
      <c r="H2133" s="65"/>
      <c r="I2133" s="65"/>
      <c r="K2133" s="71"/>
      <c r="L2133" s="72"/>
      <c r="M2133" s="71"/>
      <c r="N2133" s="216"/>
      <c r="O2133" s="71"/>
      <c r="P2133" s="72"/>
    </row>
    <row r="2134" spans="1:16">
      <c r="A2134" s="304" t="s">
        <v>925</v>
      </c>
      <c r="B2134" s="292" t="s">
        <v>927</v>
      </c>
      <c r="C2134" s="305" t="s">
        <v>926</v>
      </c>
      <c r="D2134" s="172" t="s">
        <v>411</v>
      </c>
      <c r="E2134" s="204"/>
      <c r="F2134" s="205"/>
      <c r="G2134" s="205" t="s">
        <v>429</v>
      </c>
      <c r="H2134" s="208">
        <v>44561</v>
      </c>
      <c r="I2134" s="206"/>
      <c r="K2134" s="71"/>
      <c r="L2134" s="72">
        <v>118</v>
      </c>
      <c r="M2134" s="71">
        <v>122</v>
      </c>
      <c r="N2134" s="216">
        <v>121</v>
      </c>
      <c r="O2134" s="71">
        <v>110</v>
      </c>
      <c r="P2134" s="72">
        <v>119</v>
      </c>
    </row>
    <row r="2135" spans="1:16">
      <c r="A2135" s="295"/>
      <c r="B2135" s="289"/>
      <c r="C2135" s="296"/>
      <c r="D2135" s="66" t="s">
        <v>412</v>
      </c>
      <c r="G2135" t="s">
        <v>429</v>
      </c>
      <c r="H2135" s="173">
        <v>44561</v>
      </c>
      <c r="I2135" s="65"/>
      <c r="K2135" s="71"/>
      <c r="L2135" s="72"/>
      <c r="M2135" s="71"/>
      <c r="N2135" s="216">
        <v>8</v>
      </c>
      <c r="O2135" s="71">
        <v>7</v>
      </c>
      <c r="P2135" s="72">
        <v>7</v>
      </c>
    </row>
    <row r="2136" spans="1:16">
      <c r="A2136" s="295"/>
      <c r="B2136" s="289"/>
      <c r="C2136" s="296"/>
      <c r="D2136" s="66" t="s">
        <v>415</v>
      </c>
      <c r="E2136" t="s">
        <v>443</v>
      </c>
      <c r="G2136" t="s">
        <v>429</v>
      </c>
      <c r="H2136" s="173">
        <v>44561</v>
      </c>
      <c r="I2136" s="65" t="s">
        <v>970</v>
      </c>
      <c r="K2136" s="71"/>
      <c r="L2136" s="72"/>
      <c r="M2136" s="71"/>
      <c r="N2136" s="216">
        <v>19</v>
      </c>
      <c r="O2136" s="71">
        <v>29</v>
      </c>
      <c r="P2136" s="72">
        <v>30</v>
      </c>
    </row>
    <row r="2137" spans="1:16">
      <c r="A2137" s="295"/>
      <c r="B2137" s="289"/>
      <c r="C2137" s="296"/>
      <c r="D2137" s="66" t="s">
        <v>415</v>
      </c>
      <c r="E2137" t="s">
        <v>416</v>
      </c>
      <c r="G2137" t="s">
        <v>429</v>
      </c>
      <c r="H2137" s="173">
        <v>44561</v>
      </c>
      <c r="I2137" s="65"/>
      <c r="K2137" s="71"/>
      <c r="L2137" s="72"/>
      <c r="M2137" s="71"/>
      <c r="N2137" s="216"/>
      <c r="O2137" s="71"/>
      <c r="P2137" s="72">
        <f>SUM(P2138:P2140)</f>
        <v>1003</v>
      </c>
    </row>
    <row r="2138" spans="1:16">
      <c r="A2138" s="295"/>
      <c r="B2138" s="289"/>
      <c r="C2138" s="296"/>
      <c r="D2138" s="66" t="s">
        <v>415</v>
      </c>
      <c r="E2138">
        <v>3</v>
      </c>
      <c r="G2138" t="s">
        <v>427</v>
      </c>
      <c r="H2138" s="173">
        <v>44561</v>
      </c>
      <c r="I2138" s="65"/>
      <c r="K2138" s="71"/>
      <c r="L2138" s="72"/>
      <c r="M2138" s="71"/>
      <c r="N2138" s="216"/>
      <c r="O2138" s="71"/>
      <c r="P2138" s="72">
        <v>288</v>
      </c>
    </row>
    <row r="2139" spans="1:16">
      <c r="A2139" s="295"/>
      <c r="B2139" s="289"/>
      <c r="C2139" s="296"/>
      <c r="D2139" s="66" t="s">
        <v>415</v>
      </c>
      <c r="E2139">
        <v>1</v>
      </c>
      <c r="G2139" t="s">
        <v>427</v>
      </c>
      <c r="H2139" s="173">
        <v>44561</v>
      </c>
      <c r="I2139" s="65"/>
      <c r="K2139" s="71"/>
      <c r="L2139" s="72"/>
      <c r="M2139" s="71"/>
      <c r="N2139" s="216"/>
      <c r="O2139" s="71"/>
      <c r="P2139" s="72">
        <v>705</v>
      </c>
    </row>
    <row r="2140" spans="1:16">
      <c r="A2140" s="295"/>
      <c r="B2140" s="289"/>
      <c r="C2140" s="296"/>
      <c r="D2140" s="66" t="s">
        <v>415</v>
      </c>
      <c r="E2140">
        <v>9</v>
      </c>
      <c r="G2140" t="s">
        <v>427</v>
      </c>
      <c r="H2140" s="173">
        <v>44561</v>
      </c>
      <c r="I2140" s="65"/>
      <c r="K2140" s="71"/>
      <c r="L2140" s="72"/>
      <c r="M2140" s="71"/>
      <c r="N2140" s="216"/>
      <c r="O2140" s="71"/>
      <c r="P2140" s="72">
        <v>10</v>
      </c>
    </row>
    <row r="2141" spans="1:16">
      <c r="A2141" s="295"/>
      <c r="B2141" s="289"/>
      <c r="C2141" s="296"/>
      <c r="D2141" s="66" t="s">
        <v>417</v>
      </c>
      <c r="G2141" t="s">
        <v>1022</v>
      </c>
      <c r="H2141" s="173">
        <v>44561</v>
      </c>
      <c r="I2141" s="65"/>
      <c r="K2141" s="71"/>
      <c r="L2141" s="72"/>
      <c r="M2141" s="71"/>
      <c r="N2141" s="216">
        <v>192</v>
      </c>
      <c r="O2141" s="71">
        <v>180</v>
      </c>
      <c r="P2141" s="72">
        <v>197</v>
      </c>
    </row>
    <row r="2142" spans="1:16">
      <c r="A2142" s="295"/>
      <c r="B2142" s="289"/>
      <c r="C2142" s="296"/>
      <c r="D2142" s="66" t="s">
        <v>418</v>
      </c>
      <c r="H2142" s="173">
        <v>44561</v>
      </c>
      <c r="I2142" s="65"/>
      <c r="K2142" s="71"/>
      <c r="L2142" s="72"/>
      <c r="M2142" s="71"/>
      <c r="N2142" s="216"/>
      <c r="O2142" s="71"/>
      <c r="P2142" s="72" t="s">
        <v>981</v>
      </c>
    </row>
    <row r="2143" spans="1:16">
      <c r="A2143" s="291"/>
      <c r="B2143" s="290"/>
      <c r="C2143" s="292"/>
      <c r="D2143" s="112"/>
      <c r="H2143" s="65"/>
      <c r="I2143" s="65"/>
      <c r="K2143" s="71"/>
      <c r="L2143" s="72"/>
      <c r="M2143" s="71"/>
      <c r="N2143" s="216"/>
      <c r="O2143" s="71"/>
      <c r="P2143" s="72"/>
    </row>
    <row r="2144" spans="1:16">
      <c r="A2144" s="271"/>
      <c r="B2144" s="183"/>
      <c r="C2144" s="183"/>
      <c r="D2144" s="185"/>
      <c r="E2144" s="106"/>
      <c r="F2144" s="106"/>
      <c r="G2144" s="106"/>
      <c r="H2144" s="182"/>
      <c r="I2144" s="182"/>
      <c r="K2144" s="71"/>
      <c r="L2144" s="72"/>
      <c r="M2144" s="71"/>
      <c r="N2144" s="216"/>
      <c r="O2144" s="71"/>
      <c r="P2144" s="72"/>
    </row>
    <row r="2145" spans="1:16">
      <c r="A2145" s="291" t="s">
        <v>925</v>
      </c>
      <c r="B2145" s="292" t="s">
        <v>927</v>
      </c>
      <c r="C2145" s="308" t="s">
        <v>926</v>
      </c>
      <c r="D2145" s="112" t="s">
        <v>411</v>
      </c>
      <c r="E2145" s="205"/>
      <c r="F2145" s="205"/>
      <c r="G2145" s="205" t="s">
        <v>429</v>
      </c>
      <c r="H2145" s="208">
        <v>44196</v>
      </c>
      <c r="I2145" s="206"/>
      <c r="K2145" s="71"/>
      <c r="L2145" s="72"/>
      <c r="M2145" s="71">
        <v>122</v>
      </c>
      <c r="N2145" s="216">
        <v>121</v>
      </c>
      <c r="O2145" s="71">
        <v>110</v>
      </c>
      <c r="P2145" s="72"/>
    </row>
    <row r="2146" spans="1:16">
      <c r="A2146" s="286"/>
      <c r="B2146" s="289"/>
      <c r="C2146" s="309"/>
      <c r="D2146" s="179" t="s">
        <v>412</v>
      </c>
      <c r="G2146" t="s">
        <v>429</v>
      </c>
      <c r="H2146" s="173">
        <v>44196</v>
      </c>
      <c r="I2146" s="65"/>
      <c r="K2146" s="71"/>
      <c r="L2146" s="72"/>
      <c r="M2146" s="71">
        <v>7</v>
      </c>
      <c r="N2146" s="216">
        <v>8</v>
      </c>
      <c r="O2146" s="71">
        <v>7</v>
      </c>
      <c r="P2146" s="72"/>
    </row>
    <row r="2147" spans="1:16">
      <c r="A2147" s="286"/>
      <c r="B2147" s="289"/>
      <c r="C2147" s="309"/>
      <c r="D2147" s="66" t="s">
        <v>415</v>
      </c>
      <c r="E2147" t="s">
        <v>443</v>
      </c>
      <c r="G2147" t="s">
        <v>429</v>
      </c>
      <c r="H2147" s="173">
        <v>44196</v>
      </c>
      <c r="I2147" s="65"/>
      <c r="K2147" s="71"/>
      <c r="L2147" s="72"/>
      <c r="M2147" s="71">
        <v>20</v>
      </c>
      <c r="N2147" s="216">
        <v>19</v>
      </c>
      <c r="O2147" s="71">
        <v>29</v>
      </c>
      <c r="P2147" s="72"/>
    </row>
    <row r="2148" spans="1:16">
      <c r="A2148" s="286"/>
      <c r="B2148" s="289"/>
      <c r="C2148" s="309"/>
      <c r="D2148" s="66" t="s">
        <v>417</v>
      </c>
      <c r="G2148" t="s">
        <v>1022</v>
      </c>
      <c r="H2148" s="173">
        <v>44196</v>
      </c>
      <c r="I2148" s="65"/>
      <c r="K2148" s="71"/>
      <c r="L2148" s="72"/>
      <c r="M2148" s="71">
        <v>192</v>
      </c>
      <c r="N2148" s="216">
        <v>192</v>
      </c>
      <c r="O2148" s="71">
        <v>180</v>
      </c>
      <c r="P2148" s="72"/>
    </row>
    <row r="2149" spans="1:16">
      <c r="A2149" s="286"/>
      <c r="B2149" s="289"/>
      <c r="C2149" s="309"/>
      <c r="D2149" s="66" t="s">
        <v>418</v>
      </c>
      <c r="H2149" s="173">
        <v>44196</v>
      </c>
      <c r="I2149" s="65"/>
      <c r="K2149" s="71"/>
      <c r="L2149" s="72"/>
      <c r="M2149" s="71"/>
      <c r="N2149" s="216"/>
      <c r="O2149" s="71" t="s">
        <v>982</v>
      </c>
      <c r="P2149" s="72"/>
    </row>
    <row r="2150" spans="1:16">
      <c r="A2150" s="287"/>
      <c r="B2150" s="290"/>
      <c r="C2150" s="310"/>
      <c r="D2150" s="175"/>
      <c r="E2150" s="176"/>
      <c r="F2150" s="176"/>
      <c r="G2150" s="176"/>
      <c r="H2150" s="186"/>
      <c r="I2150" s="186"/>
      <c r="K2150" s="71"/>
      <c r="L2150" s="72"/>
      <c r="M2150" s="71"/>
      <c r="N2150" s="216"/>
      <c r="O2150" s="71"/>
      <c r="P2150" s="72"/>
    </row>
    <row r="2151" spans="1:16">
      <c r="A2151" s="294" t="s">
        <v>925</v>
      </c>
      <c r="B2151" s="288" t="s">
        <v>927</v>
      </c>
      <c r="C2151" s="293" t="s">
        <v>926</v>
      </c>
      <c r="D2151" s="172" t="s">
        <v>411</v>
      </c>
      <c r="E2151" s="106"/>
      <c r="G2151" t="s">
        <v>429</v>
      </c>
      <c r="H2151" s="173">
        <v>43830</v>
      </c>
      <c r="I2151" s="65"/>
      <c r="K2151" s="71"/>
      <c r="L2151" s="72">
        <v>118</v>
      </c>
      <c r="M2151" s="71">
        <v>122</v>
      </c>
      <c r="N2151" s="216">
        <v>121</v>
      </c>
      <c r="O2151" s="71"/>
      <c r="P2151" s="72"/>
    </row>
    <row r="2152" spans="1:16">
      <c r="A2152" s="295"/>
      <c r="B2152" s="289"/>
      <c r="C2152" s="296"/>
      <c r="D2152" s="66" t="s">
        <v>412</v>
      </c>
      <c r="G2152" t="s">
        <v>429</v>
      </c>
      <c r="H2152" s="173">
        <v>43830</v>
      </c>
      <c r="I2152" s="65"/>
      <c r="K2152" s="71"/>
      <c r="L2152" s="72">
        <v>7</v>
      </c>
      <c r="M2152" s="71">
        <v>7</v>
      </c>
      <c r="N2152" s="216">
        <v>8</v>
      </c>
      <c r="O2152" s="71"/>
      <c r="P2152" s="72"/>
    </row>
    <row r="2153" spans="1:16">
      <c r="A2153" s="295"/>
      <c r="B2153" s="289"/>
      <c r="C2153" s="296"/>
      <c r="D2153" s="66" t="s">
        <v>415</v>
      </c>
      <c r="E2153" t="s">
        <v>443</v>
      </c>
      <c r="G2153" t="s">
        <v>429</v>
      </c>
      <c r="H2153" s="173">
        <v>43830</v>
      </c>
      <c r="I2153" s="65"/>
      <c r="K2153" s="71"/>
      <c r="L2153" s="72">
        <v>20</v>
      </c>
      <c r="M2153" s="71">
        <v>20</v>
      </c>
      <c r="N2153" s="216">
        <v>19</v>
      </c>
      <c r="O2153" s="71"/>
      <c r="P2153" s="72"/>
    </row>
    <row r="2154" spans="1:16">
      <c r="A2154" s="295"/>
      <c r="B2154" s="289"/>
      <c r="C2154" s="296"/>
      <c r="D2154" s="66" t="s">
        <v>417</v>
      </c>
      <c r="G2154" t="s">
        <v>1022</v>
      </c>
      <c r="H2154" s="173">
        <v>43830</v>
      </c>
      <c r="I2154" s="65"/>
      <c r="K2154" s="71"/>
      <c r="L2154" s="72">
        <v>184</v>
      </c>
      <c r="M2154" s="71">
        <v>192</v>
      </c>
      <c r="N2154" s="216">
        <v>192</v>
      </c>
      <c r="O2154" s="71"/>
      <c r="P2154" s="72"/>
    </row>
    <row r="2155" spans="1:16">
      <c r="A2155" s="295"/>
      <c r="B2155" s="289"/>
      <c r="C2155" s="296"/>
      <c r="D2155" s="66" t="s">
        <v>418</v>
      </c>
      <c r="H2155" s="173">
        <v>43830</v>
      </c>
      <c r="I2155" s="65"/>
      <c r="K2155" s="71"/>
      <c r="L2155" s="72"/>
      <c r="M2155" s="71"/>
      <c r="N2155" s="216" t="s">
        <v>983</v>
      </c>
      <c r="O2155" s="71"/>
      <c r="P2155" s="72"/>
    </row>
    <row r="2156" spans="1:16">
      <c r="A2156" s="302"/>
      <c r="B2156" s="290"/>
      <c r="C2156" s="303"/>
      <c r="D2156" s="175"/>
      <c r="E2156" s="176"/>
      <c r="F2156" s="176"/>
      <c r="G2156" s="176"/>
      <c r="H2156" s="186"/>
      <c r="I2156" s="186"/>
      <c r="K2156" s="71"/>
      <c r="L2156" s="72"/>
      <c r="M2156" s="71"/>
      <c r="N2156" s="216"/>
      <c r="O2156" s="71"/>
      <c r="P2156" s="72"/>
    </row>
    <row r="2157" spans="1:16">
      <c r="A2157" s="304" t="s">
        <v>928</v>
      </c>
      <c r="B2157" s="288" t="s">
        <v>929</v>
      </c>
      <c r="C2157" s="305" t="s">
        <v>930</v>
      </c>
      <c r="D2157" s="172" t="s">
        <v>411</v>
      </c>
      <c r="E2157" s="106"/>
      <c r="G2157" t="s">
        <v>429</v>
      </c>
      <c r="H2157" s="173">
        <v>44561</v>
      </c>
      <c r="I2157" s="174">
        <v>30.68</v>
      </c>
      <c r="K2157" s="71">
        <v>21.51</v>
      </c>
      <c r="L2157" s="72">
        <v>21.15</v>
      </c>
      <c r="M2157" s="71">
        <v>22.1</v>
      </c>
      <c r="N2157" s="216">
        <v>21.59</v>
      </c>
      <c r="O2157" s="71">
        <v>30.68</v>
      </c>
      <c r="P2157" s="72">
        <v>29.82</v>
      </c>
    </row>
    <row r="2158" spans="1:16">
      <c r="A2158" s="295"/>
      <c r="B2158" s="289"/>
      <c r="C2158" s="296"/>
      <c r="D2158" s="66" t="s">
        <v>412</v>
      </c>
      <c r="G2158" t="s">
        <v>429</v>
      </c>
      <c r="H2158" s="173">
        <v>44561</v>
      </c>
      <c r="I2158" s="109">
        <v>3.22</v>
      </c>
      <c r="K2158" s="71">
        <v>2.34</v>
      </c>
      <c r="L2158" s="72">
        <v>2.4500000000000002</v>
      </c>
      <c r="M2158" s="71">
        <v>2.44</v>
      </c>
      <c r="N2158" s="216">
        <v>2.4</v>
      </c>
      <c r="O2158" s="71">
        <v>3.22</v>
      </c>
      <c r="P2158" s="72">
        <v>3.18</v>
      </c>
    </row>
    <row r="2159" spans="1:16">
      <c r="A2159" s="295"/>
      <c r="B2159" s="289"/>
      <c r="C2159" s="296"/>
      <c r="D2159" s="66" t="s">
        <v>414</v>
      </c>
      <c r="G2159" t="s">
        <v>429</v>
      </c>
      <c r="H2159" s="173">
        <v>44561</v>
      </c>
      <c r="I2159" s="124">
        <f t="shared" ref="I2159" si="96">SUM(I2157:I2158)</f>
        <v>33.9</v>
      </c>
      <c r="K2159" s="71">
        <f t="shared" ref="K2159:P2159" si="97">SUM(K2157:K2158)</f>
        <v>23.85</v>
      </c>
      <c r="L2159" s="72">
        <f t="shared" si="97"/>
        <v>23.599999999999998</v>
      </c>
      <c r="M2159" s="71">
        <f t="shared" si="97"/>
        <v>24.540000000000003</v>
      </c>
      <c r="N2159" s="216">
        <f t="shared" si="97"/>
        <v>23.99</v>
      </c>
      <c r="O2159" s="71">
        <f t="shared" si="97"/>
        <v>33.9</v>
      </c>
      <c r="P2159" s="72">
        <f t="shared" si="97"/>
        <v>33</v>
      </c>
    </row>
    <row r="2160" spans="1:16">
      <c r="A2160" s="295"/>
      <c r="B2160" s="289"/>
      <c r="C2160" s="296"/>
      <c r="D2160" s="66" t="s">
        <v>415</v>
      </c>
      <c r="G2160" t="s">
        <v>429</v>
      </c>
      <c r="H2160" s="173">
        <v>44561</v>
      </c>
      <c r="I2160"/>
      <c r="K2160" s="71"/>
      <c r="L2160" s="72"/>
      <c r="M2160" s="71"/>
      <c r="N2160" s="216"/>
      <c r="O2160" s="71"/>
      <c r="P2160" s="72"/>
    </row>
    <row r="2161" spans="1:16">
      <c r="A2161" s="295"/>
      <c r="B2161" s="289"/>
      <c r="C2161" s="296"/>
      <c r="D2161" s="66" t="s">
        <v>417</v>
      </c>
      <c r="G2161" t="s">
        <v>1022</v>
      </c>
      <c r="H2161" s="173">
        <v>44561</v>
      </c>
      <c r="I2161"/>
      <c r="K2161" s="71"/>
      <c r="L2161" s="72">
        <v>42.05</v>
      </c>
      <c r="M2161" s="71">
        <v>43.22</v>
      </c>
      <c r="N2161" s="216">
        <v>43.14</v>
      </c>
      <c r="O2161" s="71">
        <v>39.85</v>
      </c>
      <c r="P2161" s="72">
        <v>83.4</v>
      </c>
    </row>
    <row r="2162" spans="1:16">
      <c r="A2162" s="295"/>
      <c r="B2162" s="289"/>
      <c r="C2162" s="296"/>
      <c r="D2162" s="66" t="s">
        <v>418</v>
      </c>
      <c r="H2162" s="173">
        <v>44561</v>
      </c>
      <c r="I2162"/>
      <c r="K2162" s="71"/>
      <c r="L2162" s="72"/>
      <c r="M2162" s="71"/>
      <c r="N2162" s="216"/>
      <c r="O2162" s="71"/>
      <c r="P2162" s="72" t="s">
        <v>984</v>
      </c>
    </row>
    <row r="2163" spans="1:16">
      <c r="A2163" s="302"/>
      <c r="B2163" s="290"/>
      <c r="C2163" s="303"/>
      <c r="D2163" s="175"/>
      <c r="E2163" s="176"/>
      <c r="F2163" s="176"/>
      <c r="G2163" s="176"/>
      <c r="H2163" s="186"/>
      <c r="I2163" s="186"/>
      <c r="K2163" s="71"/>
      <c r="L2163" s="72"/>
      <c r="M2163" s="71"/>
      <c r="N2163" s="216"/>
      <c r="O2163" s="71"/>
      <c r="P2163" s="72" t="s">
        <v>985</v>
      </c>
    </row>
    <row r="2164" spans="1:16">
      <c r="A2164" s="295" t="s">
        <v>928</v>
      </c>
      <c r="B2164" s="288" t="s">
        <v>929</v>
      </c>
      <c r="C2164" s="296" t="s">
        <v>930</v>
      </c>
      <c r="D2164" s="179" t="s">
        <v>411</v>
      </c>
      <c r="G2164" t="s">
        <v>429</v>
      </c>
      <c r="H2164" s="173">
        <v>44196</v>
      </c>
      <c r="I2164" s="106">
        <v>22.51</v>
      </c>
      <c r="K2164" s="71">
        <v>21.51</v>
      </c>
      <c r="L2164" s="72">
        <v>21.15</v>
      </c>
      <c r="M2164" s="71">
        <v>22.1</v>
      </c>
      <c r="N2164" s="216">
        <v>21.59</v>
      </c>
      <c r="O2164" s="71">
        <v>21.12</v>
      </c>
      <c r="P2164" s="72"/>
    </row>
    <row r="2165" spans="1:16">
      <c r="A2165" s="295"/>
      <c r="B2165" s="289"/>
      <c r="C2165" s="296"/>
      <c r="D2165" s="66" t="s">
        <v>412</v>
      </c>
      <c r="G2165" t="s">
        <v>429</v>
      </c>
      <c r="H2165" s="173">
        <v>44196</v>
      </c>
      <c r="I2165">
        <v>2.4700000000000002</v>
      </c>
      <c r="K2165" s="71">
        <v>2.34</v>
      </c>
      <c r="L2165" s="72">
        <v>2.4500000000000002</v>
      </c>
      <c r="M2165" s="71">
        <v>2.44</v>
      </c>
      <c r="N2165" s="216">
        <v>2.4</v>
      </c>
      <c r="O2165" s="71">
        <v>2.2200000000000002</v>
      </c>
      <c r="P2165" s="72"/>
    </row>
    <row r="2166" spans="1:16">
      <c r="A2166" s="295"/>
      <c r="B2166" s="289"/>
      <c r="C2166" s="296"/>
      <c r="D2166" s="66" t="s">
        <v>414</v>
      </c>
      <c r="G2166" t="s">
        <v>429</v>
      </c>
      <c r="H2166" s="173">
        <v>44196</v>
      </c>
      <c r="I2166" s="125">
        <f t="shared" ref="I2166:N2166" si="98">SUM(I2164:I2165)</f>
        <v>24.98</v>
      </c>
      <c r="K2166" s="71">
        <f t="shared" si="98"/>
        <v>23.85</v>
      </c>
      <c r="L2166" s="72">
        <f t="shared" si="98"/>
        <v>23.599999999999998</v>
      </c>
      <c r="M2166" s="71">
        <f t="shared" si="98"/>
        <v>24.540000000000003</v>
      </c>
      <c r="N2166" s="216">
        <f t="shared" si="98"/>
        <v>23.99</v>
      </c>
      <c r="O2166" s="71">
        <f>SUM(O2164:O2165)</f>
        <v>23.34</v>
      </c>
      <c r="P2166" s="72"/>
    </row>
    <row r="2167" spans="1:16">
      <c r="A2167" s="295"/>
      <c r="B2167" s="289"/>
      <c r="C2167" s="296"/>
      <c r="D2167" s="66" t="s">
        <v>415</v>
      </c>
      <c r="G2167" t="s">
        <v>429</v>
      </c>
      <c r="H2167" s="173">
        <v>44196</v>
      </c>
      <c r="I2167">
        <f>SUM(I2164:I2165)</f>
        <v>24.98</v>
      </c>
      <c r="K2167" s="71"/>
      <c r="L2167" s="72"/>
      <c r="M2167" s="71"/>
      <c r="N2167" s="216"/>
      <c r="O2167" s="71"/>
      <c r="P2167" s="72"/>
    </row>
    <row r="2168" spans="1:16">
      <c r="A2168" s="295"/>
      <c r="B2168" s="289"/>
      <c r="C2168" s="296"/>
      <c r="D2168" s="66" t="s">
        <v>417</v>
      </c>
      <c r="G2168" t="s">
        <v>1022</v>
      </c>
      <c r="H2168" s="173">
        <v>44196</v>
      </c>
      <c r="I2168"/>
      <c r="K2168" s="71">
        <v>39.51</v>
      </c>
      <c r="L2168" s="72">
        <v>42.05</v>
      </c>
      <c r="M2168" s="71">
        <v>43.22</v>
      </c>
      <c r="N2168" s="216">
        <v>43.14</v>
      </c>
      <c r="O2168" s="71">
        <v>39.85</v>
      </c>
      <c r="P2168" s="72"/>
    </row>
    <row r="2169" spans="1:16">
      <c r="A2169" s="295"/>
      <c r="B2169" s="289"/>
      <c r="C2169" s="296"/>
      <c r="D2169" s="66" t="s">
        <v>418</v>
      </c>
      <c r="H2169" s="173">
        <v>44196</v>
      </c>
      <c r="I2169" s="65"/>
      <c r="K2169" s="71"/>
      <c r="L2169" s="72"/>
      <c r="M2169" s="71"/>
      <c r="N2169" s="216"/>
      <c r="O2169" s="71" t="s">
        <v>986</v>
      </c>
      <c r="P2169" s="72"/>
    </row>
    <row r="2170" spans="1:16">
      <c r="A2170" s="295"/>
      <c r="B2170" s="293"/>
      <c r="C2170" s="296"/>
      <c r="D2170" s="112"/>
      <c r="H2170" s="65"/>
      <c r="I2170" s="65"/>
      <c r="K2170" s="71"/>
      <c r="L2170" s="72"/>
      <c r="M2170" s="71"/>
      <c r="N2170" s="216"/>
      <c r="O2170" s="71"/>
      <c r="P2170" s="72"/>
    </row>
    <row r="2171" spans="1:16">
      <c r="A2171" s="295" t="s">
        <v>928</v>
      </c>
      <c r="B2171" s="292" t="s">
        <v>929</v>
      </c>
      <c r="C2171" s="296" t="s">
        <v>930</v>
      </c>
      <c r="D2171" s="66" t="s">
        <v>411</v>
      </c>
      <c r="E2171" s="205"/>
      <c r="F2171" s="205"/>
      <c r="G2171" s="205" t="s">
        <v>429</v>
      </c>
      <c r="H2171" s="208">
        <v>43830</v>
      </c>
      <c r="I2171" s="205">
        <v>22.51</v>
      </c>
      <c r="K2171" s="71">
        <v>21.51</v>
      </c>
      <c r="L2171" s="72">
        <v>21.15</v>
      </c>
      <c r="M2171" s="71">
        <v>22.1</v>
      </c>
      <c r="N2171" s="216">
        <v>21.59</v>
      </c>
      <c r="O2171" s="71"/>
      <c r="P2171" s="72"/>
    </row>
    <row r="2172" spans="1:16">
      <c r="A2172" s="295"/>
      <c r="B2172" s="289"/>
      <c r="C2172" s="296"/>
      <c r="D2172" s="66" t="s">
        <v>412</v>
      </c>
      <c r="G2172" t="s">
        <v>429</v>
      </c>
      <c r="H2172" s="173">
        <v>43830</v>
      </c>
      <c r="I2172">
        <v>2.4700000000000002</v>
      </c>
      <c r="K2172" s="71">
        <v>2.34</v>
      </c>
      <c r="L2172" s="72">
        <v>2.4500000000000002</v>
      </c>
      <c r="M2172" s="71">
        <v>2.44</v>
      </c>
      <c r="N2172" s="216">
        <v>2.4</v>
      </c>
      <c r="O2172" s="71"/>
      <c r="P2172" s="72"/>
    </row>
    <row r="2173" spans="1:16">
      <c r="A2173" s="295"/>
      <c r="B2173" s="289"/>
      <c r="C2173" s="296"/>
      <c r="D2173" s="66" t="s">
        <v>414</v>
      </c>
      <c r="G2173" t="s">
        <v>429</v>
      </c>
      <c r="H2173" s="173">
        <v>43830</v>
      </c>
      <c r="I2173" s="124">
        <f t="shared" ref="I2173:N2173" si="99">SUM(I2171:I2172)</f>
        <v>24.98</v>
      </c>
      <c r="K2173" s="71">
        <f t="shared" si="99"/>
        <v>23.85</v>
      </c>
      <c r="L2173" s="72">
        <f t="shared" si="99"/>
        <v>23.599999999999998</v>
      </c>
      <c r="M2173" s="71">
        <f t="shared" si="99"/>
        <v>24.540000000000003</v>
      </c>
      <c r="N2173" s="216">
        <f t="shared" si="99"/>
        <v>23.99</v>
      </c>
      <c r="O2173" s="71"/>
      <c r="P2173" s="72"/>
    </row>
    <row r="2174" spans="1:16">
      <c r="A2174" s="295"/>
      <c r="B2174" s="289"/>
      <c r="C2174" s="296"/>
      <c r="D2174" s="66" t="s">
        <v>415</v>
      </c>
      <c r="G2174" t="s">
        <v>429</v>
      </c>
      <c r="H2174" s="173">
        <v>43830</v>
      </c>
      <c r="I2174">
        <f>SUM(I2171:I2172)</f>
        <v>24.98</v>
      </c>
      <c r="K2174" s="71"/>
      <c r="L2174" s="72"/>
      <c r="M2174" s="71"/>
      <c r="N2174" s="216"/>
      <c r="O2174" s="71"/>
      <c r="P2174" s="72"/>
    </row>
    <row r="2175" spans="1:16">
      <c r="A2175" s="295"/>
      <c r="B2175" s="289"/>
      <c r="C2175" s="296"/>
      <c r="D2175" s="66" t="s">
        <v>417</v>
      </c>
      <c r="G2175" t="s">
        <v>1022</v>
      </c>
      <c r="H2175" s="173">
        <v>43830</v>
      </c>
      <c r="I2175"/>
      <c r="K2175" s="71">
        <v>39.51</v>
      </c>
      <c r="L2175" s="72">
        <v>42.05</v>
      </c>
      <c r="M2175" s="71">
        <v>43.22</v>
      </c>
      <c r="N2175" s="216">
        <v>43.14</v>
      </c>
      <c r="O2175" s="71"/>
      <c r="P2175" s="72"/>
    </row>
    <row r="2176" spans="1:16">
      <c r="A2176" s="295"/>
      <c r="B2176" s="289"/>
      <c r="C2176" s="296"/>
      <c r="D2176" s="66" t="s">
        <v>418</v>
      </c>
      <c r="H2176" s="173">
        <v>43830</v>
      </c>
      <c r="I2176" s="65"/>
      <c r="K2176" s="71"/>
      <c r="L2176" s="72"/>
      <c r="M2176" s="71"/>
      <c r="N2176" s="216" t="s">
        <v>987</v>
      </c>
      <c r="O2176" s="71"/>
      <c r="P2176" s="72"/>
    </row>
    <row r="2177" spans="1:16">
      <c r="A2177" s="295"/>
      <c r="B2177" s="293"/>
      <c r="C2177" s="296"/>
      <c r="D2177" s="112"/>
      <c r="H2177" s="65"/>
      <c r="I2177" s="65"/>
      <c r="K2177" s="71"/>
      <c r="L2177" s="72"/>
      <c r="M2177" s="71"/>
      <c r="N2177" s="216"/>
      <c r="O2177" s="71"/>
      <c r="P2177" s="72"/>
    </row>
    <row r="2178" spans="1:16">
      <c r="A2178" s="295" t="s">
        <v>928</v>
      </c>
      <c r="B2178" s="292" t="s">
        <v>929</v>
      </c>
      <c r="C2178" s="296" t="s">
        <v>930</v>
      </c>
      <c r="D2178" s="66" t="s">
        <v>411</v>
      </c>
      <c r="E2178" s="205"/>
      <c r="F2178" s="205"/>
      <c r="G2178" s="205" t="s">
        <v>429</v>
      </c>
      <c r="H2178" s="208">
        <v>43465</v>
      </c>
      <c r="I2178" s="205">
        <v>22.51</v>
      </c>
      <c r="K2178" s="71">
        <v>21.51</v>
      </c>
      <c r="L2178" s="72">
        <v>21.15</v>
      </c>
      <c r="M2178" s="71">
        <v>22.1</v>
      </c>
      <c r="N2178" s="216"/>
      <c r="O2178" s="71"/>
      <c r="P2178" s="72"/>
    </row>
    <row r="2179" spans="1:16">
      <c r="A2179" s="295"/>
      <c r="B2179" s="289"/>
      <c r="C2179" s="296"/>
      <c r="D2179" s="66" t="s">
        <v>412</v>
      </c>
      <c r="G2179" t="s">
        <v>429</v>
      </c>
      <c r="H2179" s="173">
        <v>43465</v>
      </c>
      <c r="I2179">
        <v>2.4700000000000002</v>
      </c>
      <c r="K2179" s="71">
        <v>2.34</v>
      </c>
      <c r="L2179" s="72">
        <v>2.4500000000000002</v>
      </c>
      <c r="M2179" s="71">
        <v>2.44</v>
      </c>
      <c r="N2179" s="216"/>
      <c r="O2179" s="71"/>
      <c r="P2179" s="72"/>
    </row>
    <row r="2180" spans="1:16">
      <c r="A2180" s="295"/>
      <c r="B2180" s="289"/>
      <c r="C2180" s="296"/>
      <c r="D2180" s="66" t="s">
        <v>414</v>
      </c>
      <c r="G2180" t="s">
        <v>429</v>
      </c>
      <c r="H2180" s="173">
        <v>43465</v>
      </c>
      <c r="I2180" s="124">
        <f t="shared" ref="I2180:M2180" si="100">SUM(I2178:I2179)</f>
        <v>24.98</v>
      </c>
      <c r="K2180" s="71">
        <f t="shared" si="100"/>
        <v>23.85</v>
      </c>
      <c r="L2180" s="72">
        <f t="shared" si="100"/>
        <v>23.599999999999998</v>
      </c>
      <c r="M2180" s="71">
        <f t="shared" si="100"/>
        <v>24.540000000000003</v>
      </c>
      <c r="N2180" s="216"/>
      <c r="O2180" s="71"/>
      <c r="P2180" s="72"/>
    </row>
    <row r="2181" spans="1:16">
      <c r="A2181" s="295"/>
      <c r="B2181" s="289"/>
      <c r="C2181" s="296"/>
      <c r="D2181" s="66" t="s">
        <v>415</v>
      </c>
      <c r="G2181" t="s">
        <v>429</v>
      </c>
      <c r="H2181" s="173">
        <v>43465</v>
      </c>
      <c r="I2181">
        <f>SUM(I2178:I2179)</f>
        <v>24.98</v>
      </c>
      <c r="K2181" s="71"/>
      <c r="L2181" s="72"/>
      <c r="M2181" s="71"/>
      <c r="N2181" s="216"/>
      <c r="O2181" s="71"/>
      <c r="P2181" s="72"/>
    </row>
    <row r="2182" spans="1:16">
      <c r="A2182" s="295"/>
      <c r="B2182" s="289"/>
      <c r="C2182" s="296"/>
      <c r="D2182" s="66" t="s">
        <v>417</v>
      </c>
      <c r="G2182" t="s">
        <v>1022</v>
      </c>
      <c r="H2182" s="173">
        <v>43465</v>
      </c>
      <c r="I2182">
        <v>40.770000000000003</v>
      </c>
      <c r="K2182" s="71">
        <v>39.51</v>
      </c>
      <c r="L2182" s="72">
        <v>42.05</v>
      </c>
      <c r="M2182" s="71">
        <v>43.22</v>
      </c>
      <c r="N2182" s="216"/>
      <c r="O2182" s="71"/>
      <c r="P2182" s="72"/>
    </row>
    <row r="2183" spans="1:16">
      <c r="A2183" s="295"/>
      <c r="B2183" s="289"/>
      <c r="C2183" s="296"/>
      <c r="D2183" s="66" t="s">
        <v>418</v>
      </c>
      <c r="H2183" s="173">
        <v>43465</v>
      </c>
      <c r="I2183" s="65"/>
      <c r="K2183" s="71"/>
      <c r="L2183" s="72"/>
      <c r="M2183" s="71" t="s">
        <v>988</v>
      </c>
      <c r="N2183" s="216"/>
      <c r="O2183" s="71"/>
      <c r="P2183" s="72"/>
    </row>
    <row r="2184" spans="1:16">
      <c r="A2184" s="295"/>
      <c r="B2184" s="293"/>
      <c r="C2184" s="296"/>
      <c r="D2184" s="112"/>
      <c r="H2184" s="65"/>
      <c r="I2184" s="65"/>
      <c r="K2184" s="71"/>
      <c r="L2184" s="72"/>
      <c r="M2184" s="71"/>
      <c r="N2184" s="216"/>
      <c r="O2184" s="71"/>
      <c r="P2184" s="72"/>
    </row>
    <row r="2185" spans="1:16">
      <c r="A2185" s="297" t="s">
        <v>933</v>
      </c>
      <c r="B2185" s="298" t="s">
        <v>934</v>
      </c>
      <c r="C2185" s="301" t="s">
        <v>935</v>
      </c>
      <c r="D2185" s="189" t="s">
        <v>411</v>
      </c>
      <c r="E2185" s="190"/>
      <c r="F2185" s="190"/>
      <c r="G2185" s="190" t="s">
        <v>427</v>
      </c>
      <c r="H2185" s="191"/>
      <c r="I2185" s="191" t="s">
        <v>970</v>
      </c>
      <c r="J2185" s="190"/>
      <c r="K2185" s="192"/>
      <c r="L2185" s="192"/>
      <c r="M2185" s="192"/>
      <c r="N2185" s="223"/>
      <c r="O2185" s="192"/>
      <c r="P2185" s="192"/>
    </row>
    <row r="2186" spans="1:16">
      <c r="A2186" s="297"/>
      <c r="B2186" s="299"/>
      <c r="C2186" s="301"/>
      <c r="D2186" s="193" t="s">
        <v>411</v>
      </c>
      <c r="E2186" s="48" t="s">
        <v>976</v>
      </c>
      <c r="F2186" s="48"/>
      <c r="G2186" s="48" t="s">
        <v>427</v>
      </c>
      <c r="H2186" s="169"/>
      <c r="I2186" s="169" t="s">
        <v>970</v>
      </c>
      <c r="J2186" s="48"/>
      <c r="K2186" s="194"/>
      <c r="L2186" s="194"/>
      <c r="M2186" s="194"/>
      <c r="N2186" s="224"/>
      <c r="O2186" s="194"/>
      <c r="P2186" s="194"/>
    </row>
    <row r="2187" spans="1:16">
      <c r="A2187" s="297"/>
      <c r="B2187" s="299"/>
      <c r="C2187" s="301"/>
      <c r="D2187" s="193" t="s">
        <v>412</v>
      </c>
      <c r="E2187" s="48" t="s">
        <v>413</v>
      </c>
      <c r="F2187" s="48"/>
      <c r="G2187" s="48" t="s">
        <v>427</v>
      </c>
      <c r="H2187" s="169"/>
      <c r="I2187" s="169" t="s">
        <v>970</v>
      </c>
      <c r="J2187" s="48"/>
      <c r="K2187" s="194"/>
      <c r="L2187" s="194"/>
      <c r="M2187" s="194"/>
      <c r="N2187" s="224"/>
      <c r="O2187" s="194"/>
      <c r="P2187" s="194"/>
    </row>
    <row r="2188" spans="1:16">
      <c r="A2188" s="297"/>
      <c r="B2188" s="299"/>
      <c r="C2188" s="301"/>
      <c r="D2188" s="193" t="s">
        <v>412</v>
      </c>
      <c r="E2188" s="48" t="s">
        <v>420</v>
      </c>
      <c r="F2188" s="48"/>
      <c r="G2188" s="48" t="s">
        <v>427</v>
      </c>
      <c r="H2188" s="169"/>
      <c r="I2188" s="169" t="s">
        <v>970</v>
      </c>
      <c r="J2188" s="48"/>
      <c r="K2188" s="194"/>
      <c r="L2188" s="194"/>
      <c r="M2188" s="194"/>
      <c r="N2188" s="224"/>
      <c r="O2188" s="194"/>
      <c r="P2188" s="194"/>
    </row>
    <row r="2189" spans="1:16">
      <c r="A2189" s="297"/>
      <c r="B2189" s="299"/>
      <c r="C2189" s="301"/>
      <c r="D2189" s="193" t="s">
        <v>414</v>
      </c>
      <c r="E2189" s="48" t="s">
        <v>413</v>
      </c>
      <c r="F2189" s="48"/>
      <c r="G2189" s="48" t="s">
        <v>427</v>
      </c>
      <c r="H2189" s="169"/>
      <c r="I2189" s="169" t="s">
        <v>970</v>
      </c>
      <c r="J2189" s="48"/>
      <c r="K2189" s="194"/>
      <c r="L2189" s="194"/>
      <c r="M2189" s="194"/>
      <c r="N2189" s="224"/>
      <c r="O2189" s="194"/>
      <c r="P2189" s="194"/>
    </row>
    <row r="2190" spans="1:16">
      <c r="A2190" s="297"/>
      <c r="B2190" s="299"/>
      <c r="C2190" s="301"/>
      <c r="D2190" s="193" t="s">
        <v>414</v>
      </c>
      <c r="E2190" s="48" t="s">
        <v>420</v>
      </c>
      <c r="F2190" s="48"/>
      <c r="G2190" s="48" t="s">
        <v>427</v>
      </c>
      <c r="H2190" s="169"/>
      <c r="I2190" s="169" t="s">
        <v>970</v>
      </c>
      <c r="J2190" s="48"/>
      <c r="K2190" s="194"/>
      <c r="L2190" s="194"/>
      <c r="M2190" s="194"/>
      <c r="N2190" s="224"/>
      <c r="O2190" s="194"/>
      <c r="P2190" s="194"/>
    </row>
    <row r="2191" spans="1:16">
      <c r="A2191" s="297"/>
      <c r="B2191" s="299"/>
      <c r="C2191" s="301"/>
      <c r="D2191" s="193" t="s">
        <v>415</v>
      </c>
      <c r="E2191" s="48"/>
      <c r="F2191" s="48"/>
      <c r="G2191" s="48"/>
      <c r="H2191" s="169"/>
      <c r="I2191" s="169" t="s">
        <v>970</v>
      </c>
      <c r="J2191" s="48"/>
      <c r="K2191" s="194"/>
      <c r="L2191" s="194"/>
      <c r="M2191" s="194"/>
      <c r="N2191" s="224"/>
      <c r="O2191" s="194"/>
      <c r="P2191" s="194"/>
    </row>
    <row r="2192" spans="1:16">
      <c r="A2192" s="297"/>
      <c r="B2192" s="299"/>
      <c r="C2192" s="301"/>
      <c r="D2192" s="193" t="s">
        <v>415</v>
      </c>
      <c r="E2192" s="48"/>
      <c r="F2192" s="48"/>
      <c r="G2192" s="48"/>
      <c r="H2192" s="169"/>
      <c r="I2192" s="169" t="s">
        <v>970</v>
      </c>
      <c r="J2192" s="48"/>
      <c r="K2192" s="194"/>
      <c r="L2192" s="194"/>
      <c r="M2192" s="194"/>
      <c r="N2192" s="224"/>
      <c r="O2192" s="194"/>
      <c r="P2192" s="194"/>
    </row>
    <row r="2193" spans="1:16">
      <c r="A2193" s="297"/>
      <c r="B2193" s="299"/>
      <c r="C2193" s="301"/>
      <c r="D2193" s="193" t="s">
        <v>415</v>
      </c>
      <c r="E2193" s="48"/>
      <c r="F2193" s="48"/>
      <c r="G2193" s="48"/>
      <c r="H2193" s="169"/>
      <c r="I2193" s="169" t="s">
        <v>970</v>
      </c>
      <c r="J2193" s="48"/>
      <c r="K2193" s="194"/>
      <c r="L2193" s="194"/>
      <c r="M2193" s="194"/>
      <c r="N2193" s="224"/>
      <c r="O2193" s="194"/>
      <c r="P2193" s="194"/>
    </row>
    <row r="2194" spans="1:16">
      <c r="A2194" s="297"/>
      <c r="B2194" s="299"/>
      <c r="C2194" s="301"/>
      <c r="D2194" s="193" t="s">
        <v>417</v>
      </c>
      <c r="E2194" s="48"/>
      <c r="F2194" s="48"/>
      <c r="G2194" s="48"/>
      <c r="H2194" s="169"/>
      <c r="I2194" s="169" t="s">
        <v>970</v>
      </c>
      <c r="J2194" s="48"/>
      <c r="K2194" s="194"/>
      <c r="L2194" s="194"/>
      <c r="M2194" s="194"/>
      <c r="N2194" s="224"/>
      <c r="O2194" s="194"/>
      <c r="P2194" s="194"/>
    </row>
    <row r="2195" spans="1:16">
      <c r="A2195" s="297"/>
      <c r="B2195" s="299"/>
      <c r="C2195" s="301"/>
      <c r="D2195" s="193" t="s">
        <v>418</v>
      </c>
      <c r="E2195" s="48"/>
      <c r="F2195" s="48"/>
      <c r="G2195" s="48"/>
      <c r="H2195" s="169"/>
      <c r="I2195" s="169" t="s">
        <v>970</v>
      </c>
      <c r="J2195" s="48"/>
      <c r="K2195" s="194"/>
      <c r="L2195" s="194"/>
      <c r="M2195" s="194"/>
      <c r="N2195" s="224"/>
      <c r="O2195" s="194"/>
      <c r="P2195" s="194"/>
    </row>
    <row r="2196" spans="1:16">
      <c r="A2196" s="297"/>
      <c r="B2196" s="300"/>
      <c r="C2196" s="301"/>
      <c r="D2196" s="195"/>
      <c r="E2196" s="48"/>
      <c r="F2196" s="48"/>
      <c r="G2196" s="48"/>
      <c r="H2196" s="169"/>
      <c r="I2196" s="169" t="s">
        <v>970</v>
      </c>
      <c r="J2196" s="48"/>
      <c r="K2196" s="196"/>
      <c r="L2196" s="196"/>
      <c r="M2196" s="196"/>
      <c r="N2196" s="225"/>
      <c r="O2196" s="197"/>
      <c r="P2196" s="196"/>
    </row>
    <row r="2197" spans="1:16">
      <c r="A2197" s="286" t="s">
        <v>937</v>
      </c>
      <c r="B2197" s="292" t="s">
        <v>938</v>
      </c>
      <c r="C2197" s="289" t="s">
        <v>939</v>
      </c>
      <c r="D2197" s="66" t="s">
        <v>600</v>
      </c>
      <c r="E2197" s="204"/>
      <c r="F2197" s="205"/>
      <c r="G2197" t="s">
        <v>1031</v>
      </c>
      <c r="H2197" s="208">
        <v>44561</v>
      </c>
      <c r="I2197" s="206"/>
      <c r="K2197" s="71"/>
      <c r="L2197" s="72">
        <v>605</v>
      </c>
      <c r="M2197" s="71">
        <v>599</v>
      </c>
      <c r="N2197" s="216">
        <v>590</v>
      </c>
      <c r="O2197" s="71">
        <v>576</v>
      </c>
      <c r="P2197" s="72">
        <v>565</v>
      </c>
    </row>
    <row r="2198" spans="1:16">
      <c r="A2198" s="286"/>
      <c r="B2198" s="289"/>
      <c r="C2198" s="289"/>
      <c r="D2198" s="66" t="s">
        <v>415</v>
      </c>
      <c r="H2198" s="173">
        <v>44561</v>
      </c>
      <c r="I2198" s="65" t="s">
        <v>970</v>
      </c>
      <c r="K2198" s="71"/>
      <c r="L2198" s="72"/>
      <c r="M2198" s="71"/>
      <c r="N2198" s="216"/>
      <c r="O2198" s="71"/>
      <c r="P2198" s="72"/>
    </row>
    <row r="2199" spans="1:16">
      <c r="A2199" s="286"/>
      <c r="B2199" s="289"/>
      <c r="C2199" s="289"/>
      <c r="D2199" s="66" t="s">
        <v>417</v>
      </c>
      <c r="F2199" t="s">
        <v>1020</v>
      </c>
      <c r="G2199" t="s">
        <v>1022</v>
      </c>
      <c r="H2199" s="173">
        <v>44561</v>
      </c>
      <c r="I2199" s="65"/>
      <c r="K2199" s="71"/>
      <c r="L2199" s="72">
        <v>125.7</v>
      </c>
      <c r="M2199" s="71">
        <v>130</v>
      </c>
      <c r="N2199" s="216">
        <v>125.9</v>
      </c>
      <c r="O2199" s="71">
        <v>122</v>
      </c>
      <c r="P2199" s="72">
        <v>126.5</v>
      </c>
    </row>
    <row r="2200" spans="1:16">
      <c r="A2200" s="286"/>
      <c r="B2200" s="289"/>
      <c r="C2200" s="289"/>
      <c r="D2200" s="66" t="s">
        <v>417</v>
      </c>
      <c r="F2200" t="s">
        <v>1029</v>
      </c>
      <c r="G2200" t="s">
        <v>1023</v>
      </c>
      <c r="H2200" s="173">
        <v>44561</v>
      </c>
      <c r="I2200" s="65" t="s">
        <v>970</v>
      </c>
      <c r="K2200" s="71"/>
      <c r="L2200" s="72">
        <v>305.3</v>
      </c>
      <c r="M2200" s="71">
        <v>309.39999999999998</v>
      </c>
      <c r="N2200" s="216">
        <v>308.3</v>
      </c>
      <c r="O2200" s="71">
        <v>296.3</v>
      </c>
      <c r="P2200" s="72">
        <v>306.39999999999998</v>
      </c>
    </row>
    <row r="2201" spans="1:16">
      <c r="A2201" s="286"/>
      <c r="B2201" s="289"/>
      <c r="C2201" s="289"/>
      <c r="D2201" s="66" t="s">
        <v>417</v>
      </c>
      <c r="F2201" t="s">
        <v>1030</v>
      </c>
      <c r="G2201" t="s">
        <v>1024</v>
      </c>
      <c r="H2201" s="173">
        <v>44561</v>
      </c>
      <c r="I2201" s="65" t="s">
        <v>970</v>
      </c>
      <c r="K2201" s="71"/>
      <c r="L2201" s="72">
        <v>47.2</v>
      </c>
      <c r="M2201" s="71">
        <v>49</v>
      </c>
      <c r="N2201" s="216">
        <v>50.7</v>
      </c>
      <c r="O2201" s="71">
        <v>46.9</v>
      </c>
      <c r="P2201" s="72">
        <v>47.4</v>
      </c>
    </row>
    <row r="2202" spans="1:16">
      <c r="A2202" s="286"/>
      <c r="B2202" s="289"/>
      <c r="C2202" s="289"/>
      <c r="D2202" s="66" t="s">
        <v>417</v>
      </c>
      <c r="F2202" t="s">
        <v>1037</v>
      </c>
      <c r="G2202" t="s">
        <v>1025</v>
      </c>
      <c r="H2202" s="173">
        <v>44561</v>
      </c>
      <c r="I2202" s="65" t="s">
        <v>970</v>
      </c>
      <c r="K2202" s="71"/>
      <c r="L2202" s="72">
        <v>9.6</v>
      </c>
      <c r="M2202" s="71">
        <v>10.3</v>
      </c>
      <c r="N2202" s="216">
        <v>11.3</v>
      </c>
      <c r="O2202" s="71">
        <v>11</v>
      </c>
      <c r="P2202" s="72">
        <v>10.4</v>
      </c>
    </row>
    <row r="2203" spans="1:16">
      <c r="A2203" s="294"/>
      <c r="B2203" s="293"/>
      <c r="C2203" s="293"/>
      <c r="D2203" s="66" t="s">
        <v>418</v>
      </c>
      <c r="H2203" s="173">
        <v>44561</v>
      </c>
      <c r="I2203" s="65"/>
      <c r="K2203" s="71"/>
      <c r="L2203" s="72"/>
      <c r="M2203" s="71"/>
      <c r="N2203" s="216"/>
      <c r="O2203" s="71"/>
      <c r="P2203" s="72" t="s">
        <v>989</v>
      </c>
    </row>
    <row r="2204" spans="1:16">
      <c r="A2204" s="286" t="s">
        <v>937</v>
      </c>
      <c r="B2204" s="292" t="s">
        <v>938</v>
      </c>
      <c r="C2204" s="289" t="s">
        <v>939</v>
      </c>
      <c r="D2204" s="66" t="s">
        <v>600</v>
      </c>
      <c r="E2204" s="204"/>
      <c r="F2204" s="205"/>
      <c r="G2204" t="s">
        <v>1031</v>
      </c>
      <c r="H2204" s="208">
        <v>44196</v>
      </c>
      <c r="I2204" s="206"/>
      <c r="K2204" s="71"/>
      <c r="L2204" s="72"/>
      <c r="M2204" s="71">
        <v>599</v>
      </c>
      <c r="N2204" s="216">
        <v>590</v>
      </c>
      <c r="O2204" s="71">
        <v>576</v>
      </c>
      <c r="P2204" s="72"/>
    </row>
    <row r="2205" spans="1:16">
      <c r="A2205" s="286"/>
      <c r="B2205" s="289"/>
      <c r="C2205" s="289"/>
      <c r="D2205" s="66" t="s">
        <v>417</v>
      </c>
      <c r="F2205" t="s">
        <v>1020</v>
      </c>
      <c r="G2205" t="s">
        <v>1022</v>
      </c>
      <c r="H2205" s="209">
        <v>44196</v>
      </c>
      <c r="I2205" s="65"/>
      <c r="K2205" s="71">
        <v>102.8</v>
      </c>
      <c r="L2205" s="72">
        <v>125.7</v>
      </c>
      <c r="M2205" s="71">
        <v>130</v>
      </c>
      <c r="N2205" s="216">
        <v>125.9</v>
      </c>
      <c r="O2205" s="71">
        <v>122</v>
      </c>
      <c r="P2205" s="72"/>
    </row>
    <row r="2206" spans="1:16">
      <c r="A2206" s="286"/>
      <c r="B2206" s="289"/>
      <c r="C2206" s="289"/>
      <c r="D2206" s="66" t="s">
        <v>417</v>
      </c>
      <c r="F2206" t="s">
        <v>1029</v>
      </c>
      <c r="G2206" t="s">
        <v>1023</v>
      </c>
      <c r="H2206" s="209">
        <v>44196</v>
      </c>
      <c r="I2206" s="65" t="s">
        <v>970</v>
      </c>
      <c r="K2206" s="71">
        <v>272</v>
      </c>
      <c r="L2206" s="72">
        <v>305.3</v>
      </c>
      <c r="M2206" s="71">
        <v>309.39999999999998</v>
      </c>
      <c r="N2206" s="216">
        <v>308.3</v>
      </c>
      <c r="O2206" s="71">
        <v>296.3</v>
      </c>
      <c r="P2206" s="72"/>
    </row>
    <row r="2207" spans="1:16">
      <c r="A2207" s="286"/>
      <c r="B2207" s="289"/>
      <c r="C2207" s="289"/>
      <c r="D2207" s="66" t="s">
        <v>417</v>
      </c>
      <c r="F2207" t="s">
        <v>1030</v>
      </c>
      <c r="G2207" t="s">
        <v>1024</v>
      </c>
      <c r="H2207" s="209">
        <v>44196</v>
      </c>
      <c r="I2207" s="65" t="s">
        <v>970</v>
      </c>
      <c r="K2207" s="71">
        <v>42.5</v>
      </c>
      <c r="L2207" s="72">
        <v>47.2</v>
      </c>
      <c r="M2207" s="71">
        <v>49</v>
      </c>
      <c r="N2207" s="216">
        <v>50.7</v>
      </c>
      <c r="O2207" s="71">
        <v>46.9</v>
      </c>
      <c r="P2207" s="72"/>
    </row>
    <row r="2208" spans="1:16">
      <c r="A2208" s="286"/>
      <c r="B2208" s="289"/>
      <c r="C2208" s="289"/>
      <c r="D2208" s="66" t="s">
        <v>417</v>
      </c>
      <c r="F2208" t="s">
        <v>1037</v>
      </c>
      <c r="G2208" t="s">
        <v>1025</v>
      </c>
      <c r="H2208" s="209">
        <v>44196</v>
      </c>
      <c r="I2208" s="65" t="s">
        <v>970</v>
      </c>
      <c r="K2208" s="71">
        <v>9.4</v>
      </c>
      <c r="L2208" s="72">
        <v>9.6</v>
      </c>
      <c r="M2208" s="71">
        <v>10.3</v>
      </c>
      <c r="N2208" s="216">
        <v>11.3</v>
      </c>
      <c r="O2208" s="71">
        <v>11</v>
      </c>
      <c r="P2208" s="72"/>
    </row>
    <row r="2209" spans="1:17">
      <c r="A2209" s="287"/>
      <c r="B2209" s="290"/>
      <c r="C2209" s="290"/>
      <c r="D2209" s="66" t="s">
        <v>418</v>
      </c>
      <c r="E2209" s="201"/>
      <c r="F2209" s="202"/>
      <c r="G2209" s="202"/>
      <c r="H2209" s="209">
        <v>44196</v>
      </c>
      <c r="I2209" s="203"/>
      <c r="K2209" s="71"/>
      <c r="L2209" s="72"/>
      <c r="M2209" s="71"/>
      <c r="N2209" s="216"/>
      <c r="O2209" s="71" t="s">
        <v>990</v>
      </c>
      <c r="P2209" s="72"/>
    </row>
    <row r="2210" spans="1:17">
      <c r="A2210" s="285" t="s">
        <v>940</v>
      </c>
      <c r="B2210" s="288" t="s">
        <v>941</v>
      </c>
      <c r="C2210" s="288" t="s">
        <v>942</v>
      </c>
      <c r="D2210" s="172" t="s">
        <v>411</v>
      </c>
      <c r="G2210" t="s">
        <v>429</v>
      </c>
      <c r="H2210" s="173">
        <v>44561</v>
      </c>
      <c r="I2210" s="65"/>
      <c r="K2210" s="71"/>
      <c r="L2210" s="72"/>
      <c r="M2210" s="71"/>
      <c r="N2210" s="216">
        <v>1.5</v>
      </c>
      <c r="O2210" s="71">
        <v>1.96</v>
      </c>
      <c r="P2210" s="227">
        <v>1.89</v>
      </c>
    </row>
    <row r="2211" spans="1:17">
      <c r="A2211" s="286"/>
      <c r="B2211" s="289"/>
      <c r="C2211" s="289"/>
      <c r="D2211" s="66" t="s">
        <v>412</v>
      </c>
      <c r="G2211" t="s">
        <v>429</v>
      </c>
      <c r="H2211" s="173">
        <v>44561</v>
      </c>
      <c r="I2211" s="65"/>
      <c r="K2211" s="71"/>
      <c r="L2211" s="72"/>
      <c r="M2211" s="71"/>
      <c r="N2211" s="216">
        <v>0.21</v>
      </c>
      <c r="O2211" s="71">
        <v>0.23</v>
      </c>
      <c r="P2211" s="72">
        <v>0.31</v>
      </c>
    </row>
    <row r="2212" spans="1:17">
      <c r="A2212" s="286"/>
      <c r="B2212" s="289"/>
      <c r="C2212" s="289"/>
      <c r="D2212" s="66" t="s">
        <v>414</v>
      </c>
      <c r="G2212" t="s">
        <v>429</v>
      </c>
      <c r="H2212" s="173">
        <v>44561</v>
      </c>
      <c r="I2212" s="65"/>
      <c r="K2212" s="71"/>
      <c r="L2212" s="72"/>
      <c r="M2212" s="71"/>
      <c r="N2212" s="216">
        <f>SUM(N2210:N2211)</f>
        <v>1.71</v>
      </c>
      <c r="O2212" s="71">
        <f>SUM(O2210:O2211)</f>
        <v>2.19</v>
      </c>
      <c r="P2212" s="72">
        <v>2.2400000000000002</v>
      </c>
    </row>
    <row r="2213" spans="1:17">
      <c r="A2213" s="286"/>
      <c r="B2213" s="289"/>
      <c r="C2213" s="289"/>
      <c r="D2213" s="66" t="s">
        <v>415</v>
      </c>
      <c r="H2213" s="173">
        <v>44561</v>
      </c>
      <c r="I2213" s="65" t="s">
        <v>616</v>
      </c>
      <c r="K2213" s="71"/>
      <c r="L2213" s="72"/>
      <c r="M2213" s="71"/>
      <c r="N2213" s="216"/>
      <c r="O2213" s="71"/>
      <c r="P2213" s="72"/>
    </row>
    <row r="2214" spans="1:17">
      <c r="A2214" s="286"/>
      <c r="B2214" s="289"/>
      <c r="C2214" s="289"/>
      <c r="D2214" s="66" t="s">
        <v>417</v>
      </c>
      <c r="F2214" t="s">
        <v>443</v>
      </c>
      <c r="G2214" t="s">
        <v>1035</v>
      </c>
      <c r="H2214" s="173">
        <v>44561</v>
      </c>
      <c r="I2214" s="65" t="s">
        <v>616</v>
      </c>
      <c r="K2214" s="84">
        <f t="shared" ref="K2214:O2214" si="101">SUM(K2215:K2218)</f>
        <v>46631</v>
      </c>
      <c r="L2214" s="84">
        <f t="shared" si="101"/>
        <v>54202</v>
      </c>
      <c r="M2214" s="84">
        <f t="shared" si="101"/>
        <v>60790</v>
      </c>
      <c r="N2214" s="216">
        <f t="shared" si="101"/>
        <v>67383</v>
      </c>
      <c r="O2214" s="84">
        <f t="shared" si="101"/>
        <v>72955</v>
      </c>
      <c r="P2214" s="84">
        <f>SUM(P2215:P2218)</f>
        <v>77509</v>
      </c>
    </row>
    <row r="2215" spans="1:17">
      <c r="A2215" s="286"/>
      <c r="B2215" s="289"/>
      <c r="C2215" s="289"/>
      <c r="D2215" s="66" t="s">
        <v>417</v>
      </c>
      <c r="F2215" t="s">
        <v>1029</v>
      </c>
      <c r="G2215" t="s">
        <v>1036</v>
      </c>
      <c r="H2215" s="173">
        <v>44561</v>
      </c>
      <c r="I2215" s="65" t="s">
        <v>616</v>
      </c>
      <c r="K2215" s="71">
        <v>36092</v>
      </c>
      <c r="L2215" s="109">
        <v>41712</v>
      </c>
      <c r="M2215" s="71">
        <v>47624</v>
      </c>
      <c r="N2215" s="216">
        <v>53954</v>
      </c>
      <c r="O2215" s="71">
        <v>59098</v>
      </c>
      <c r="P2215" s="45">
        <v>64185</v>
      </c>
    </row>
    <row r="2216" spans="1:17">
      <c r="A2216" s="286"/>
      <c r="B2216" s="289"/>
      <c r="C2216" s="289"/>
      <c r="D2216" s="66" t="s">
        <v>417</v>
      </c>
      <c r="F2216" t="s">
        <v>1020</v>
      </c>
      <c r="G2216" t="s">
        <v>1035</v>
      </c>
      <c r="H2216" s="173">
        <v>44561</v>
      </c>
      <c r="I2216" s="65"/>
      <c r="K2216" s="71">
        <v>2357</v>
      </c>
      <c r="L2216" s="109">
        <v>2547</v>
      </c>
      <c r="M2216" s="71">
        <v>2329</v>
      </c>
      <c r="N2216" s="216">
        <v>2395</v>
      </c>
      <c r="O2216" s="71">
        <v>2286</v>
      </c>
      <c r="P2216" s="45">
        <v>2431</v>
      </c>
    </row>
    <row r="2217" spans="1:17">
      <c r="A2217" s="286"/>
      <c r="B2217" s="289"/>
      <c r="C2217" s="289"/>
      <c r="D2217" s="66" t="s">
        <v>417</v>
      </c>
      <c r="F2217" t="s">
        <v>1030</v>
      </c>
      <c r="G2217" t="s">
        <v>1038</v>
      </c>
      <c r="H2217" s="173">
        <v>44561</v>
      </c>
      <c r="I2217" s="65" t="s">
        <v>616</v>
      </c>
      <c r="K2217" s="71">
        <v>3823</v>
      </c>
      <c r="L2217" s="109">
        <v>4680</v>
      </c>
      <c r="M2217" s="71">
        <v>5433</v>
      </c>
      <c r="N2217" s="216">
        <v>5466</v>
      </c>
      <c r="O2217" s="71">
        <v>5740</v>
      </c>
      <c r="P2217" s="45">
        <v>5831</v>
      </c>
    </row>
    <row r="2218" spans="1:17">
      <c r="A2218" s="286"/>
      <c r="B2218" s="289"/>
      <c r="C2218" s="289"/>
      <c r="D2218" s="66" t="s">
        <v>417</v>
      </c>
      <c r="F2218" t="s">
        <v>1037</v>
      </c>
      <c r="G2218" t="s">
        <v>1036</v>
      </c>
      <c r="H2218" s="173">
        <v>44561</v>
      </c>
      <c r="I2218" s="65" t="s">
        <v>616</v>
      </c>
      <c r="K2218" s="71">
        <v>4359</v>
      </c>
      <c r="L2218" s="109">
        <v>5263</v>
      </c>
      <c r="M2218" s="71">
        <v>5404</v>
      </c>
      <c r="N2218" s="216">
        <v>5568</v>
      </c>
      <c r="O2218" s="71">
        <v>5831</v>
      </c>
      <c r="P2218" s="45">
        <v>5062</v>
      </c>
    </row>
    <row r="2219" spans="1:17">
      <c r="A2219" s="286"/>
      <c r="B2219" s="289"/>
      <c r="C2219" s="289"/>
      <c r="D2219" s="66" t="s">
        <v>418</v>
      </c>
      <c r="H2219" s="173">
        <v>44561</v>
      </c>
      <c r="I2219" s="65"/>
      <c r="K2219" s="184"/>
      <c r="L2219" s="184"/>
      <c r="M2219" s="184"/>
      <c r="N2219" s="221"/>
      <c r="O2219" s="184"/>
      <c r="P2219" s="184" t="s">
        <v>991</v>
      </c>
    </row>
    <row r="2220" spans="1:17">
      <c r="A2220" s="286"/>
      <c r="B2220" s="289"/>
      <c r="C2220" s="289"/>
      <c r="D2220" s="66"/>
      <c r="H2220" s="65"/>
      <c r="I2220" s="65"/>
      <c r="K2220" s="71"/>
      <c r="L2220" s="109"/>
      <c r="M2220" s="109"/>
      <c r="N2220" s="216"/>
      <c r="O2220" s="111"/>
      <c r="P2220" s="184" t="s">
        <v>992</v>
      </c>
    </row>
    <row r="2221" spans="1:17">
      <c r="A2221" s="287"/>
      <c r="B2221" s="290"/>
      <c r="C2221" s="290"/>
      <c r="D2221" s="175"/>
      <c r="E2221" s="176"/>
      <c r="F2221" s="176"/>
      <c r="G2221" s="176"/>
      <c r="H2221" s="186"/>
      <c r="I2221" s="186"/>
      <c r="J2221" s="176"/>
      <c r="K2221" s="177"/>
      <c r="L2221" s="187"/>
      <c r="M2221" s="187"/>
      <c r="N2221" s="226"/>
      <c r="O2221" s="188"/>
      <c r="P2221" s="187"/>
    </row>
    <row r="2222" spans="1:17" s="229" customFormat="1">
      <c r="A2222" s="291" t="s">
        <v>943</v>
      </c>
      <c r="B2222" s="288" t="s">
        <v>944</v>
      </c>
      <c r="C2222" s="292" t="s">
        <v>945</v>
      </c>
      <c r="D2222" s="179" t="s">
        <v>575</v>
      </c>
      <c r="H2222" s="230"/>
      <c r="I2222" s="229">
        <v>2010</v>
      </c>
      <c r="K2222" s="231"/>
      <c r="L2222" s="231"/>
      <c r="M2222" s="231"/>
      <c r="N2222" s="236"/>
      <c r="O2222" s="231"/>
      <c r="P2222" s="231"/>
      <c r="Q2222" s="71"/>
    </row>
    <row r="2223" spans="1:17" s="229" customFormat="1">
      <c r="A2223" s="286"/>
      <c r="B2223" s="289"/>
      <c r="C2223" s="289"/>
      <c r="D2223" s="179" t="s">
        <v>411</v>
      </c>
      <c r="G2223" s="229" t="s">
        <v>429</v>
      </c>
      <c r="H2223" s="230"/>
      <c r="I2223" s="230"/>
      <c r="K2223" s="231"/>
      <c r="L2223" s="231"/>
      <c r="M2223" s="231"/>
      <c r="N2223" s="236">
        <v>4.5</v>
      </c>
      <c r="O2223" s="231">
        <v>4.5049999999999999</v>
      </c>
      <c r="P2223" s="231">
        <v>4.5469999999999997</v>
      </c>
      <c r="Q2223" s="71"/>
    </row>
    <row r="2224" spans="1:17" s="229" customFormat="1">
      <c r="A2224" s="286"/>
      <c r="B2224" s="289"/>
      <c r="C2224" s="289"/>
      <c r="D2224" s="66" t="s">
        <v>411</v>
      </c>
      <c r="F2224" s="229" t="s">
        <v>1020</v>
      </c>
      <c r="G2224" s="229" t="s">
        <v>429</v>
      </c>
      <c r="H2224" s="230"/>
      <c r="I2224" s="230" t="s">
        <v>970</v>
      </c>
      <c r="K2224" s="232"/>
      <c r="L2224" s="232"/>
      <c r="M2224" s="232"/>
      <c r="N2224" s="237">
        <v>2.52</v>
      </c>
      <c r="O2224" s="232">
        <v>2.6</v>
      </c>
      <c r="P2224" s="232">
        <v>2.7</v>
      </c>
      <c r="Q2224" s="71"/>
    </row>
    <row r="2225" spans="1:17" s="229" customFormat="1">
      <c r="A2225" s="286"/>
      <c r="B2225" s="289"/>
      <c r="C2225" s="289"/>
      <c r="D2225" s="66" t="s">
        <v>412</v>
      </c>
      <c r="G2225" s="229" t="s">
        <v>429</v>
      </c>
      <c r="H2225" s="230"/>
      <c r="I2225" s="230"/>
      <c r="K2225" s="232"/>
      <c r="L2225" s="232"/>
      <c r="M2225" s="232"/>
      <c r="N2225" s="237">
        <v>0.7</v>
      </c>
      <c r="O2225" s="232">
        <v>0.67100000000000004</v>
      </c>
      <c r="P2225" s="232">
        <v>0.55300000000000005</v>
      </c>
      <c r="Q2225" s="71"/>
    </row>
    <row r="2226" spans="1:17" s="229" customFormat="1">
      <c r="A2226" s="286"/>
      <c r="B2226" s="289"/>
      <c r="C2226" s="289"/>
      <c r="D2226" s="66" t="s">
        <v>414</v>
      </c>
      <c r="G2226" s="229" t="s">
        <v>429</v>
      </c>
      <c r="H2226" s="230"/>
      <c r="I2226" s="230"/>
      <c r="K2226" s="232"/>
      <c r="L2226" s="232"/>
      <c r="M2226" s="232"/>
      <c r="N2226" s="237">
        <v>5.2</v>
      </c>
      <c r="O2226" s="232">
        <v>5.17</v>
      </c>
      <c r="P2226" s="232">
        <v>5.0999999999999996</v>
      </c>
      <c r="Q2226" s="71"/>
    </row>
    <row r="2227" spans="1:17" s="229" customFormat="1">
      <c r="A2227" s="286"/>
      <c r="B2227" s="289"/>
      <c r="C2227" s="289"/>
      <c r="D2227" s="66" t="s">
        <v>577</v>
      </c>
      <c r="G2227" s="229" t="s">
        <v>1040</v>
      </c>
      <c r="H2227" s="230"/>
      <c r="I2227" s="235">
        <v>0.83599999999999997</v>
      </c>
      <c r="K2227" s="232"/>
      <c r="L2227" s="232"/>
      <c r="M2227" s="232"/>
      <c r="N2227" s="237">
        <v>0.74</v>
      </c>
      <c r="O2227" s="232">
        <v>0.75</v>
      </c>
      <c r="P2227" s="232">
        <v>0.77</v>
      </c>
      <c r="Q2227" s="71"/>
    </row>
    <row r="2228" spans="1:17" s="229" customFormat="1">
      <c r="A2228" s="286"/>
      <c r="B2228" s="289"/>
      <c r="C2228" s="289"/>
      <c r="D2228" s="66" t="s">
        <v>418</v>
      </c>
      <c r="H2228" s="230"/>
      <c r="I2228" s="230" t="s">
        <v>970</v>
      </c>
      <c r="K2228" s="232"/>
      <c r="L2228" s="232"/>
      <c r="M2228" s="232"/>
      <c r="N2228" s="237"/>
      <c r="O2228" s="232"/>
      <c r="P2228" s="233"/>
      <c r="Q2228" s="71"/>
    </row>
    <row r="2229" spans="1:17">
      <c r="A2229" s="286" t="s">
        <v>946</v>
      </c>
      <c r="B2229" s="292" t="s">
        <v>947</v>
      </c>
      <c r="C2229" s="289" t="s">
        <v>948</v>
      </c>
      <c r="D2229" s="66" t="s">
        <v>411</v>
      </c>
      <c r="E2229" s="204"/>
      <c r="F2229" s="205"/>
      <c r="G2229" s="205" t="s">
        <v>428</v>
      </c>
      <c r="H2229" s="208">
        <v>44561</v>
      </c>
      <c r="I2229" s="206"/>
      <c r="J2229" s="205"/>
      <c r="K2229" s="211"/>
      <c r="L2229" s="234">
        <v>592159</v>
      </c>
      <c r="M2229" s="211">
        <v>588920</v>
      </c>
      <c r="N2229" s="222">
        <v>626221</v>
      </c>
      <c r="O2229" s="211">
        <v>625905</v>
      </c>
      <c r="P2229" s="234">
        <v>826863</v>
      </c>
    </row>
    <row r="2230" spans="1:17">
      <c r="A2230" s="286"/>
      <c r="B2230" s="289"/>
      <c r="C2230" s="289"/>
      <c r="D2230" s="66" t="s">
        <v>577</v>
      </c>
      <c r="G2230" t="s">
        <v>1028</v>
      </c>
      <c r="H2230" s="208">
        <v>44561</v>
      </c>
      <c r="I2230" s="65"/>
      <c r="K2230" s="71"/>
      <c r="L2230" s="72">
        <v>2.9299999999999999E-3</v>
      </c>
      <c r="M2230" s="71">
        <v>2.6800000000000001E-3</v>
      </c>
      <c r="N2230" s="216">
        <v>2.6700000000000001E-3</v>
      </c>
      <c r="O2230" s="71">
        <v>2.7699999999999999E-3</v>
      </c>
      <c r="P2230" s="72">
        <v>3.4399999999999999E-3</v>
      </c>
    </row>
    <row r="2231" spans="1:17">
      <c r="A2231" s="286"/>
      <c r="B2231" s="289"/>
      <c r="C2231" s="289"/>
      <c r="D2231" s="66" t="s">
        <v>412</v>
      </c>
      <c r="G2231" t="s">
        <v>428</v>
      </c>
      <c r="H2231" s="173">
        <v>44561</v>
      </c>
      <c r="I2231" s="65"/>
      <c r="K2231" s="71"/>
      <c r="L2231" s="72">
        <v>330000</v>
      </c>
      <c r="M2231" s="71">
        <v>362248</v>
      </c>
      <c r="N2231" s="216">
        <v>371778</v>
      </c>
      <c r="O2231" s="71">
        <v>339341</v>
      </c>
      <c r="P2231" s="72">
        <v>318221</v>
      </c>
    </row>
    <row r="2232" spans="1:17">
      <c r="A2232" s="286"/>
      <c r="B2232" s="289"/>
      <c r="C2232" s="289"/>
      <c r="D2232" s="66" t="s">
        <v>602</v>
      </c>
      <c r="G2232" t="s">
        <v>1028</v>
      </c>
      <c r="H2232" s="173">
        <v>44561</v>
      </c>
      <c r="I2232" s="65"/>
      <c r="K2232" s="71"/>
      <c r="L2232" s="72">
        <v>1.6299999999999999E-3</v>
      </c>
      <c r="M2232" s="71">
        <v>1.65E-3</v>
      </c>
      <c r="N2232" s="216">
        <v>1.58E-3</v>
      </c>
      <c r="O2232" s="71">
        <v>1.5E-3</v>
      </c>
      <c r="P2232" s="72">
        <v>1.33E-3</v>
      </c>
    </row>
    <row r="2233" spans="1:17">
      <c r="A2233" s="286"/>
      <c r="B2233" s="289"/>
      <c r="C2233" s="289"/>
      <c r="D2233" s="66" t="s">
        <v>414</v>
      </c>
      <c r="G2233" t="s">
        <v>428</v>
      </c>
      <c r="H2233" s="173">
        <v>44561</v>
      </c>
      <c r="I2233" s="65"/>
      <c r="K2233" s="71">
        <v>888798</v>
      </c>
      <c r="L2233" s="72">
        <v>922159</v>
      </c>
      <c r="M2233" s="71">
        <v>951169</v>
      </c>
      <c r="N2233" s="216">
        <v>997999</v>
      </c>
      <c r="O2233" s="71">
        <v>965246</v>
      </c>
      <c r="P2233" s="72">
        <v>1145084</v>
      </c>
    </row>
    <row r="2234" spans="1:17">
      <c r="A2234" s="286"/>
      <c r="B2234" s="289"/>
      <c r="C2234" s="289"/>
      <c r="D2234" s="66" t="s">
        <v>600</v>
      </c>
      <c r="G2234" t="s">
        <v>1028</v>
      </c>
      <c r="H2234" s="173">
        <v>44561</v>
      </c>
      <c r="I2234" s="65"/>
      <c r="K2234" s="71"/>
      <c r="L2234" s="72">
        <v>4.5700000000000003E-3</v>
      </c>
      <c r="M2234" s="71">
        <v>4.3299999999999996E-3</v>
      </c>
      <c r="N2234" s="216">
        <v>4.2500000000000003E-3</v>
      </c>
      <c r="O2234" s="71">
        <v>4.2700000000000004E-3</v>
      </c>
      <c r="P2234" s="72">
        <v>4.7699999999999999E-3</v>
      </c>
    </row>
    <row r="2235" spans="1:17">
      <c r="A2235" s="286"/>
      <c r="B2235" s="289"/>
      <c r="C2235" s="289"/>
      <c r="D2235" s="66" t="s">
        <v>415</v>
      </c>
      <c r="H2235" s="173">
        <v>44561</v>
      </c>
      <c r="I2235" s="65"/>
      <c r="K2235" s="71"/>
      <c r="L2235" s="72"/>
      <c r="M2235" s="71"/>
      <c r="N2235" s="216"/>
      <c r="O2235" s="71"/>
      <c r="P2235" s="72"/>
    </row>
    <row r="2236" spans="1:17">
      <c r="A2236" s="286"/>
      <c r="B2236" s="289"/>
      <c r="C2236" s="289"/>
      <c r="D2236" s="66" t="s">
        <v>417</v>
      </c>
      <c r="G2236" t="s">
        <v>1017</v>
      </c>
      <c r="H2236" s="173">
        <v>44561</v>
      </c>
      <c r="I2236" s="65" t="s">
        <v>970</v>
      </c>
      <c r="K2236" s="71"/>
      <c r="L2236" s="72"/>
      <c r="M2236" s="71"/>
      <c r="N2236" s="216"/>
      <c r="O2236" s="71"/>
      <c r="P2236" s="72">
        <v>246118486</v>
      </c>
    </row>
    <row r="2237" spans="1:17">
      <c r="A2237" s="286"/>
      <c r="B2237" s="293"/>
      <c r="C2237" s="289"/>
      <c r="D2237" s="66" t="s">
        <v>418</v>
      </c>
      <c r="E2237" s="201"/>
      <c r="F2237" s="202"/>
      <c r="G2237" s="202"/>
      <c r="H2237" s="209">
        <v>44561</v>
      </c>
      <c r="I2237" s="203"/>
      <c r="K2237" s="71"/>
      <c r="L2237" s="72"/>
      <c r="M2237" s="71"/>
      <c r="N2237" s="216"/>
      <c r="O2237" s="71"/>
      <c r="P2237" s="72" t="s">
        <v>993</v>
      </c>
    </row>
    <row r="2238" spans="1:17">
      <c r="A2238" s="291" t="s">
        <v>949</v>
      </c>
      <c r="B2238" s="292" t="s">
        <v>950</v>
      </c>
      <c r="C2238" s="292" t="s">
        <v>951</v>
      </c>
      <c r="D2238" s="66" t="s">
        <v>411</v>
      </c>
      <c r="E2238" s="212" t="s">
        <v>443</v>
      </c>
      <c r="G2238" t="s">
        <v>428</v>
      </c>
      <c r="H2238" s="173">
        <v>44561</v>
      </c>
      <c r="I2238" s="65" t="s">
        <v>970</v>
      </c>
      <c r="K2238" s="71"/>
      <c r="L2238" s="72"/>
      <c r="M2238" s="71"/>
      <c r="N2238" s="216">
        <f t="shared" ref="N2238" si="102">SUM(N2239:N2240)</f>
        <v>3960000</v>
      </c>
      <c r="O2238" s="71">
        <f>SUM(O2239:O2240)</f>
        <v>4010000</v>
      </c>
      <c r="P2238" s="72">
        <f t="shared" ref="P2238" si="103">SUM(P2239:P2240)</f>
        <v>4602700</v>
      </c>
    </row>
    <row r="2239" spans="1:17">
      <c r="A2239" s="286"/>
      <c r="B2239" s="289"/>
      <c r="C2239" s="289"/>
      <c r="D2239" s="66" t="s">
        <v>411</v>
      </c>
      <c r="F2239" t="s">
        <v>1018</v>
      </c>
      <c r="G2239" t="s">
        <v>428</v>
      </c>
      <c r="H2239" s="173">
        <v>44561</v>
      </c>
      <c r="I2239" s="65"/>
      <c r="K2239" s="71"/>
      <c r="L2239" s="72"/>
      <c r="M2239" s="71"/>
      <c r="N2239" s="216">
        <v>3050000</v>
      </c>
      <c r="O2239" s="71">
        <v>3070000</v>
      </c>
      <c r="P2239" s="72">
        <v>2967231</v>
      </c>
    </row>
    <row r="2240" spans="1:17">
      <c r="A2240" s="286"/>
      <c r="B2240" s="289"/>
      <c r="C2240" s="289"/>
      <c r="D2240" s="66" t="s">
        <v>411</v>
      </c>
      <c r="F2240" t="s">
        <v>1019</v>
      </c>
      <c r="G2240" t="s">
        <v>428</v>
      </c>
      <c r="H2240" s="173">
        <v>44561</v>
      </c>
      <c r="I2240" s="65" t="s">
        <v>970</v>
      </c>
      <c r="K2240" s="71"/>
      <c r="L2240" s="72"/>
      <c r="M2240" s="71"/>
      <c r="N2240" s="216">
        <v>910000</v>
      </c>
      <c r="O2240" s="71">
        <v>940000</v>
      </c>
      <c r="P2240" s="72">
        <v>1635469</v>
      </c>
    </row>
    <row r="2241" spans="1:16">
      <c r="A2241" s="286"/>
      <c r="B2241" s="289"/>
      <c r="C2241" s="289"/>
      <c r="D2241" s="66" t="s">
        <v>412</v>
      </c>
      <c r="E2241" t="s">
        <v>443</v>
      </c>
      <c r="G2241" t="s">
        <v>428</v>
      </c>
      <c r="H2241" s="173">
        <v>44561</v>
      </c>
      <c r="I2241" s="65" t="s">
        <v>970</v>
      </c>
      <c r="K2241" s="71"/>
      <c r="L2241" s="72"/>
      <c r="M2241" s="71"/>
      <c r="N2241" s="216">
        <f t="shared" ref="N2241:O2241" si="104">SUM(N2242:N2243)</f>
        <v>200000</v>
      </c>
      <c r="O2241" s="71">
        <f t="shared" si="104"/>
        <v>220000</v>
      </c>
      <c r="P2241" s="72">
        <f>SUM(P2242:P2243)</f>
        <v>221663</v>
      </c>
    </row>
    <row r="2242" spans="1:16">
      <c r="A2242" s="286"/>
      <c r="B2242" s="289"/>
      <c r="C2242" s="289"/>
      <c r="D2242" s="66" t="s">
        <v>412</v>
      </c>
      <c r="F2242" t="s">
        <v>1018</v>
      </c>
      <c r="G2242" t="s">
        <v>428</v>
      </c>
      <c r="H2242" s="173">
        <v>44561</v>
      </c>
      <c r="I2242" s="65"/>
      <c r="K2242" s="71"/>
      <c r="L2242" s="72"/>
      <c r="M2242" s="71"/>
      <c r="N2242" s="216">
        <v>160000</v>
      </c>
      <c r="O2242" s="71">
        <v>170000</v>
      </c>
      <c r="P2242" s="72">
        <v>172203</v>
      </c>
    </row>
    <row r="2243" spans="1:16">
      <c r="A2243" s="286"/>
      <c r="B2243" s="289"/>
      <c r="C2243" s="289"/>
      <c r="D2243" s="66" t="s">
        <v>412</v>
      </c>
      <c r="F2243" t="s">
        <v>1019</v>
      </c>
      <c r="G2243" t="s">
        <v>428</v>
      </c>
      <c r="H2243" s="173">
        <v>44561</v>
      </c>
      <c r="I2243" s="65" t="s">
        <v>970</v>
      </c>
      <c r="K2243" s="71"/>
      <c r="L2243" s="72"/>
      <c r="M2243" s="71"/>
      <c r="N2243" s="216">
        <v>40000</v>
      </c>
      <c r="O2243" s="71">
        <v>50000</v>
      </c>
      <c r="P2243" s="72">
        <v>49460</v>
      </c>
    </row>
    <row r="2244" spans="1:16">
      <c r="A2244" s="286"/>
      <c r="B2244" s="289"/>
      <c r="C2244" s="289"/>
      <c r="D2244" s="66" t="s">
        <v>414</v>
      </c>
      <c r="E2244" t="s">
        <v>443</v>
      </c>
      <c r="G2244" t="s">
        <v>428</v>
      </c>
      <c r="H2244" s="173">
        <v>44561</v>
      </c>
      <c r="I2244" s="65" t="s">
        <v>970</v>
      </c>
      <c r="K2244" s="71"/>
      <c r="L2244" s="72"/>
      <c r="M2244" s="71"/>
      <c r="N2244" s="216">
        <f t="shared" ref="N2244:P2244" si="105">SUM(N2245:N2246)</f>
        <v>4160000</v>
      </c>
      <c r="O2244" s="71">
        <f t="shared" si="105"/>
        <v>4230000</v>
      </c>
      <c r="P2244" s="72">
        <f t="shared" si="105"/>
        <v>4824363</v>
      </c>
    </row>
    <row r="2245" spans="1:16">
      <c r="A2245" s="286"/>
      <c r="B2245" s="289"/>
      <c r="C2245" s="289"/>
      <c r="D2245" s="66" t="s">
        <v>414</v>
      </c>
      <c r="F2245" t="s">
        <v>1018</v>
      </c>
      <c r="G2245" t="s">
        <v>428</v>
      </c>
      <c r="H2245" s="173">
        <v>44561</v>
      </c>
      <c r="I2245" s="65"/>
      <c r="K2245" s="71"/>
      <c r="L2245" s="72"/>
      <c r="M2245" s="71"/>
      <c r="N2245" s="216">
        <f t="shared" ref="N2245:P2246" si="106">N2239+N2242</f>
        <v>3210000</v>
      </c>
      <c r="O2245" s="71">
        <f t="shared" si="106"/>
        <v>3240000</v>
      </c>
      <c r="P2245" s="72">
        <f t="shared" si="106"/>
        <v>3139434</v>
      </c>
    </row>
    <row r="2246" spans="1:16">
      <c r="A2246" s="286"/>
      <c r="B2246" s="289"/>
      <c r="C2246" s="289"/>
      <c r="D2246" s="66" t="s">
        <v>414</v>
      </c>
      <c r="F2246" t="s">
        <v>1019</v>
      </c>
      <c r="G2246" t="s">
        <v>428</v>
      </c>
      <c r="H2246" s="173">
        <v>44561</v>
      </c>
      <c r="I2246" s="65" t="s">
        <v>970</v>
      </c>
      <c r="K2246" s="71"/>
      <c r="L2246" s="72"/>
      <c r="M2246" s="71"/>
      <c r="N2246" s="216">
        <f t="shared" si="106"/>
        <v>950000</v>
      </c>
      <c r="O2246" s="71">
        <f t="shared" si="106"/>
        <v>990000</v>
      </c>
      <c r="P2246" s="72">
        <f t="shared" si="106"/>
        <v>1684929</v>
      </c>
    </row>
    <row r="2247" spans="1:16">
      <c r="A2247" s="286"/>
      <c r="B2247" s="289"/>
      <c r="C2247" s="289"/>
      <c r="D2247" s="66" t="s">
        <v>415</v>
      </c>
      <c r="E2247" t="s">
        <v>443</v>
      </c>
      <c r="G2247" t="s">
        <v>428</v>
      </c>
      <c r="H2247" s="173">
        <v>44561</v>
      </c>
      <c r="I2247" s="65"/>
      <c r="K2247" s="71"/>
      <c r="L2247" s="72"/>
      <c r="M2247" s="71"/>
      <c r="N2247" s="216">
        <v>401972</v>
      </c>
      <c r="O2247" s="71">
        <v>427255</v>
      </c>
      <c r="P2247" s="72">
        <v>419501</v>
      </c>
    </row>
    <row r="2248" spans="1:16" ht="16">
      <c r="A2248" s="286"/>
      <c r="B2248" s="289"/>
      <c r="C2248" s="289"/>
      <c r="D2248" s="198" t="s">
        <v>415</v>
      </c>
      <c r="E2248">
        <v>1</v>
      </c>
      <c r="G2248" t="s">
        <v>428</v>
      </c>
      <c r="H2248" s="173">
        <v>44561</v>
      </c>
      <c r="I2248" s="65"/>
      <c r="K2248" s="71"/>
      <c r="L2248" s="72"/>
      <c r="M2248" s="71"/>
      <c r="N2248" s="216">
        <v>168427</v>
      </c>
      <c r="O2248" s="71">
        <v>186926</v>
      </c>
      <c r="P2248" s="72">
        <v>184467</v>
      </c>
    </row>
    <row r="2249" spans="1:16" ht="16">
      <c r="A2249" s="286"/>
      <c r="B2249" s="289"/>
      <c r="C2249" s="289"/>
      <c r="D2249" s="198" t="s">
        <v>415</v>
      </c>
      <c r="E2249">
        <v>3</v>
      </c>
      <c r="G2249" t="s">
        <v>428</v>
      </c>
      <c r="H2249" s="173">
        <v>44561</v>
      </c>
      <c r="I2249" s="65"/>
      <c r="K2249" s="71"/>
      <c r="L2249" s="72"/>
      <c r="M2249" s="71"/>
      <c r="N2249" s="216">
        <v>233451</v>
      </c>
      <c r="O2249" s="71">
        <v>240234</v>
      </c>
      <c r="P2249" s="72">
        <v>235013</v>
      </c>
    </row>
    <row r="2250" spans="1:16" ht="16">
      <c r="A2250" s="286"/>
      <c r="B2250" s="289"/>
      <c r="C2250" s="289"/>
      <c r="D2250" s="198" t="s">
        <v>415</v>
      </c>
      <c r="E2250">
        <v>5</v>
      </c>
      <c r="G2250" t="s">
        <v>428</v>
      </c>
      <c r="H2250" s="173">
        <v>44561</v>
      </c>
      <c r="I2250" s="65"/>
      <c r="K2250" s="71"/>
      <c r="L2250" s="72"/>
      <c r="M2250" s="71"/>
      <c r="N2250" s="216">
        <v>24</v>
      </c>
      <c r="O2250" s="71">
        <v>24</v>
      </c>
      <c r="P2250" s="72">
        <v>22</v>
      </c>
    </row>
    <row r="2251" spans="1:16">
      <c r="A2251" s="286"/>
      <c r="B2251" s="289"/>
      <c r="C2251" s="289"/>
      <c r="D2251" s="66" t="s">
        <v>417</v>
      </c>
      <c r="G2251" t="s">
        <v>1035</v>
      </c>
      <c r="H2251" s="173">
        <v>44561</v>
      </c>
      <c r="I2251" s="65"/>
      <c r="K2251" s="71"/>
      <c r="L2251" s="72"/>
      <c r="M2251" s="71"/>
      <c r="N2251" s="216">
        <v>32283</v>
      </c>
      <c r="O2251" s="71">
        <v>30641</v>
      </c>
      <c r="P2251" s="72">
        <v>36600</v>
      </c>
    </row>
    <row r="2252" spans="1:16">
      <c r="A2252" s="286"/>
      <c r="B2252" s="289"/>
      <c r="C2252" s="289"/>
      <c r="D2252" s="66" t="s">
        <v>417</v>
      </c>
      <c r="E2252" t="s">
        <v>1021</v>
      </c>
      <c r="F2252" t="s">
        <v>1021</v>
      </c>
      <c r="G2252" t="s">
        <v>1220</v>
      </c>
      <c r="H2252" s="173">
        <v>44561</v>
      </c>
      <c r="I2252" s="65" t="s">
        <v>970</v>
      </c>
      <c r="K2252" s="71"/>
      <c r="L2252" s="72"/>
      <c r="M2252" s="71"/>
      <c r="N2252" s="216">
        <v>28229</v>
      </c>
      <c r="O2252" s="71">
        <v>27398</v>
      </c>
      <c r="P2252" s="72">
        <v>27883</v>
      </c>
    </row>
    <row r="2253" spans="1:16">
      <c r="A2253" s="286"/>
      <c r="B2253" s="289"/>
      <c r="C2253" s="289"/>
      <c r="D2253" s="112" t="s">
        <v>418</v>
      </c>
      <c r="H2253" s="173"/>
      <c r="I2253" s="65"/>
      <c r="K2253" s="71"/>
      <c r="L2253" s="72"/>
      <c r="M2253" s="71"/>
      <c r="N2253" s="216"/>
      <c r="O2253" s="71"/>
      <c r="P2253" s="72" t="s">
        <v>994</v>
      </c>
    </row>
    <row r="2254" spans="1:16">
      <c r="A2254" s="287"/>
      <c r="B2254" s="290"/>
      <c r="C2254" s="290"/>
      <c r="D2254" s="112" t="s">
        <v>995</v>
      </c>
      <c r="H2254" s="65"/>
      <c r="I2254" s="65"/>
      <c r="K2254" s="71"/>
      <c r="L2254" s="72"/>
      <c r="M2254" s="71"/>
      <c r="N2254" s="216"/>
      <c r="O2254" s="71"/>
      <c r="P2254" s="72" t="s">
        <v>996</v>
      </c>
    </row>
    <row r="2255" spans="1:16">
      <c r="A2255" s="291" t="s">
        <v>949</v>
      </c>
      <c r="B2255" s="288" t="s">
        <v>950</v>
      </c>
      <c r="C2255" s="292" t="s">
        <v>951</v>
      </c>
      <c r="D2255" s="66" t="s">
        <v>411</v>
      </c>
      <c r="E2255" s="204" t="s">
        <v>443</v>
      </c>
      <c r="F2255" s="205"/>
      <c r="G2255" s="106" t="s">
        <v>428</v>
      </c>
      <c r="H2255" s="199">
        <v>44196</v>
      </c>
      <c r="I2255" s="65" t="s">
        <v>970</v>
      </c>
      <c r="K2255" s="71"/>
      <c r="L2255" s="72">
        <v>3740000</v>
      </c>
      <c r="M2255" s="71">
        <v>3780000</v>
      </c>
      <c r="N2255" s="216">
        <v>3970000</v>
      </c>
      <c r="O2255" s="71">
        <v>3930405</v>
      </c>
      <c r="P2255" s="72"/>
    </row>
    <row r="2256" spans="1:16">
      <c r="A2256" s="286"/>
      <c r="B2256" s="289"/>
      <c r="C2256" s="289"/>
      <c r="D2256" s="66" t="s">
        <v>411</v>
      </c>
      <c r="F2256" t="s">
        <v>1018</v>
      </c>
      <c r="G2256" t="s">
        <v>428</v>
      </c>
      <c r="H2256" s="173">
        <v>44196</v>
      </c>
      <c r="I2256" s="65"/>
      <c r="K2256" s="71"/>
      <c r="L2256" s="72">
        <v>2584000</v>
      </c>
      <c r="M2256" s="71">
        <v>2876700</v>
      </c>
      <c r="N2256" s="216">
        <v>3049000</v>
      </c>
      <c r="O2256" s="71">
        <v>3067151</v>
      </c>
      <c r="P2256" s="72"/>
    </row>
    <row r="2257" spans="1:16">
      <c r="A2257" s="286"/>
      <c r="B2257" s="289"/>
      <c r="C2257" s="289"/>
      <c r="D2257" s="66" t="s">
        <v>411</v>
      </c>
      <c r="F2257" t="s">
        <v>1019</v>
      </c>
      <c r="G2257" t="s">
        <v>428</v>
      </c>
      <c r="H2257" s="173">
        <v>44196</v>
      </c>
      <c r="I2257" s="65" t="s">
        <v>970</v>
      </c>
      <c r="K2257" s="71"/>
      <c r="L2257" s="72">
        <v>880000</v>
      </c>
      <c r="M2257" s="71">
        <f t="shared" ref="M2257:N2257" si="107">M2255-M2256</f>
        <v>903300</v>
      </c>
      <c r="N2257" s="216">
        <f t="shared" si="107"/>
        <v>921000</v>
      </c>
      <c r="O2257" s="71">
        <f>O2255-O2256</f>
        <v>863254</v>
      </c>
      <c r="P2257" s="72"/>
    </row>
    <row r="2258" spans="1:16">
      <c r="A2258" s="286"/>
      <c r="B2258" s="289"/>
      <c r="C2258" s="289"/>
      <c r="D2258" s="66" t="s">
        <v>412</v>
      </c>
      <c r="E2258" t="s">
        <v>443</v>
      </c>
      <c r="G2258" t="s">
        <v>428</v>
      </c>
      <c r="H2258" s="173">
        <v>44196</v>
      </c>
      <c r="I2258" s="65" t="s">
        <v>970</v>
      </c>
      <c r="K2258" s="71"/>
      <c r="L2258" s="72">
        <v>220000</v>
      </c>
      <c r="M2258" s="71">
        <v>220000</v>
      </c>
      <c r="N2258" s="216">
        <v>200000</v>
      </c>
      <c r="O2258" s="71">
        <v>217029</v>
      </c>
      <c r="P2258" s="72"/>
    </row>
    <row r="2259" spans="1:16">
      <c r="A2259" s="286"/>
      <c r="B2259" s="289"/>
      <c r="C2259" s="289"/>
      <c r="D2259" s="66" t="s">
        <v>412</v>
      </c>
      <c r="F2259" t="s">
        <v>1018</v>
      </c>
      <c r="G2259" t="s">
        <v>428</v>
      </c>
      <c r="H2259" s="173">
        <v>44196</v>
      </c>
      <c r="I2259" s="65"/>
      <c r="K2259" s="71"/>
      <c r="L2259" s="72">
        <v>173800</v>
      </c>
      <c r="M2259" s="71">
        <v>165700</v>
      </c>
      <c r="N2259" s="216">
        <v>163500</v>
      </c>
      <c r="O2259" s="71">
        <v>177322</v>
      </c>
      <c r="P2259" s="72"/>
    </row>
    <row r="2260" spans="1:16">
      <c r="A2260" s="286"/>
      <c r="B2260" s="289"/>
      <c r="C2260" s="289"/>
      <c r="D2260" s="66" t="s">
        <v>412</v>
      </c>
      <c r="F2260" t="s">
        <v>1019</v>
      </c>
      <c r="G2260" t="s">
        <v>428</v>
      </c>
      <c r="H2260" s="173">
        <v>44196</v>
      </c>
      <c r="I2260" s="65" t="s">
        <v>970</v>
      </c>
      <c r="K2260" s="71"/>
      <c r="L2260" s="72">
        <v>50000</v>
      </c>
      <c r="M2260" s="71">
        <f t="shared" ref="M2260:N2260" si="108">M2258-M2259</f>
        <v>54300</v>
      </c>
      <c r="N2260" s="216">
        <f t="shared" si="108"/>
        <v>36500</v>
      </c>
      <c r="O2260" s="71">
        <f>O2258-O2259</f>
        <v>39707</v>
      </c>
      <c r="P2260" s="72"/>
    </row>
    <row r="2261" spans="1:16">
      <c r="A2261" s="286"/>
      <c r="B2261" s="289"/>
      <c r="C2261" s="289"/>
      <c r="D2261" s="66" t="s">
        <v>414</v>
      </c>
      <c r="E2261" t="s">
        <v>443</v>
      </c>
      <c r="G2261" t="s">
        <v>428</v>
      </c>
      <c r="H2261" s="173">
        <v>44196</v>
      </c>
      <c r="I2261" s="65" t="s">
        <v>970</v>
      </c>
      <c r="K2261" s="71"/>
      <c r="L2261" s="72">
        <f>SUM(L2262:L2263)</f>
        <v>3687800</v>
      </c>
      <c r="M2261" s="71">
        <f t="shared" ref="M2261:O2261" si="109">SUM(M2262:M2263)</f>
        <v>4000000</v>
      </c>
      <c r="N2261" s="216">
        <f t="shared" si="109"/>
        <v>4170000</v>
      </c>
      <c r="O2261" s="71">
        <f t="shared" si="109"/>
        <v>4147434</v>
      </c>
      <c r="P2261" s="72"/>
    </row>
    <row r="2262" spans="1:16">
      <c r="A2262" s="286"/>
      <c r="B2262" s="289"/>
      <c r="C2262" s="289"/>
      <c r="D2262" s="66" t="s">
        <v>414</v>
      </c>
      <c r="F2262" t="s">
        <v>1018</v>
      </c>
      <c r="G2262" t="s">
        <v>428</v>
      </c>
      <c r="H2262" s="173">
        <v>44196</v>
      </c>
      <c r="I2262" s="65"/>
      <c r="K2262" s="71"/>
      <c r="L2262" s="72">
        <f t="shared" ref="L2262:O2263" si="110">L2256+L2259</f>
        <v>2757800</v>
      </c>
      <c r="M2262" s="71">
        <f t="shared" si="110"/>
        <v>3042400</v>
      </c>
      <c r="N2262" s="216">
        <f t="shared" si="110"/>
        <v>3212500</v>
      </c>
      <c r="O2262" s="71">
        <f t="shared" si="110"/>
        <v>3244473</v>
      </c>
      <c r="P2262" s="72"/>
    </row>
    <row r="2263" spans="1:16">
      <c r="A2263" s="286"/>
      <c r="B2263" s="289"/>
      <c r="C2263" s="289"/>
      <c r="D2263" s="66" t="s">
        <v>414</v>
      </c>
      <c r="F2263" t="s">
        <v>1019</v>
      </c>
      <c r="G2263" t="s">
        <v>428</v>
      </c>
      <c r="H2263" s="173">
        <v>44196</v>
      </c>
      <c r="I2263" s="65" t="s">
        <v>970</v>
      </c>
      <c r="K2263" s="71"/>
      <c r="L2263" s="72">
        <f t="shared" si="110"/>
        <v>930000</v>
      </c>
      <c r="M2263" s="71">
        <f t="shared" si="110"/>
        <v>957600</v>
      </c>
      <c r="N2263" s="216">
        <f t="shared" si="110"/>
        <v>957500</v>
      </c>
      <c r="O2263" s="71">
        <f t="shared" si="110"/>
        <v>902961</v>
      </c>
      <c r="P2263" s="72"/>
    </row>
    <row r="2264" spans="1:16">
      <c r="A2264" s="286"/>
      <c r="B2264" s="289"/>
      <c r="C2264" s="289"/>
      <c r="D2264" s="66" t="s">
        <v>415</v>
      </c>
      <c r="E2264" t="s">
        <v>443</v>
      </c>
      <c r="G2264" t="s">
        <v>428</v>
      </c>
      <c r="H2264" s="173">
        <v>44196</v>
      </c>
      <c r="I2264" s="65"/>
      <c r="K2264" s="71"/>
      <c r="L2264" s="72"/>
      <c r="M2264" s="71"/>
      <c r="N2264" s="216">
        <v>401972</v>
      </c>
      <c r="O2264" s="71">
        <v>427255</v>
      </c>
      <c r="P2264" s="72"/>
    </row>
    <row r="2265" spans="1:16" ht="16">
      <c r="A2265" s="286"/>
      <c r="B2265" s="289"/>
      <c r="C2265" s="289"/>
      <c r="D2265" s="198" t="s">
        <v>415</v>
      </c>
      <c r="E2265">
        <v>1</v>
      </c>
      <c r="G2265" t="s">
        <v>428</v>
      </c>
      <c r="H2265" s="173">
        <v>44196</v>
      </c>
      <c r="I2265" s="65"/>
      <c r="K2265" s="71"/>
      <c r="L2265" s="72"/>
      <c r="M2265" s="71"/>
      <c r="N2265" s="216">
        <v>168427</v>
      </c>
      <c r="O2265" s="71">
        <v>186926</v>
      </c>
      <c r="P2265" s="72"/>
    </row>
    <row r="2266" spans="1:16" ht="16">
      <c r="A2266" s="286"/>
      <c r="B2266" s="289"/>
      <c r="C2266" s="289"/>
      <c r="D2266" s="198" t="s">
        <v>415</v>
      </c>
      <c r="E2266">
        <v>3</v>
      </c>
      <c r="G2266" t="s">
        <v>428</v>
      </c>
      <c r="H2266" s="173">
        <v>44196</v>
      </c>
      <c r="I2266" s="65"/>
      <c r="K2266" s="71"/>
      <c r="L2266" s="72"/>
      <c r="M2266" s="71"/>
      <c r="N2266" s="216">
        <v>233451</v>
      </c>
      <c r="O2266" s="71">
        <v>240234</v>
      </c>
      <c r="P2266" s="72"/>
    </row>
    <row r="2267" spans="1:16" ht="16">
      <c r="A2267" s="286"/>
      <c r="B2267" s="289"/>
      <c r="C2267" s="289"/>
      <c r="D2267" s="198" t="s">
        <v>415</v>
      </c>
      <c r="E2267">
        <v>5</v>
      </c>
      <c r="G2267" t="s">
        <v>428</v>
      </c>
      <c r="H2267" s="173">
        <v>44196</v>
      </c>
      <c r="I2267" s="65"/>
      <c r="K2267" s="71"/>
      <c r="L2267" s="72"/>
      <c r="M2267" s="71"/>
      <c r="N2267" s="216">
        <v>24</v>
      </c>
      <c r="O2267" s="71">
        <v>24</v>
      </c>
      <c r="P2267" s="72"/>
    </row>
    <row r="2268" spans="1:16">
      <c r="A2268" s="286"/>
      <c r="B2268" s="289"/>
      <c r="C2268" s="289"/>
      <c r="D2268" s="66" t="s">
        <v>417</v>
      </c>
      <c r="E2268" t="s">
        <v>443</v>
      </c>
      <c r="G2268" t="s">
        <v>1035</v>
      </c>
      <c r="H2268" s="173">
        <v>44196</v>
      </c>
      <c r="I2268" s="65"/>
      <c r="K2268" s="71"/>
      <c r="L2268" s="72"/>
      <c r="M2268" s="71"/>
      <c r="N2268" s="216">
        <v>32283</v>
      </c>
      <c r="O2268" s="71">
        <v>30641</v>
      </c>
      <c r="P2268" s="72"/>
    </row>
    <row r="2269" spans="1:16">
      <c r="A2269" s="286"/>
      <c r="B2269" s="289"/>
      <c r="C2269" s="289"/>
      <c r="D2269" s="66" t="s">
        <v>417</v>
      </c>
      <c r="E2269" t="s">
        <v>1021</v>
      </c>
      <c r="F2269" t="s">
        <v>1021</v>
      </c>
      <c r="G2269" t="s">
        <v>1220</v>
      </c>
      <c r="H2269" s="173">
        <v>44196</v>
      </c>
      <c r="I2269" s="65" t="s">
        <v>970</v>
      </c>
      <c r="K2269" s="71"/>
      <c r="L2269" s="72"/>
      <c r="M2269" s="71"/>
      <c r="N2269" s="216">
        <v>28229</v>
      </c>
      <c r="O2269" s="71">
        <v>27398</v>
      </c>
      <c r="P2269" s="72"/>
    </row>
    <row r="2270" spans="1:16">
      <c r="A2270" s="286"/>
      <c r="B2270" s="289"/>
      <c r="C2270" s="289"/>
      <c r="D2270" s="66" t="s">
        <v>418</v>
      </c>
      <c r="H2270" s="173">
        <v>44196</v>
      </c>
      <c r="I2270" s="65"/>
      <c r="K2270" s="71"/>
      <c r="L2270" s="72"/>
      <c r="M2270" s="71"/>
      <c r="N2270" s="216"/>
      <c r="O2270" s="71" t="s">
        <v>997</v>
      </c>
      <c r="P2270" s="72"/>
    </row>
    <row r="2271" spans="1:16">
      <c r="A2271" s="287"/>
      <c r="B2271" s="290"/>
      <c r="C2271" s="290"/>
      <c r="D2271" s="112" t="s">
        <v>995</v>
      </c>
      <c r="E2271" s="201"/>
      <c r="F2271" s="202"/>
      <c r="H2271" s="65"/>
      <c r="I2271" s="65"/>
      <c r="K2271" s="71"/>
      <c r="L2271" s="72"/>
      <c r="M2271" s="71"/>
      <c r="N2271" s="216"/>
      <c r="O2271" s="71" t="s">
        <v>998</v>
      </c>
      <c r="P2271" s="72"/>
    </row>
    <row r="2272" spans="1:16">
      <c r="A2272" s="291" t="s">
        <v>949</v>
      </c>
      <c r="B2272" s="288" t="s">
        <v>950</v>
      </c>
      <c r="C2272" s="292" t="s">
        <v>951</v>
      </c>
      <c r="D2272" s="179" t="s">
        <v>411</v>
      </c>
      <c r="E2272" s="204" t="s">
        <v>443</v>
      </c>
      <c r="F2272" s="205"/>
      <c r="G2272" s="106" t="s">
        <v>428</v>
      </c>
      <c r="H2272" s="199">
        <v>43830</v>
      </c>
      <c r="I2272" s="65" t="s">
        <v>970</v>
      </c>
      <c r="K2272" s="71">
        <v>4160000</v>
      </c>
      <c r="L2272" s="72">
        <v>3740000</v>
      </c>
      <c r="M2272" s="71">
        <v>3770000</v>
      </c>
      <c r="N2272" s="216">
        <v>3840000</v>
      </c>
      <c r="O2272" s="71"/>
      <c r="P2272" s="72"/>
    </row>
    <row r="2273" spans="1:16">
      <c r="A2273" s="286"/>
      <c r="B2273" s="289"/>
      <c r="C2273" s="289"/>
      <c r="D2273" s="66" t="s">
        <v>411</v>
      </c>
      <c r="F2273" t="s">
        <v>1018</v>
      </c>
      <c r="G2273" t="s">
        <v>428</v>
      </c>
      <c r="H2273" s="173">
        <v>43830</v>
      </c>
      <c r="I2273" s="65"/>
      <c r="K2273" s="71">
        <v>3230000</v>
      </c>
      <c r="L2273" s="72">
        <v>2860000</v>
      </c>
      <c r="M2273" s="71">
        <v>2880000</v>
      </c>
      <c r="N2273" s="216">
        <v>2940000</v>
      </c>
      <c r="O2273" s="71"/>
      <c r="P2273" s="72"/>
    </row>
    <row r="2274" spans="1:16">
      <c r="A2274" s="286"/>
      <c r="B2274" s="289"/>
      <c r="C2274" s="289"/>
      <c r="D2274" s="66" t="s">
        <v>411</v>
      </c>
      <c r="F2274" t="s">
        <v>1019</v>
      </c>
      <c r="G2274" t="s">
        <v>428</v>
      </c>
      <c r="H2274" s="173">
        <v>43830</v>
      </c>
      <c r="I2274" s="65" t="s">
        <v>970</v>
      </c>
      <c r="K2274" s="71">
        <f t="shared" ref="K2274:M2274" si="111">K2272-K2273</f>
        <v>930000</v>
      </c>
      <c r="L2274" s="72">
        <f t="shared" si="111"/>
        <v>880000</v>
      </c>
      <c r="M2274" s="71">
        <f t="shared" si="111"/>
        <v>890000</v>
      </c>
      <c r="N2274" s="216">
        <f>N2272-N2273</f>
        <v>900000</v>
      </c>
      <c r="O2274" s="71"/>
      <c r="P2274" s="72"/>
    </row>
    <row r="2275" spans="1:16">
      <c r="A2275" s="286"/>
      <c r="B2275" s="289"/>
      <c r="C2275" s="289"/>
      <c r="D2275" s="66" t="s">
        <v>412</v>
      </c>
      <c r="E2275" t="s">
        <v>443</v>
      </c>
      <c r="G2275" t="s">
        <v>428</v>
      </c>
      <c r="H2275" s="173">
        <v>43830</v>
      </c>
      <c r="I2275" s="65" t="s">
        <v>970</v>
      </c>
      <c r="K2275" s="71">
        <v>240000</v>
      </c>
      <c r="L2275" s="72">
        <v>220000</v>
      </c>
      <c r="M2275" s="71">
        <v>220000</v>
      </c>
      <c r="N2275" s="216">
        <v>220000</v>
      </c>
      <c r="O2275" s="71"/>
      <c r="P2275" s="72"/>
    </row>
    <row r="2276" spans="1:16">
      <c r="A2276" s="286"/>
      <c r="B2276" s="289"/>
      <c r="C2276" s="289"/>
      <c r="D2276" s="66" t="s">
        <v>412</v>
      </c>
      <c r="F2276" t="s">
        <v>1018</v>
      </c>
      <c r="G2276" t="s">
        <v>428</v>
      </c>
      <c r="H2276" s="173">
        <v>43830</v>
      </c>
      <c r="I2276" s="65"/>
      <c r="K2276" s="71">
        <v>190000</v>
      </c>
      <c r="L2276" s="72">
        <v>170000</v>
      </c>
      <c r="M2276" s="71">
        <v>170000</v>
      </c>
      <c r="N2276" s="216">
        <v>170000</v>
      </c>
      <c r="O2276" s="71"/>
      <c r="P2276" s="72"/>
    </row>
    <row r="2277" spans="1:16">
      <c r="A2277" s="286"/>
      <c r="B2277" s="289"/>
      <c r="C2277" s="289"/>
      <c r="D2277" s="66" t="s">
        <v>412</v>
      </c>
      <c r="F2277" t="s">
        <v>1019</v>
      </c>
      <c r="G2277" t="s">
        <v>428</v>
      </c>
      <c r="H2277" s="173">
        <v>43830</v>
      </c>
      <c r="I2277" s="65" t="s">
        <v>970</v>
      </c>
      <c r="K2277" s="71">
        <f t="shared" ref="K2277:M2277" si="112">K2275-K2276</f>
        <v>50000</v>
      </c>
      <c r="L2277" s="72">
        <f t="shared" si="112"/>
        <v>50000</v>
      </c>
      <c r="M2277" s="71">
        <f t="shared" si="112"/>
        <v>50000</v>
      </c>
      <c r="N2277" s="216">
        <f>N2275-N2276</f>
        <v>50000</v>
      </c>
      <c r="O2277" s="71"/>
      <c r="P2277" s="72"/>
    </row>
    <row r="2278" spans="1:16">
      <c r="A2278" s="286"/>
      <c r="B2278" s="289"/>
      <c r="C2278" s="289"/>
      <c r="D2278" s="66" t="s">
        <v>414</v>
      </c>
      <c r="E2278" t="s">
        <v>443</v>
      </c>
      <c r="G2278" t="s">
        <v>428</v>
      </c>
      <c r="H2278" s="173">
        <v>43830</v>
      </c>
      <c r="I2278" s="65" t="s">
        <v>970</v>
      </c>
      <c r="K2278" s="71">
        <f>SUM(K2279:K2280)</f>
        <v>4400000</v>
      </c>
      <c r="L2278" s="72">
        <f t="shared" ref="L2278:N2278" si="113">SUM(L2279:L2280)</f>
        <v>3960000</v>
      </c>
      <c r="M2278" s="71">
        <f t="shared" si="113"/>
        <v>3990000</v>
      </c>
      <c r="N2278" s="216">
        <f t="shared" si="113"/>
        <v>4060000</v>
      </c>
      <c r="O2278" s="71"/>
      <c r="P2278" s="72"/>
    </row>
    <row r="2279" spans="1:16">
      <c r="A2279" s="286"/>
      <c r="B2279" s="289"/>
      <c r="C2279" s="289"/>
      <c r="D2279" s="66" t="s">
        <v>414</v>
      </c>
      <c r="F2279" t="s">
        <v>1018</v>
      </c>
      <c r="G2279" t="s">
        <v>428</v>
      </c>
      <c r="H2279" s="173">
        <v>43830</v>
      </c>
      <c r="I2279" s="65"/>
      <c r="K2279" s="71">
        <f t="shared" ref="K2279:N2280" si="114">K2273+K2276</f>
        <v>3420000</v>
      </c>
      <c r="L2279" s="72">
        <f t="shared" si="114"/>
        <v>3030000</v>
      </c>
      <c r="M2279" s="71">
        <f t="shared" si="114"/>
        <v>3050000</v>
      </c>
      <c r="N2279" s="216">
        <f t="shared" si="114"/>
        <v>3110000</v>
      </c>
      <c r="O2279" s="71"/>
      <c r="P2279" s="72"/>
    </row>
    <row r="2280" spans="1:16">
      <c r="A2280" s="286"/>
      <c r="B2280" s="289"/>
      <c r="C2280" s="289"/>
      <c r="D2280" s="66" t="s">
        <v>414</v>
      </c>
      <c r="F2280" t="s">
        <v>1019</v>
      </c>
      <c r="G2280" t="s">
        <v>428</v>
      </c>
      <c r="H2280" s="173">
        <v>43830</v>
      </c>
      <c r="I2280" s="65" t="s">
        <v>970</v>
      </c>
      <c r="K2280" s="71">
        <f t="shared" si="114"/>
        <v>980000</v>
      </c>
      <c r="L2280" s="72">
        <f t="shared" si="114"/>
        <v>930000</v>
      </c>
      <c r="M2280" s="71">
        <f t="shared" si="114"/>
        <v>940000</v>
      </c>
      <c r="N2280" s="216">
        <f t="shared" si="114"/>
        <v>950000</v>
      </c>
      <c r="O2280" s="71"/>
      <c r="P2280" s="72"/>
    </row>
    <row r="2281" spans="1:16">
      <c r="A2281" s="286"/>
      <c r="B2281" s="289"/>
      <c r="C2281" s="289"/>
      <c r="D2281" s="66" t="s">
        <v>415</v>
      </c>
      <c r="E2281" t="s">
        <v>443</v>
      </c>
      <c r="G2281" t="s">
        <v>428</v>
      </c>
      <c r="H2281" s="173">
        <v>43830</v>
      </c>
      <c r="I2281" s="65"/>
      <c r="K2281" s="71">
        <v>1000</v>
      </c>
      <c r="L2281" s="72">
        <v>10000</v>
      </c>
      <c r="M2281" s="71">
        <v>65000</v>
      </c>
      <c r="N2281" s="216">
        <v>405000</v>
      </c>
      <c r="O2281" s="71"/>
      <c r="P2281" s="72"/>
    </row>
    <row r="2282" spans="1:16" ht="16">
      <c r="A2282" s="286"/>
      <c r="B2282" s="289"/>
      <c r="C2282" s="289"/>
      <c r="D2282" s="198" t="s">
        <v>415</v>
      </c>
      <c r="E2282">
        <v>1</v>
      </c>
      <c r="G2282" t="s">
        <v>428</v>
      </c>
      <c r="H2282" s="173">
        <v>43830</v>
      </c>
      <c r="I2282" s="65"/>
      <c r="K2282" s="71"/>
      <c r="L2282" s="72"/>
      <c r="M2282" s="71"/>
      <c r="N2282" s="216">
        <v>168427</v>
      </c>
      <c r="O2282" s="71"/>
      <c r="P2282" s="72"/>
    </row>
    <row r="2283" spans="1:16" ht="16">
      <c r="A2283" s="286"/>
      <c r="B2283" s="289"/>
      <c r="C2283" s="289"/>
      <c r="D2283" s="198" t="s">
        <v>415</v>
      </c>
      <c r="E2283">
        <v>3</v>
      </c>
      <c r="G2283" t="s">
        <v>428</v>
      </c>
      <c r="H2283" s="173">
        <v>43830</v>
      </c>
      <c r="I2283" s="65"/>
      <c r="K2283" s="71"/>
      <c r="L2283" s="72"/>
      <c r="M2283" s="71"/>
      <c r="N2283" s="216">
        <v>233451</v>
      </c>
      <c r="O2283" s="71"/>
      <c r="P2283" s="72"/>
    </row>
    <row r="2284" spans="1:16" ht="16">
      <c r="A2284" s="286"/>
      <c r="B2284" s="289"/>
      <c r="C2284" s="289"/>
      <c r="D2284" s="198" t="s">
        <v>415</v>
      </c>
      <c r="E2284">
        <v>5</v>
      </c>
      <c r="G2284" t="s">
        <v>428</v>
      </c>
      <c r="H2284" s="173">
        <v>43830</v>
      </c>
      <c r="I2284" s="65"/>
      <c r="K2284" s="71"/>
      <c r="L2284" s="72"/>
      <c r="M2284" s="71"/>
      <c r="N2284" s="216">
        <v>24</v>
      </c>
      <c r="O2284" s="71"/>
      <c r="P2284" s="72"/>
    </row>
    <row r="2285" spans="1:16">
      <c r="A2285" s="286"/>
      <c r="B2285" s="289"/>
      <c r="C2285" s="289"/>
      <c r="D2285" s="66" t="s">
        <v>417</v>
      </c>
      <c r="E2285" t="s">
        <v>443</v>
      </c>
      <c r="G2285" t="s">
        <v>1035</v>
      </c>
      <c r="H2285" s="173">
        <v>43830</v>
      </c>
      <c r="I2285" s="65"/>
      <c r="K2285" s="71">
        <v>33543</v>
      </c>
      <c r="L2285" s="72">
        <v>31981</v>
      </c>
      <c r="M2285" s="71">
        <v>32503</v>
      </c>
      <c r="N2285" s="216">
        <v>32283</v>
      </c>
      <c r="O2285" s="71"/>
      <c r="P2285" s="72"/>
    </row>
    <row r="2286" spans="1:16">
      <c r="A2286" s="286"/>
      <c r="B2286" s="289"/>
      <c r="C2286" s="289"/>
      <c r="D2286" s="66" t="s">
        <v>417</v>
      </c>
      <c r="E2286" t="s">
        <v>1021</v>
      </c>
      <c r="F2286" t="s">
        <v>1021</v>
      </c>
      <c r="G2286" t="s">
        <v>1220</v>
      </c>
      <c r="H2286" s="173">
        <v>43830</v>
      </c>
      <c r="I2286" s="65" t="s">
        <v>970</v>
      </c>
      <c r="K2286" s="71">
        <v>28119</v>
      </c>
      <c r="L2286" s="72">
        <v>27501</v>
      </c>
      <c r="M2286" s="71">
        <v>28118</v>
      </c>
      <c r="N2286" s="216">
        <v>28229</v>
      </c>
      <c r="O2286" s="71"/>
      <c r="P2286" s="72"/>
    </row>
    <row r="2287" spans="1:16">
      <c r="A2287" s="286"/>
      <c r="B2287" s="289"/>
      <c r="C2287" s="289"/>
      <c r="D2287" s="66" t="s">
        <v>418</v>
      </c>
      <c r="H2287" s="173">
        <v>43830</v>
      </c>
      <c r="I2287" s="65"/>
      <c r="K2287" s="71"/>
      <c r="L2287" s="72"/>
      <c r="M2287" s="71"/>
      <c r="N2287" s="216" t="s">
        <v>999</v>
      </c>
      <c r="O2287" s="71"/>
      <c r="P2287" s="72"/>
    </row>
    <row r="2288" spans="1:16">
      <c r="A2288" s="287"/>
      <c r="B2288" s="290"/>
      <c r="C2288" s="290"/>
      <c r="D2288" s="66" t="s">
        <v>995</v>
      </c>
      <c r="E2288" s="202"/>
      <c r="F2288" s="202"/>
      <c r="G2288" s="202"/>
      <c r="H2288" s="203"/>
      <c r="I2288" s="203"/>
      <c r="K2288" s="71"/>
      <c r="L2288" s="72"/>
      <c r="M2288" s="71"/>
      <c r="N2288" s="216" t="s">
        <v>1000</v>
      </c>
      <c r="O2288" s="71"/>
      <c r="P2288" s="72"/>
    </row>
    <row r="2289" spans="1:16">
      <c r="A2289" s="291" t="s">
        <v>949</v>
      </c>
      <c r="B2289" s="288" t="s">
        <v>950</v>
      </c>
      <c r="C2289" s="292" t="s">
        <v>951</v>
      </c>
      <c r="D2289" s="179" t="s">
        <v>411</v>
      </c>
      <c r="E2289" t="s">
        <v>443</v>
      </c>
      <c r="G2289" t="s">
        <v>428</v>
      </c>
      <c r="H2289" s="173">
        <v>43465</v>
      </c>
      <c r="I2289" s="65" t="s">
        <v>970</v>
      </c>
      <c r="K2289" s="71">
        <v>4160000</v>
      </c>
      <c r="L2289" s="72">
        <v>3740000</v>
      </c>
      <c r="M2289" s="71">
        <v>3770000</v>
      </c>
      <c r="N2289" s="216"/>
      <c r="O2289" s="71"/>
      <c r="P2289" s="72"/>
    </row>
    <row r="2290" spans="1:16">
      <c r="A2290" s="286"/>
      <c r="B2290" s="289"/>
      <c r="C2290" s="289"/>
      <c r="D2290" s="66" t="s">
        <v>411</v>
      </c>
      <c r="F2290" t="s">
        <v>1018</v>
      </c>
      <c r="G2290" t="s">
        <v>428</v>
      </c>
      <c r="H2290" s="173">
        <v>43465</v>
      </c>
      <c r="I2290" s="65"/>
      <c r="K2290" s="71">
        <v>3230000</v>
      </c>
      <c r="L2290" s="72">
        <v>2860000</v>
      </c>
      <c r="M2290" s="71">
        <v>2880000</v>
      </c>
      <c r="N2290" s="216"/>
      <c r="O2290" s="71"/>
      <c r="P2290" s="72"/>
    </row>
    <row r="2291" spans="1:16">
      <c r="A2291" s="286"/>
      <c r="B2291" s="289"/>
      <c r="C2291" s="289"/>
      <c r="D2291" s="66" t="s">
        <v>411</v>
      </c>
      <c r="F2291" t="s">
        <v>1019</v>
      </c>
      <c r="G2291" t="s">
        <v>428</v>
      </c>
      <c r="H2291" s="173">
        <v>43465</v>
      </c>
      <c r="I2291" s="65" t="s">
        <v>970</v>
      </c>
      <c r="K2291" s="71">
        <f t="shared" ref="K2291:L2291" si="115">K2289-K2290</f>
        <v>930000</v>
      </c>
      <c r="L2291" s="72">
        <f t="shared" si="115"/>
        <v>880000</v>
      </c>
      <c r="M2291" s="71">
        <f>M2289-M2290</f>
        <v>890000</v>
      </c>
      <c r="N2291" s="216"/>
      <c r="O2291" s="71"/>
      <c r="P2291" s="72"/>
    </row>
    <row r="2292" spans="1:16">
      <c r="A2292" s="286"/>
      <c r="B2292" s="289"/>
      <c r="C2292" s="289"/>
      <c r="D2292" s="66" t="s">
        <v>412</v>
      </c>
      <c r="E2292" t="s">
        <v>443</v>
      </c>
      <c r="G2292" t="s">
        <v>428</v>
      </c>
      <c r="H2292" s="173">
        <v>43465</v>
      </c>
      <c r="I2292" s="65" t="s">
        <v>970</v>
      </c>
      <c r="K2292" s="71">
        <v>240000</v>
      </c>
      <c r="L2292" s="72">
        <v>220000</v>
      </c>
      <c r="M2292" s="71">
        <v>220000</v>
      </c>
      <c r="N2292" s="216"/>
      <c r="O2292" s="71"/>
      <c r="P2292" s="72"/>
    </row>
    <row r="2293" spans="1:16">
      <c r="A2293" s="286"/>
      <c r="B2293" s="289"/>
      <c r="C2293" s="289"/>
      <c r="D2293" s="66" t="s">
        <v>412</v>
      </c>
      <c r="F2293" t="s">
        <v>1018</v>
      </c>
      <c r="G2293" t="s">
        <v>428</v>
      </c>
      <c r="H2293" s="173">
        <v>43465</v>
      </c>
      <c r="I2293" s="65"/>
      <c r="K2293" s="71">
        <v>190000</v>
      </c>
      <c r="L2293" s="72">
        <v>170000</v>
      </c>
      <c r="M2293" s="71">
        <v>170000</v>
      </c>
      <c r="N2293" s="216"/>
      <c r="O2293" s="71"/>
      <c r="P2293" s="72"/>
    </row>
    <row r="2294" spans="1:16">
      <c r="A2294" s="286"/>
      <c r="B2294" s="289"/>
      <c r="C2294" s="289"/>
      <c r="D2294" s="66" t="s">
        <v>412</v>
      </c>
      <c r="F2294" t="s">
        <v>1019</v>
      </c>
      <c r="G2294" t="s">
        <v>428</v>
      </c>
      <c r="H2294" s="173">
        <v>43465</v>
      </c>
      <c r="I2294" s="65" t="s">
        <v>970</v>
      </c>
      <c r="K2294" s="71">
        <f t="shared" ref="K2294:L2294" si="116">K2292-K2293</f>
        <v>50000</v>
      </c>
      <c r="L2294" s="72">
        <f t="shared" si="116"/>
        <v>50000</v>
      </c>
      <c r="M2294" s="71">
        <f>M2292-M2293</f>
        <v>50000</v>
      </c>
      <c r="N2294" s="216"/>
      <c r="O2294" s="71"/>
      <c r="P2294" s="72"/>
    </row>
    <row r="2295" spans="1:16">
      <c r="A2295" s="286"/>
      <c r="B2295" s="289"/>
      <c r="C2295" s="289"/>
      <c r="D2295" s="66" t="s">
        <v>414</v>
      </c>
      <c r="E2295" t="s">
        <v>443</v>
      </c>
      <c r="G2295" t="s">
        <v>428</v>
      </c>
      <c r="H2295" s="173">
        <v>43465</v>
      </c>
      <c r="I2295" s="65" t="s">
        <v>970</v>
      </c>
      <c r="K2295" s="71">
        <f>SUM(K2296:K2297)</f>
        <v>4400000</v>
      </c>
      <c r="L2295" s="72">
        <f t="shared" ref="L2295:M2295" si="117">SUM(L2296:L2297)</f>
        <v>3960000</v>
      </c>
      <c r="M2295" s="71">
        <f t="shared" si="117"/>
        <v>3990000</v>
      </c>
      <c r="N2295" s="216"/>
      <c r="O2295" s="71"/>
      <c r="P2295" s="72"/>
    </row>
    <row r="2296" spans="1:16">
      <c r="A2296" s="286"/>
      <c r="B2296" s="289"/>
      <c r="C2296" s="289"/>
      <c r="D2296" s="66" t="s">
        <v>414</v>
      </c>
      <c r="F2296" t="s">
        <v>1018</v>
      </c>
      <c r="G2296" t="s">
        <v>428</v>
      </c>
      <c r="H2296" s="173">
        <v>43465</v>
      </c>
      <c r="I2296" s="65"/>
      <c r="K2296" s="71">
        <f t="shared" ref="K2296:M2297" si="118">K2290+K2293</f>
        <v>3420000</v>
      </c>
      <c r="L2296" s="72">
        <f t="shared" si="118"/>
        <v>3030000</v>
      </c>
      <c r="M2296" s="71">
        <f t="shared" si="118"/>
        <v>3050000</v>
      </c>
      <c r="N2296" s="216"/>
      <c r="O2296" s="71"/>
      <c r="P2296" s="72"/>
    </row>
    <row r="2297" spans="1:16">
      <c r="A2297" s="286"/>
      <c r="B2297" s="289"/>
      <c r="C2297" s="289"/>
      <c r="D2297" s="66" t="s">
        <v>414</v>
      </c>
      <c r="F2297" t="s">
        <v>1019</v>
      </c>
      <c r="G2297" t="s">
        <v>428</v>
      </c>
      <c r="H2297" s="173">
        <v>43465</v>
      </c>
      <c r="I2297" s="65" t="s">
        <v>970</v>
      </c>
      <c r="K2297" s="71">
        <f t="shared" si="118"/>
        <v>980000</v>
      </c>
      <c r="L2297" s="72">
        <f t="shared" si="118"/>
        <v>930000</v>
      </c>
      <c r="M2297" s="71">
        <f t="shared" si="118"/>
        <v>940000</v>
      </c>
      <c r="N2297" s="216"/>
      <c r="O2297" s="71"/>
      <c r="P2297" s="72"/>
    </row>
    <row r="2298" spans="1:16">
      <c r="A2298" s="286"/>
      <c r="B2298" s="289"/>
      <c r="C2298" s="289"/>
      <c r="D2298" s="66" t="s">
        <v>415</v>
      </c>
      <c r="G2298" t="s">
        <v>428</v>
      </c>
      <c r="H2298" s="173">
        <v>43465</v>
      </c>
      <c r="I2298" s="65"/>
      <c r="K2298" s="71">
        <v>1150</v>
      </c>
      <c r="L2298" s="72">
        <v>9700</v>
      </c>
      <c r="M2298" s="71">
        <v>64850</v>
      </c>
      <c r="N2298" s="216"/>
      <c r="O2298" s="71"/>
      <c r="P2298" s="72"/>
    </row>
    <row r="2299" spans="1:16">
      <c r="A2299" s="286"/>
      <c r="B2299" s="289"/>
      <c r="C2299" s="289"/>
      <c r="D2299" s="66" t="s">
        <v>417</v>
      </c>
      <c r="E2299" t="s">
        <v>443</v>
      </c>
      <c r="G2299" t="s">
        <v>1035</v>
      </c>
      <c r="H2299" s="173">
        <v>43465</v>
      </c>
      <c r="I2299" s="65"/>
      <c r="K2299" s="71">
        <v>33543</v>
      </c>
      <c r="L2299" s="72">
        <v>31981</v>
      </c>
      <c r="M2299" s="71">
        <v>32503</v>
      </c>
      <c r="N2299" s="216"/>
      <c r="O2299" s="71"/>
      <c r="P2299" s="72"/>
    </row>
    <row r="2300" spans="1:16">
      <c r="A2300" s="286"/>
      <c r="B2300" s="289"/>
      <c r="C2300" s="289"/>
      <c r="D2300" s="66" t="s">
        <v>417</v>
      </c>
      <c r="E2300" t="s">
        <v>1021</v>
      </c>
      <c r="F2300" t="s">
        <v>1021</v>
      </c>
      <c r="G2300" t="s">
        <v>1220</v>
      </c>
      <c r="H2300" s="173">
        <v>43465</v>
      </c>
      <c r="I2300" s="65" t="s">
        <v>970</v>
      </c>
      <c r="K2300" s="71">
        <v>28119</v>
      </c>
      <c r="L2300" s="72">
        <v>27501</v>
      </c>
      <c r="M2300" s="71">
        <v>28118</v>
      </c>
      <c r="N2300" s="216"/>
      <c r="O2300" s="71"/>
      <c r="P2300" s="72"/>
    </row>
    <row r="2301" spans="1:16">
      <c r="A2301" s="286"/>
      <c r="B2301" s="289"/>
      <c r="C2301" s="289"/>
      <c r="D2301" s="66" t="s">
        <v>418</v>
      </c>
      <c r="H2301" s="173"/>
      <c r="I2301" s="65"/>
      <c r="K2301" s="71"/>
      <c r="L2301" s="72"/>
      <c r="M2301" s="71" t="s">
        <v>1001</v>
      </c>
      <c r="N2301" s="216"/>
      <c r="O2301" s="71"/>
      <c r="P2301" s="72"/>
    </row>
    <row r="2302" spans="1:16">
      <c r="A2302" s="287"/>
      <c r="B2302" s="290"/>
      <c r="C2302" s="290"/>
      <c r="D2302" s="112" t="s">
        <v>995</v>
      </c>
      <c r="E2302" s="212"/>
      <c r="H2302" s="65"/>
      <c r="I2302" s="65"/>
      <c r="K2302" s="71"/>
      <c r="L2302" s="72"/>
      <c r="M2302" s="71" t="s">
        <v>1002</v>
      </c>
      <c r="N2302" s="216" t="s">
        <v>1000</v>
      </c>
      <c r="O2302" s="71" t="s">
        <v>998</v>
      </c>
      <c r="P2302" s="72" t="s">
        <v>996</v>
      </c>
    </row>
    <row r="2303" spans="1:16">
      <c r="A2303" s="291" t="s">
        <v>949</v>
      </c>
      <c r="B2303" s="288" t="s">
        <v>950</v>
      </c>
      <c r="C2303" s="292" t="s">
        <v>951</v>
      </c>
      <c r="D2303" s="66" t="s">
        <v>411</v>
      </c>
      <c r="E2303" s="205" t="s">
        <v>443</v>
      </c>
      <c r="F2303" s="205"/>
      <c r="G2303" s="205" t="s">
        <v>428</v>
      </c>
      <c r="H2303" s="208">
        <v>43100</v>
      </c>
      <c r="I2303" s="65" t="s">
        <v>970</v>
      </c>
      <c r="K2303" s="71">
        <v>4160000</v>
      </c>
      <c r="L2303" s="72">
        <v>3740000</v>
      </c>
      <c r="M2303" s="71"/>
      <c r="N2303" s="216"/>
      <c r="O2303" s="71"/>
      <c r="P2303" s="72"/>
    </row>
    <row r="2304" spans="1:16">
      <c r="A2304" s="286"/>
      <c r="B2304" s="289"/>
      <c r="C2304" s="289"/>
      <c r="D2304" s="66" t="s">
        <v>411</v>
      </c>
      <c r="F2304" t="s">
        <v>1018</v>
      </c>
      <c r="G2304" t="s">
        <v>428</v>
      </c>
      <c r="H2304" s="173">
        <v>43100</v>
      </c>
      <c r="I2304" s="65"/>
      <c r="K2304" s="71">
        <v>3230000</v>
      </c>
      <c r="L2304" s="72">
        <v>2860000</v>
      </c>
      <c r="M2304" s="71"/>
      <c r="N2304" s="216"/>
      <c r="O2304" s="71"/>
      <c r="P2304" s="72"/>
    </row>
    <row r="2305" spans="1:16">
      <c r="A2305" s="286"/>
      <c r="B2305" s="289"/>
      <c r="C2305" s="289"/>
      <c r="D2305" s="66" t="s">
        <v>411</v>
      </c>
      <c r="F2305" t="s">
        <v>1019</v>
      </c>
      <c r="G2305" t="s">
        <v>428</v>
      </c>
      <c r="H2305" s="173">
        <v>43100</v>
      </c>
      <c r="I2305" s="65" t="s">
        <v>970</v>
      </c>
      <c r="K2305" s="71">
        <f>K2303-K2304</f>
        <v>930000</v>
      </c>
      <c r="L2305" s="72">
        <f>L2303-L2304</f>
        <v>880000</v>
      </c>
      <c r="M2305" s="71"/>
      <c r="N2305" s="216"/>
      <c r="O2305" s="71"/>
      <c r="P2305" s="72"/>
    </row>
    <row r="2306" spans="1:16">
      <c r="A2306" s="286"/>
      <c r="B2306" s="289"/>
      <c r="C2306" s="289"/>
      <c r="D2306" s="66" t="s">
        <v>412</v>
      </c>
      <c r="E2306" t="s">
        <v>443</v>
      </c>
      <c r="G2306" t="s">
        <v>428</v>
      </c>
      <c r="H2306" s="173">
        <v>43100</v>
      </c>
      <c r="I2306" s="65" t="s">
        <v>970</v>
      </c>
      <c r="K2306" s="71">
        <v>240000</v>
      </c>
      <c r="L2306" s="72">
        <v>220000</v>
      </c>
      <c r="M2306" s="71"/>
      <c r="N2306" s="216"/>
      <c r="O2306" s="71"/>
      <c r="P2306" s="72"/>
    </row>
    <row r="2307" spans="1:16">
      <c r="A2307" s="286"/>
      <c r="B2307" s="289"/>
      <c r="C2307" s="289"/>
      <c r="D2307" s="66" t="s">
        <v>412</v>
      </c>
      <c r="F2307" t="s">
        <v>1018</v>
      </c>
      <c r="G2307" t="s">
        <v>428</v>
      </c>
      <c r="H2307" s="173">
        <v>43100</v>
      </c>
      <c r="I2307" s="65"/>
      <c r="K2307" s="71">
        <v>190000</v>
      </c>
      <c r="L2307" s="72">
        <v>170000</v>
      </c>
      <c r="M2307" s="71"/>
      <c r="N2307" s="216"/>
      <c r="O2307" s="71"/>
      <c r="P2307" s="72"/>
    </row>
    <row r="2308" spans="1:16">
      <c r="A2308" s="286"/>
      <c r="B2308" s="289"/>
      <c r="C2308" s="289"/>
      <c r="D2308" s="66" t="s">
        <v>412</v>
      </c>
      <c r="F2308" t="s">
        <v>1019</v>
      </c>
      <c r="G2308" t="s">
        <v>428</v>
      </c>
      <c r="H2308" s="173">
        <v>43100</v>
      </c>
      <c r="I2308" s="65" t="s">
        <v>970</v>
      </c>
      <c r="K2308" s="71">
        <f>K2306-K2307</f>
        <v>50000</v>
      </c>
      <c r="L2308" s="72">
        <f>L2306-L2307</f>
        <v>50000</v>
      </c>
      <c r="M2308" s="71"/>
      <c r="N2308" s="216"/>
      <c r="O2308" s="71"/>
      <c r="P2308" s="72"/>
    </row>
    <row r="2309" spans="1:16">
      <c r="A2309" s="286"/>
      <c r="B2309" s="289"/>
      <c r="C2309" s="289"/>
      <c r="D2309" s="66" t="s">
        <v>414</v>
      </c>
      <c r="E2309" t="s">
        <v>443</v>
      </c>
      <c r="G2309" t="s">
        <v>428</v>
      </c>
      <c r="H2309" s="173">
        <v>43100</v>
      </c>
      <c r="I2309" s="65" t="s">
        <v>970</v>
      </c>
      <c r="K2309" s="71">
        <f>SUM(K2310:K2311)</f>
        <v>4400000</v>
      </c>
      <c r="L2309" s="72">
        <f t="shared" ref="L2309" si="119">SUM(L2310:L2311)</f>
        <v>3960000</v>
      </c>
      <c r="M2309" s="71"/>
      <c r="N2309" s="216"/>
      <c r="O2309" s="71"/>
      <c r="P2309" s="72"/>
    </row>
    <row r="2310" spans="1:16">
      <c r="A2310" s="286"/>
      <c r="B2310" s="289"/>
      <c r="C2310" s="289"/>
      <c r="D2310" s="66" t="s">
        <v>414</v>
      </c>
      <c r="F2310" t="s">
        <v>1018</v>
      </c>
      <c r="G2310" t="s">
        <v>428</v>
      </c>
      <c r="H2310" s="173">
        <v>43100</v>
      </c>
      <c r="I2310" s="65"/>
      <c r="K2310" s="71">
        <f>K2304+K2307</f>
        <v>3420000</v>
      </c>
      <c r="L2310" s="72">
        <f>L2304+L2307</f>
        <v>3030000</v>
      </c>
      <c r="M2310" s="71"/>
      <c r="N2310" s="216"/>
      <c r="O2310" s="71"/>
      <c r="P2310" s="72"/>
    </row>
    <row r="2311" spans="1:16">
      <c r="A2311" s="286"/>
      <c r="B2311" s="289"/>
      <c r="C2311" s="289"/>
      <c r="D2311" s="66" t="s">
        <v>414</v>
      </c>
      <c r="F2311" t="s">
        <v>1019</v>
      </c>
      <c r="G2311" t="s">
        <v>428</v>
      </c>
      <c r="H2311" s="173">
        <v>43100</v>
      </c>
      <c r="I2311" s="65" t="s">
        <v>970</v>
      </c>
      <c r="K2311" s="71">
        <f>K2305+K2308</f>
        <v>980000</v>
      </c>
      <c r="L2311" s="72">
        <f>L2305+L2308</f>
        <v>930000</v>
      </c>
      <c r="M2311" s="71"/>
      <c r="N2311" s="216"/>
      <c r="O2311" s="71"/>
      <c r="P2311" s="72"/>
    </row>
    <row r="2312" spans="1:16">
      <c r="A2312" s="286"/>
      <c r="B2312" s="289"/>
      <c r="C2312" s="289"/>
      <c r="D2312" s="66" t="s">
        <v>415</v>
      </c>
      <c r="G2312" t="s">
        <v>428</v>
      </c>
      <c r="H2312" s="173">
        <v>43100</v>
      </c>
      <c r="I2312" s="65"/>
      <c r="K2312" s="71">
        <v>1100</v>
      </c>
      <c r="L2312" s="72">
        <v>9703</v>
      </c>
      <c r="M2312" s="71"/>
      <c r="N2312" s="216"/>
      <c r="O2312" s="71"/>
      <c r="P2312" s="72"/>
    </row>
    <row r="2313" spans="1:16">
      <c r="A2313" s="286"/>
      <c r="B2313" s="289"/>
      <c r="C2313" s="289"/>
      <c r="D2313" s="66" t="s">
        <v>417</v>
      </c>
      <c r="E2313" t="s">
        <v>443</v>
      </c>
      <c r="G2313" t="s">
        <v>1035</v>
      </c>
      <c r="H2313" s="173">
        <v>43100</v>
      </c>
      <c r="I2313" s="65"/>
      <c r="K2313" s="71">
        <v>33543</v>
      </c>
      <c r="L2313" s="72">
        <v>31981</v>
      </c>
      <c r="M2313" s="71"/>
      <c r="N2313" s="216"/>
      <c r="O2313" s="71"/>
      <c r="P2313" s="72"/>
    </row>
    <row r="2314" spans="1:16">
      <c r="A2314" s="286"/>
      <c r="B2314" s="289"/>
      <c r="C2314" s="289"/>
      <c r="D2314" s="66" t="s">
        <v>417</v>
      </c>
      <c r="E2314" t="s">
        <v>1021</v>
      </c>
      <c r="F2314" t="s">
        <v>1021</v>
      </c>
      <c r="G2314" t="s">
        <v>1220</v>
      </c>
      <c r="H2314" s="173">
        <v>43100</v>
      </c>
      <c r="I2314" s="65" t="s">
        <v>970</v>
      </c>
      <c r="K2314" s="71">
        <v>28119</v>
      </c>
      <c r="L2314" s="72">
        <v>27501</v>
      </c>
      <c r="M2314" s="71"/>
      <c r="N2314" s="216"/>
      <c r="O2314" s="71"/>
      <c r="P2314" s="72"/>
    </row>
    <row r="2315" spans="1:16">
      <c r="A2315" s="286"/>
      <c r="B2315" s="289"/>
      <c r="C2315" s="289"/>
      <c r="D2315" s="66" t="s">
        <v>418</v>
      </c>
      <c r="H2315" s="173">
        <v>43100</v>
      </c>
      <c r="I2315" s="65"/>
      <c r="K2315" s="71"/>
      <c r="L2315" s="72" t="s">
        <v>1003</v>
      </c>
      <c r="M2315" s="71"/>
      <c r="N2315" s="216"/>
      <c r="O2315" s="71"/>
      <c r="P2315" s="72"/>
    </row>
    <row r="2316" spans="1:16">
      <c r="A2316" s="287"/>
      <c r="B2316" s="290"/>
      <c r="C2316" s="290"/>
      <c r="D2316" s="66" t="s">
        <v>995</v>
      </c>
      <c r="E2316" s="202"/>
      <c r="F2316" s="202"/>
      <c r="G2316" s="202"/>
      <c r="H2316" s="203"/>
      <c r="I2316" s="203"/>
      <c r="K2316" s="71"/>
      <c r="L2316" s="72"/>
      <c r="M2316" s="71"/>
      <c r="N2316" s="216"/>
      <c r="O2316" s="71"/>
      <c r="P2316" s="72"/>
    </row>
    <row r="2317" spans="1:16">
      <c r="A2317" s="285" t="s">
        <v>959</v>
      </c>
      <c r="B2317" s="288" t="s">
        <v>960</v>
      </c>
      <c r="C2317" s="288" t="s">
        <v>961</v>
      </c>
      <c r="D2317" s="66" t="s">
        <v>411</v>
      </c>
      <c r="E2317" s="205"/>
      <c r="F2317" s="205"/>
      <c r="G2317" s="205" t="s">
        <v>429</v>
      </c>
      <c r="H2317" s="208">
        <v>44561</v>
      </c>
      <c r="I2317" s="206"/>
      <c r="K2317" s="71"/>
      <c r="L2317" s="72">
        <v>42.9</v>
      </c>
      <c r="M2317" s="71">
        <v>43.4</v>
      </c>
      <c r="N2317" s="216">
        <v>39</v>
      </c>
      <c r="O2317" s="71">
        <v>37.5</v>
      </c>
      <c r="P2317" s="72">
        <v>38.4</v>
      </c>
    </row>
    <row r="2318" spans="1:16">
      <c r="A2318" s="286"/>
      <c r="B2318" s="289"/>
      <c r="C2318" s="289"/>
      <c r="D2318" s="200" t="s">
        <v>412</v>
      </c>
      <c r="E2318" t="s">
        <v>420</v>
      </c>
      <c r="G2318" t="s">
        <v>429</v>
      </c>
      <c r="H2318" s="173">
        <v>44561</v>
      </c>
      <c r="I2318" s="65"/>
      <c r="K2318" s="71"/>
      <c r="L2318" s="72">
        <v>3.6</v>
      </c>
      <c r="M2318" s="71">
        <v>3.6</v>
      </c>
      <c r="N2318" s="216">
        <v>3.4</v>
      </c>
      <c r="O2318" s="71">
        <v>3.4</v>
      </c>
      <c r="P2318" s="72">
        <v>3.7</v>
      </c>
    </row>
    <row r="2319" spans="1:16">
      <c r="A2319" s="286"/>
      <c r="B2319" s="289"/>
      <c r="C2319" s="289"/>
      <c r="D2319" s="66" t="s">
        <v>414</v>
      </c>
      <c r="G2319" t="s">
        <v>429</v>
      </c>
      <c r="H2319" s="173">
        <v>44561</v>
      </c>
      <c r="I2319" s="65"/>
      <c r="K2319" s="71"/>
      <c r="L2319" s="72">
        <f>L2317+L2318</f>
        <v>46.5</v>
      </c>
      <c r="M2319" s="71">
        <f>M2317+M2318</f>
        <v>47</v>
      </c>
      <c r="N2319" s="216">
        <f>N2317+N2318</f>
        <v>42.4</v>
      </c>
      <c r="O2319" s="71">
        <f>O2317+O2318</f>
        <v>40.9</v>
      </c>
      <c r="P2319" s="72">
        <f>P2317+P2318</f>
        <v>42.1</v>
      </c>
    </row>
    <row r="2320" spans="1:16">
      <c r="A2320" s="286"/>
      <c r="B2320" s="289"/>
      <c r="C2320" s="289"/>
      <c r="D2320" s="66" t="s">
        <v>600</v>
      </c>
      <c r="E2320" t="s">
        <v>424</v>
      </c>
      <c r="G2320" t="s">
        <v>1032</v>
      </c>
      <c r="H2320" s="173">
        <v>44561</v>
      </c>
      <c r="I2320" s="65"/>
      <c r="K2320" s="71"/>
      <c r="L2320" s="72">
        <v>636</v>
      </c>
      <c r="M2320" s="71">
        <v>630</v>
      </c>
      <c r="N2320" s="216">
        <v>622</v>
      </c>
      <c r="O2320" s="71">
        <v>620</v>
      </c>
      <c r="P2320" s="72">
        <v>591</v>
      </c>
    </row>
    <row r="2321" spans="1:16">
      <c r="A2321" s="286"/>
      <c r="B2321" s="289"/>
      <c r="C2321" s="289"/>
      <c r="D2321" s="66" t="s">
        <v>415</v>
      </c>
      <c r="G2321" t="s">
        <v>429</v>
      </c>
      <c r="H2321" s="173">
        <v>44561</v>
      </c>
      <c r="I2321" s="65"/>
      <c r="K2321" s="71"/>
      <c r="L2321" s="72"/>
      <c r="M2321" s="71"/>
      <c r="N2321" s="216">
        <v>10.9</v>
      </c>
      <c r="O2321" s="71">
        <v>10.4</v>
      </c>
      <c r="P2321" s="72">
        <v>10.7</v>
      </c>
    </row>
    <row r="2322" spans="1:16">
      <c r="A2322" s="286"/>
      <c r="B2322" s="289"/>
      <c r="C2322" s="289"/>
      <c r="D2322" s="66" t="s">
        <v>417</v>
      </c>
      <c r="G2322" t="s">
        <v>748</v>
      </c>
      <c r="H2322" s="173">
        <v>44561</v>
      </c>
      <c r="I2322" s="65" t="s">
        <v>970</v>
      </c>
      <c r="K2322" s="71"/>
      <c r="L2322" s="72"/>
      <c r="M2322" s="71"/>
      <c r="N2322" s="216"/>
      <c r="O2322" s="71"/>
      <c r="P2322" s="72">
        <v>14548</v>
      </c>
    </row>
    <row r="2323" spans="1:16">
      <c r="A2323" s="287"/>
      <c r="B2323" s="290"/>
      <c r="C2323" s="290"/>
      <c r="D2323" s="66" t="s">
        <v>418</v>
      </c>
      <c r="E2323" s="201"/>
      <c r="F2323" s="202"/>
      <c r="G2323" s="202"/>
      <c r="H2323" s="203"/>
      <c r="I2323" s="65"/>
      <c r="K2323" s="71"/>
      <c r="L2323" s="72"/>
      <c r="M2323" s="71"/>
      <c r="N2323" s="216"/>
      <c r="O2323" s="71"/>
      <c r="P2323" s="72" t="s">
        <v>1004</v>
      </c>
    </row>
    <row r="2324" spans="1:16">
      <c r="A2324" s="285" t="s">
        <v>959</v>
      </c>
      <c r="B2324" s="288" t="s">
        <v>960</v>
      </c>
      <c r="C2324" s="288" t="s">
        <v>961</v>
      </c>
      <c r="D2324" s="172" t="s">
        <v>411</v>
      </c>
      <c r="E2324" s="204"/>
      <c r="F2324" s="205"/>
      <c r="G2324" s="205" t="s">
        <v>429</v>
      </c>
      <c r="H2324" s="208">
        <v>44196</v>
      </c>
      <c r="I2324" s="182"/>
      <c r="K2324" s="71"/>
      <c r="L2324" s="72">
        <v>42.9</v>
      </c>
      <c r="M2324" s="71">
        <v>43.4</v>
      </c>
      <c r="N2324" s="216">
        <v>39</v>
      </c>
      <c r="O2324" s="71">
        <v>37.5</v>
      </c>
      <c r="P2324" s="72"/>
    </row>
    <row r="2325" spans="1:16">
      <c r="A2325" s="286"/>
      <c r="B2325" s="289"/>
      <c r="C2325" s="289"/>
      <c r="D2325" s="200" t="s">
        <v>412</v>
      </c>
      <c r="E2325" t="s">
        <v>420</v>
      </c>
      <c r="G2325" t="s">
        <v>429</v>
      </c>
      <c r="H2325" s="173">
        <v>44196</v>
      </c>
      <c r="I2325" s="65"/>
      <c r="K2325" s="71"/>
      <c r="L2325" s="72">
        <v>3.6</v>
      </c>
      <c r="M2325" s="71">
        <v>3.6</v>
      </c>
      <c r="N2325" s="216">
        <v>3.4</v>
      </c>
      <c r="O2325" s="71">
        <v>3.4</v>
      </c>
      <c r="P2325" s="72"/>
    </row>
    <row r="2326" spans="1:16">
      <c r="A2326" s="286"/>
      <c r="B2326" s="289"/>
      <c r="C2326" s="289"/>
      <c r="D2326" s="66" t="s">
        <v>414</v>
      </c>
      <c r="G2326" t="s">
        <v>429</v>
      </c>
      <c r="H2326" s="173">
        <v>44196</v>
      </c>
      <c r="I2326" s="65"/>
      <c r="K2326" s="71"/>
      <c r="L2326" s="72">
        <f>L2324+L2325</f>
        <v>46.5</v>
      </c>
      <c r="M2326" s="71">
        <f>M2324+M2325</f>
        <v>47</v>
      </c>
      <c r="N2326" s="216">
        <f>N2324+N2325</f>
        <v>42.4</v>
      </c>
      <c r="O2326" s="71">
        <f>O2324+O2325</f>
        <v>40.9</v>
      </c>
      <c r="P2326" s="72"/>
    </row>
    <row r="2327" spans="1:16">
      <c r="A2327" s="286"/>
      <c r="B2327" s="289"/>
      <c r="C2327" s="289"/>
      <c r="D2327" s="66" t="s">
        <v>600</v>
      </c>
      <c r="E2327" t="s">
        <v>424</v>
      </c>
      <c r="G2327" t="s">
        <v>1032</v>
      </c>
      <c r="H2327" s="173">
        <v>44196</v>
      </c>
      <c r="I2327" s="65"/>
      <c r="K2327" s="71"/>
      <c r="L2327" s="72">
        <v>636</v>
      </c>
      <c r="M2327" s="71">
        <v>630</v>
      </c>
      <c r="N2327" s="216">
        <v>622</v>
      </c>
      <c r="O2327" s="71">
        <v>620</v>
      </c>
      <c r="P2327" s="72"/>
    </row>
    <row r="2328" spans="1:16">
      <c r="A2328" s="286"/>
      <c r="B2328" s="289"/>
      <c r="C2328" s="289"/>
      <c r="D2328" s="66" t="s">
        <v>415</v>
      </c>
      <c r="G2328" t="s">
        <v>429</v>
      </c>
      <c r="H2328" s="173">
        <v>44196</v>
      </c>
      <c r="I2328" s="65"/>
      <c r="K2328" s="71"/>
      <c r="L2328" s="72"/>
      <c r="M2328" s="71"/>
      <c r="N2328" s="216">
        <v>10.9</v>
      </c>
      <c r="O2328" s="71">
        <v>10.4</v>
      </c>
      <c r="P2328" s="72"/>
    </row>
    <row r="2329" spans="1:16">
      <c r="A2329" s="286"/>
      <c r="B2329" s="289"/>
      <c r="C2329" s="289"/>
      <c r="D2329" s="66" t="s">
        <v>417</v>
      </c>
      <c r="G2329" t="s">
        <v>748</v>
      </c>
      <c r="H2329" s="173">
        <v>44196</v>
      </c>
      <c r="I2329" s="65" t="s">
        <v>970</v>
      </c>
      <c r="K2329" s="71"/>
      <c r="L2329" s="72"/>
      <c r="M2329" s="71"/>
      <c r="N2329" s="216">
        <v>12959</v>
      </c>
      <c r="O2329" s="71">
        <v>12814</v>
      </c>
      <c r="P2329" s="72"/>
    </row>
    <row r="2330" spans="1:16">
      <c r="A2330" s="287"/>
      <c r="B2330" s="290"/>
      <c r="C2330" s="290"/>
      <c r="D2330" s="66" t="s">
        <v>418</v>
      </c>
      <c r="E2330" s="201"/>
      <c r="F2330" s="202"/>
      <c r="G2330" s="202"/>
      <c r="H2330" s="203"/>
      <c r="I2330" s="65"/>
      <c r="K2330" s="71"/>
      <c r="L2330" s="72"/>
      <c r="M2330" s="71"/>
      <c r="N2330" s="216"/>
      <c r="O2330" s="71" t="s">
        <v>1005</v>
      </c>
      <c r="P2330" s="72"/>
    </row>
    <row r="2331" spans="1:16">
      <c r="A2331" s="285" t="s">
        <v>959</v>
      </c>
      <c r="B2331" s="288" t="s">
        <v>960</v>
      </c>
      <c r="C2331" s="288" t="s">
        <v>961</v>
      </c>
      <c r="D2331" s="172" t="s">
        <v>411</v>
      </c>
      <c r="G2331" t="s">
        <v>429</v>
      </c>
      <c r="H2331" s="173">
        <v>43830</v>
      </c>
      <c r="I2331" s="182"/>
      <c r="K2331" s="71"/>
      <c r="L2331" s="72">
        <v>42.9</v>
      </c>
      <c r="M2331" s="71">
        <v>43.4</v>
      </c>
      <c r="N2331" s="216">
        <v>39</v>
      </c>
      <c r="O2331" s="71"/>
      <c r="P2331" s="72"/>
    </row>
    <row r="2332" spans="1:16">
      <c r="A2332" s="286"/>
      <c r="B2332" s="289"/>
      <c r="C2332" s="289"/>
      <c r="D2332" s="200" t="s">
        <v>412</v>
      </c>
      <c r="E2332" t="s">
        <v>420</v>
      </c>
      <c r="G2332" t="s">
        <v>429</v>
      </c>
      <c r="H2332" s="173">
        <v>43830</v>
      </c>
      <c r="I2332" s="65"/>
      <c r="K2332" s="71"/>
      <c r="L2332" s="72">
        <v>3.6</v>
      </c>
      <c r="M2332" s="71">
        <v>3.6</v>
      </c>
      <c r="N2332" s="216">
        <v>3.4</v>
      </c>
      <c r="O2332" s="71"/>
      <c r="P2332" s="72"/>
    </row>
    <row r="2333" spans="1:16">
      <c r="A2333" s="286"/>
      <c r="B2333" s="289"/>
      <c r="C2333" s="289"/>
      <c r="D2333" s="66" t="s">
        <v>414</v>
      </c>
      <c r="G2333" t="s">
        <v>429</v>
      </c>
      <c r="H2333" s="173">
        <v>43830</v>
      </c>
      <c r="I2333" s="65"/>
      <c r="K2333" s="71"/>
      <c r="L2333" s="72">
        <f>L2331+L2332</f>
        <v>46.5</v>
      </c>
      <c r="M2333" s="71">
        <f>M2331+M2332</f>
        <v>47</v>
      </c>
      <c r="N2333" s="216">
        <f>N2331+N2332</f>
        <v>42.4</v>
      </c>
      <c r="O2333" s="71"/>
      <c r="P2333" s="72"/>
    </row>
    <row r="2334" spans="1:16">
      <c r="A2334" s="286"/>
      <c r="B2334" s="289"/>
      <c r="C2334" s="289"/>
      <c r="D2334" s="66" t="s">
        <v>600</v>
      </c>
      <c r="E2334" t="s">
        <v>424</v>
      </c>
      <c r="G2334" t="s">
        <v>1032</v>
      </c>
      <c r="H2334" s="173">
        <v>43830</v>
      </c>
      <c r="I2334" s="65"/>
      <c r="K2334" s="71"/>
      <c r="L2334" s="72">
        <v>636</v>
      </c>
      <c r="M2334" s="71">
        <v>630</v>
      </c>
      <c r="N2334" s="216">
        <v>622</v>
      </c>
      <c r="O2334" s="71"/>
      <c r="P2334" s="72"/>
    </row>
    <row r="2335" spans="1:16">
      <c r="A2335" s="286"/>
      <c r="B2335" s="289"/>
      <c r="C2335" s="289"/>
      <c r="D2335" s="66" t="s">
        <v>415</v>
      </c>
      <c r="G2335" t="s">
        <v>429</v>
      </c>
      <c r="H2335" s="173">
        <v>43830</v>
      </c>
      <c r="I2335" s="65"/>
      <c r="K2335" s="71"/>
      <c r="L2335" s="72"/>
      <c r="M2335" s="71"/>
      <c r="N2335" s="216">
        <v>10.9</v>
      </c>
      <c r="O2335" s="71"/>
      <c r="P2335" s="72"/>
    </row>
    <row r="2336" spans="1:16">
      <c r="A2336" s="286"/>
      <c r="B2336" s="289"/>
      <c r="C2336" s="289"/>
      <c r="D2336" s="66" t="s">
        <v>417</v>
      </c>
      <c r="G2336" t="s">
        <v>748</v>
      </c>
      <c r="H2336" s="173">
        <v>43830</v>
      </c>
      <c r="I2336" s="65" t="s">
        <v>970</v>
      </c>
      <c r="K2336" s="71"/>
      <c r="L2336" s="72"/>
      <c r="M2336" s="71">
        <v>13531</v>
      </c>
      <c r="N2336" s="216">
        <v>13130</v>
      </c>
      <c r="O2336" s="71"/>
      <c r="P2336" s="72"/>
    </row>
    <row r="2337" spans="1:16">
      <c r="A2337" s="287"/>
      <c r="B2337" s="290"/>
      <c r="C2337" s="290"/>
      <c r="D2337" s="66" t="s">
        <v>418</v>
      </c>
      <c r="E2337" s="201"/>
      <c r="F2337" s="202"/>
      <c r="G2337" s="202"/>
      <c r="H2337" s="203"/>
      <c r="I2337" s="65"/>
      <c r="K2337" s="71"/>
      <c r="L2337" s="72"/>
      <c r="M2337" s="71"/>
      <c r="N2337" s="216" t="s">
        <v>1006</v>
      </c>
      <c r="O2337" s="71"/>
      <c r="P2337" s="72"/>
    </row>
    <row r="2338" spans="1:16">
      <c r="A2338" s="285" t="s">
        <v>959</v>
      </c>
      <c r="B2338" s="288" t="s">
        <v>960</v>
      </c>
      <c r="C2338" s="288" t="s">
        <v>961</v>
      </c>
      <c r="D2338" s="172" t="s">
        <v>411</v>
      </c>
      <c r="G2338" t="s">
        <v>429</v>
      </c>
      <c r="H2338" s="173">
        <v>43465</v>
      </c>
      <c r="I2338" s="182"/>
      <c r="K2338" s="71">
        <v>44.2</v>
      </c>
      <c r="L2338" s="72">
        <v>42.9</v>
      </c>
      <c r="M2338" s="71">
        <v>43.4</v>
      </c>
      <c r="N2338" s="216"/>
      <c r="O2338" s="71"/>
      <c r="P2338" s="72"/>
    </row>
    <row r="2339" spans="1:16">
      <c r="A2339" s="286"/>
      <c r="B2339" s="289"/>
      <c r="C2339" s="289"/>
      <c r="D2339" s="200" t="s">
        <v>412</v>
      </c>
      <c r="E2339" t="s">
        <v>420</v>
      </c>
      <c r="G2339" t="s">
        <v>429</v>
      </c>
      <c r="H2339" s="173">
        <v>43465</v>
      </c>
      <c r="I2339" s="65"/>
      <c r="K2339" s="71">
        <v>3.6</v>
      </c>
      <c r="L2339" s="72">
        <v>3.6</v>
      </c>
      <c r="M2339" s="71">
        <v>3.6</v>
      </c>
      <c r="N2339" s="216"/>
      <c r="O2339" s="71"/>
      <c r="P2339" s="72"/>
    </row>
    <row r="2340" spans="1:16">
      <c r="A2340" s="286"/>
      <c r="B2340" s="289"/>
      <c r="C2340" s="289"/>
      <c r="D2340" s="66" t="s">
        <v>414</v>
      </c>
      <c r="G2340" t="s">
        <v>429</v>
      </c>
      <c r="H2340" s="173">
        <v>43465</v>
      </c>
      <c r="I2340" s="65"/>
      <c r="K2340" s="71">
        <f>K2338+K2339</f>
        <v>47.800000000000004</v>
      </c>
      <c r="L2340" s="72">
        <f>L2338+L2339</f>
        <v>46.5</v>
      </c>
      <c r="M2340" s="71">
        <f>M2338+M2339</f>
        <v>47</v>
      </c>
      <c r="N2340" s="216"/>
      <c r="O2340" s="71"/>
      <c r="P2340" s="72"/>
    </row>
    <row r="2341" spans="1:16">
      <c r="A2341" s="286"/>
      <c r="B2341" s="289"/>
      <c r="C2341" s="289"/>
      <c r="D2341" s="66" t="s">
        <v>600</v>
      </c>
      <c r="E2341" t="s">
        <v>424</v>
      </c>
      <c r="G2341" t="s">
        <v>1032</v>
      </c>
      <c r="H2341" s="173">
        <v>43465</v>
      </c>
      <c r="I2341" s="65"/>
      <c r="K2341" s="71">
        <v>642</v>
      </c>
      <c r="L2341" s="72">
        <v>636</v>
      </c>
      <c r="M2341" s="71">
        <v>630</v>
      </c>
      <c r="N2341" s="216"/>
      <c r="O2341" s="71"/>
      <c r="P2341" s="72"/>
    </row>
    <row r="2342" spans="1:16">
      <c r="A2342" s="286"/>
      <c r="B2342" s="289"/>
      <c r="C2342" s="289"/>
      <c r="D2342" s="66" t="s">
        <v>417</v>
      </c>
      <c r="G2342" t="s">
        <v>748</v>
      </c>
      <c r="H2342" s="173">
        <v>43465</v>
      </c>
      <c r="I2342" s="65" t="s">
        <v>970</v>
      </c>
      <c r="K2342" s="71"/>
      <c r="L2342" s="72">
        <v>13635</v>
      </c>
      <c r="M2342" s="71">
        <v>14375</v>
      </c>
      <c r="N2342" s="216"/>
      <c r="O2342" s="71"/>
      <c r="P2342" s="72"/>
    </row>
    <row r="2343" spans="1:16">
      <c r="A2343" s="287"/>
      <c r="B2343" s="290"/>
      <c r="C2343" s="290"/>
      <c r="D2343" s="66" t="s">
        <v>418</v>
      </c>
      <c r="E2343" s="201"/>
      <c r="F2343" s="202"/>
      <c r="G2343" s="202"/>
      <c r="H2343" s="203"/>
      <c r="I2343" s="65"/>
      <c r="K2343" s="71"/>
      <c r="L2343" s="72"/>
      <c r="M2343" s="71" t="s">
        <v>1007</v>
      </c>
      <c r="N2343" s="216"/>
      <c r="O2343" s="71"/>
      <c r="P2343" s="72"/>
    </row>
    <row r="2344" spans="1:16">
      <c r="A2344" s="285" t="s">
        <v>959</v>
      </c>
      <c r="B2344" s="288" t="s">
        <v>960</v>
      </c>
      <c r="C2344" s="288" t="s">
        <v>961</v>
      </c>
      <c r="D2344" s="172" t="s">
        <v>411</v>
      </c>
      <c r="G2344" t="s">
        <v>429</v>
      </c>
      <c r="H2344" s="173">
        <v>43100</v>
      </c>
      <c r="I2344" s="182" t="s">
        <v>970</v>
      </c>
      <c r="K2344" s="71"/>
      <c r="L2344" s="72"/>
      <c r="M2344" s="71"/>
      <c r="N2344" s="216"/>
      <c r="O2344" s="71"/>
      <c r="P2344" s="72"/>
    </row>
    <row r="2345" spans="1:16">
      <c r="A2345" s="286"/>
      <c r="B2345" s="289"/>
      <c r="C2345" s="289"/>
      <c r="D2345" s="66" t="s">
        <v>412</v>
      </c>
      <c r="E2345" t="s">
        <v>420</v>
      </c>
      <c r="G2345" t="s">
        <v>429</v>
      </c>
      <c r="H2345" s="173">
        <v>43100</v>
      </c>
      <c r="I2345" s="65" t="s">
        <v>970</v>
      </c>
      <c r="K2345" s="71"/>
      <c r="L2345" s="72"/>
      <c r="M2345" s="71"/>
      <c r="N2345" s="216"/>
      <c r="O2345" s="71"/>
      <c r="P2345" s="72"/>
    </row>
    <row r="2346" spans="1:16">
      <c r="A2346" s="286"/>
      <c r="B2346" s="289"/>
      <c r="C2346" s="289"/>
      <c r="D2346" s="66" t="s">
        <v>487</v>
      </c>
      <c r="E2346" t="s">
        <v>423</v>
      </c>
      <c r="G2346" t="s">
        <v>429</v>
      </c>
      <c r="H2346" s="173">
        <v>43100</v>
      </c>
      <c r="I2346" s="65" t="s">
        <v>970</v>
      </c>
      <c r="K2346" s="71">
        <v>43.8</v>
      </c>
      <c r="L2346" s="72">
        <v>42.5</v>
      </c>
      <c r="M2346" s="71"/>
      <c r="N2346" s="216"/>
      <c r="O2346" s="71"/>
      <c r="P2346" s="72"/>
    </row>
    <row r="2347" spans="1:16">
      <c r="A2347" s="286"/>
      <c r="B2347" s="289"/>
      <c r="C2347" s="289"/>
      <c r="D2347" s="66" t="s">
        <v>417</v>
      </c>
      <c r="E2347" t="s">
        <v>10</v>
      </c>
      <c r="G2347" t="s">
        <v>748</v>
      </c>
      <c r="H2347" s="173">
        <v>43100</v>
      </c>
      <c r="I2347" s="65" t="s">
        <v>970</v>
      </c>
      <c r="K2347" s="71">
        <v>13352</v>
      </c>
      <c r="L2347" s="72">
        <v>13672</v>
      </c>
      <c r="M2347" s="71"/>
      <c r="N2347" s="216"/>
      <c r="O2347" s="71"/>
      <c r="P2347" s="72"/>
    </row>
    <row r="2348" spans="1:16">
      <c r="A2348" s="287"/>
      <c r="B2348" s="290"/>
      <c r="C2348" s="290"/>
      <c r="D2348" s="66" t="s">
        <v>418</v>
      </c>
      <c r="E2348" s="201"/>
      <c r="F2348" s="202"/>
      <c r="G2348" s="202"/>
      <c r="H2348" s="203"/>
      <c r="I2348" s="203"/>
      <c r="K2348" s="71"/>
      <c r="L2348" s="72" t="s">
        <v>1008</v>
      </c>
      <c r="M2348" s="71"/>
      <c r="N2348" s="216"/>
      <c r="O2348" s="71"/>
      <c r="P2348" s="72"/>
    </row>
    <row r="2349" spans="1:16">
      <c r="A2349" s="285" t="s">
        <v>963</v>
      </c>
      <c r="B2349" s="288" t="s">
        <v>964</v>
      </c>
      <c r="C2349" s="288" t="s">
        <v>965</v>
      </c>
      <c r="D2349" s="172" t="s">
        <v>411</v>
      </c>
      <c r="G2349" t="s">
        <v>429</v>
      </c>
      <c r="H2349" s="173">
        <v>44742</v>
      </c>
      <c r="I2349" s="182" t="s">
        <v>970</v>
      </c>
      <c r="K2349" s="71"/>
      <c r="L2349" s="72"/>
      <c r="M2349" s="71"/>
      <c r="N2349" s="216"/>
      <c r="O2349" s="71"/>
      <c r="P2349" s="72"/>
    </row>
    <row r="2350" spans="1:16">
      <c r="A2350" s="286"/>
      <c r="B2350" s="289"/>
      <c r="C2350" s="289"/>
      <c r="D2350" s="66" t="s">
        <v>412</v>
      </c>
      <c r="E2350" t="s">
        <v>420</v>
      </c>
      <c r="G2350" t="s">
        <v>429</v>
      </c>
      <c r="H2350" s="173">
        <v>44742</v>
      </c>
      <c r="I2350" s="65" t="s">
        <v>970</v>
      </c>
      <c r="K2350" s="71"/>
      <c r="L2350" s="72"/>
      <c r="M2350" s="71"/>
      <c r="N2350" s="216"/>
      <c r="O2350" s="71"/>
      <c r="P2350" s="72"/>
    </row>
    <row r="2351" spans="1:16">
      <c r="A2351" s="286"/>
      <c r="B2351" s="289"/>
      <c r="C2351" s="289"/>
      <c r="D2351" s="66" t="s">
        <v>487</v>
      </c>
      <c r="E2351" t="s">
        <v>423</v>
      </c>
      <c r="G2351" t="s">
        <v>429</v>
      </c>
      <c r="H2351" s="173">
        <v>44742</v>
      </c>
      <c r="I2351" s="65" t="s">
        <v>970</v>
      </c>
      <c r="K2351" s="71"/>
      <c r="L2351" s="72"/>
      <c r="M2351" s="71"/>
      <c r="N2351" s="216"/>
      <c r="O2351" s="71"/>
      <c r="P2351" s="72"/>
    </row>
    <row r="2352" spans="1:16">
      <c r="A2352" s="286"/>
      <c r="B2352" s="289"/>
      <c r="C2352" s="289"/>
      <c r="D2352" s="66" t="s">
        <v>601</v>
      </c>
      <c r="G2352" t="s">
        <v>1034</v>
      </c>
      <c r="H2352" s="173">
        <v>44742</v>
      </c>
      <c r="I2352" s="65" t="s">
        <v>970</v>
      </c>
      <c r="K2352" s="71"/>
      <c r="L2352" s="72"/>
      <c r="M2352" s="71"/>
      <c r="N2352" s="216"/>
      <c r="O2352" s="71"/>
      <c r="P2352" s="72"/>
    </row>
    <row r="2353" spans="1:17">
      <c r="A2353" s="286"/>
      <c r="B2353" s="289"/>
      <c r="C2353" s="289"/>
      <c r="D2353" s="66" t="s">
        <v>417</v>
      </c>
      <c r="E2353" t="s">
        <v>10</v>
      </c>
      <c r="G2353" t="s">
        <v>748</v>
      </c>
      <c r="H2353" s="173">
        <v>44742</v>
      </c>
      <c r="I2353" s="65" t="s">
        <v>970</v>
      </c>
      <c r="K2353" s="71"/>
      <c r="L2353" s="72"/>
      <c r="M2353" s="71"/>
      <c r="N2353" s="216"/>
      <c r="O2353" s="71"/>
      <c r="P2353" s="72"/>
    </row>
    <row r="2354" spans="1:17">
      <c r="A2354" s="287"/>
      <c r="B2354" s="290"/>
      <c r="C2354" s="290"/>
      <c r="D2354" s="66" t="s">
        <v>418</v>
      </c>
      <c r="E2354" s="201"/>
      <c r="F2354" s="202"/>
      <c r="G2354" s="202"/>
      <c r="H2354" s="203"/>
      <c r="I2354" s="203"/>
      <c r="K2354" s="71"/>
      <c r="L2354" s="72"/>
      <c r="M2354" s="71"/>
      <c r="N2354" s="216"/>
      <c r="O2354" s="71"/>
      <c r="P2354" s="72"/>
      <c r="Q2354" s="71" t="s">
        <v>1033</v>
      </c>
    </row>
    <row r="2355" spans="1:17">
      <c r="A2355" s="285" t="s">
        <v>1123</v>
      </c>
      <c r="B2355" s="288" t="s">
        <v>1130</v>
      </c>
      <c r="C2355" s="288" t="s">
        <v>1131</v>
      </c>
      <c r="D2355" s="66" t="s">
        <v>411</v>
      </c>
      <c r="G2355" t="s">
        <v>428</v>
      </c>
      <c r="H2355" s="107">
        <v>44651</v>
      </c>
      <c r="I2355" s="108"/>
      <c r="J2355" s="240"/>
      <c r="K2355" s="240"/>
      <c r="L2355" s="240">
        <v>70898</v>
      </c>
      <c r="M2355" s="240">
        <v>63276</v>
      </c>
      <c r="N2355" s="272">
        <v>63691</v>
      </c>
    </row>
    <row r="2356" spans="1:17">
      <c r="A2356" s="286"/>
      <c r="B2356" s="289"/>
      <c r="C2356" s="289"/>
      <c r="D2356" s="66" t="s">
        <v>412</v>
      </c>
      <c r="G2356" t="s">
        <v>428</v>
      </c>
      <c r="H2356" s="107">
        <v>44651</v>
      </c>
      <c r="I2356" s="65"/>
      <c r="J2356" s="240"/>
      <c r="K2356" s="240"/>
      <c r="L2356" s="240">
        <v>95239</v>
      </c>
      <c r="M2356" s="240">
        <v>60044</v>
      </c>
      <c r="N2356" s="272">
        <v>54988</v>
      </c>
    </row>
    <row r="2357" spans="1:17">
      <c r="A2357" s="286"/>
      <c r="B2357" s="289"/>
      <c r="C2357" s="289"/>
      <c r="D2357" s="66" t="s">
        <v>414</v>
      </c>
      <c r="G2357" t="s">
        <v>428</v>
      </c>
      <c r="H2357" s="107">
        <v>44651</v>
      </c>
      <c r="I2357" s="65"/>
      <c r="J2357" s="240"/>
      <c r="K2357" s="240">
        <f t="shared" ref="K2357:M2357" si="120">K2355+K2356</f>
        <v>0</v>
      </c>
      <c r="L2357" s="240">
        <f t="shared" si="120"/>
        <v>166137</v>
      </c>
      <c r="M2357" s="240">
        <f t="shared" si="120"/>
        <v>123320</v>
      </c>
      <c r="N2357" s="272">
        <f>N2355+N2356</f>
        <v>118679</v>
      </c>
    </row>
    <row r="2358" spans="1:17">
      <c r="A2358" s="286"/>
      <c r="B2358" s="289"/>
      <c r="C2358" s="289"/>
      <c r="D2358" s="66" t="s">
        <v>415</v>
      </c>
      <c r="E2358">
        <v>1</v>
      </c>
      <c r="G2358" t="s">
        <v>428</v>
      </c>
      <c r="H2358" s="107">
        <v>44651</v>
      </c>
      <c r="I2358" s="65"/>
      <c r="J2358" s="240"/>
      <c r="K2358" s="240"/>
      <c r="L2358" s="240">
        <v>48998</v>
      </c>
      <c r="M2358" s="240">
        <v>55959</v>
      </c>
      <c r="N2358" s="272">
        <v>76267</v>
      </c>
    </row>
    <row r="2359" spans="1:17">
      <c r="A2359" s="286"/>
      <c r="B2359" s="289"/>
      <c r="C2359" s="289"/>
      <c r="D2359" s="66" t="s">
        <v>415</v>
      </c>
      <c r="E2359">
        <v>2</v>
      </c>
      <c r="G2359" t="s">
        <v>428</v>
      </c>
      <c r="H2359" s="107">
        <v>44651</v>
      </c>
      <c r="I2359" s="65"/>
      <c r="L2359" s="240">
        <v>118186</v>
      </c>
      <c r="M2359" s="240">
        <v>95377</v>
      </c>
      <c r="N2359" s="272">
        <v>85361</v>
      </c>
    </row>
    <row r="2360" spans="1:17">
      <c r="A2360" s="286"/>
      <c r="B2360" s="289"/>
      <c r="C2360" s="289"/>
      <c r="D2360" s="66" t="s">
        <v>415</v>
      </c>
      <c r="E2360">
        <v>3</v>
      </c>
      <c r="G2360" t="s">
        <v>428</v>
      </c>
      <c r="H2360" s="107">
        <v>44651</v>
      </c>
      <c r="I2360" s="65"/>
      <c r="J2360" s="240"/>
      <c r="K2360" s="240"/>
      <c r="L2360" s="240">
        <v>21586</v>
      </c>
      <c r="M2360" s="240">
        <v>30601</v>
      </c>
      <c r="N2360" s="272">
        <v>30590</v>
      </c>
    </row>
    <row r="2361" spans="1:17">
      <c r="A2361" s="286"/>
      <c r="B2361" s="289"/>
      <c r="C2361" s="289"/>
      <c r="D2361" s="66" t="s">
        <v>415</v>
      </c>
      <c r="E2361" t="s">
        <v>1204</v>
      </c>
      <c r="G2361" t="s">
        <v>428</v>
      </c>
      <c r="H2361" s="107">
        <v>44651</v>
      </c>
      <c r="I2361" s="65"/>
      <c r="J2361" s="240"/>
      <c r="K2361" s="240"/>
      <c r="L2361" s="240">
        <v>2827</v>
      </c>
      <c r="M2361" s="240">
        <v>2579</v>
      </c>
      <c r="N2361" s="272">
        <v>2192</v>
      </c>
    </row>
    <row r="2362" spans="1:17">
      <c r="A2362" s="286"/>
      <c r="B2362" s="289"/>
      <c r="C2362" s="289"/>
      <c r="D2362" s="66" t="s">
        <v>415</v>
      </c>
      <c r="E2362">
        <v>5</v>
      </c>
      <c r="G2362" t="s">
        <v>428</v>
      </c>
      <c r="H2362" s="107">
        <v>44651</v>
      </c>
      <c r="I2362" s="65"/>
      <c r="J2362" s="240"/>
      <c r="K2362" s="240"/>
      <c r="L2362" s="240">
        <v>2016</v>
      </c>
      <c r="M2362" s="240">
        <v>2605</v>
      </c>
      <c r="N2362" s="272">
        <v>1496</v>
      </c>
    </row>
    <row r="2363" spans="1:17">
      <c r="A2363" s="286"/>
      <c r="B2363" s="289"/>
      <c r="C2363" s="289"/>
      <c r="D2363" s="66" t="s">
        <v>415</v>
      </c>
      <c r="E2363">
        <v>6</v>
      </c>
      <c r="G2363" t="s">
        <v>428</v>
      </c>
      <c r="H2363" s="107">
        <v>44651</v>
      </c>
      <c r="I2363" s="65"/>
      <c r="J2363" s="240"/>
      <c r="K2363" s="240"/>
      <c r="L2363" s="240">
        <v>33844</v>
      </c>
      <c r="M2363" s="240">
        <v>5008</v>
      </c>
      <c r="N2363" s="272">
        <v>2006</v>
      </c>
    </row>
    <row r="2364" spans="1:17">
      <c r="A2364" s="286"/>
      <c r="B2364" s="289"/>
      <c r="C2364" s="289"/>
      <c r="D2364" s="66" t="s">
        <v>415</v>
      </c>
      <c r="E2364">
        <v>7</v>
      </c>
      <c r="G2364" t="s">
        <v>428</v>
      </c>
      <c r="H2364" s="107">
        <v>44651</v>
      </c>
      <c r="I2364" s="65"/>
      <c r="J2364" s="240"/>
      <c r="K2364" s="240"/>
      <c r="L2364" s="240">
        <v>1914</v>
      </c>
      <c r="M2364" s="240">
        <v>1862</v>
      </c>
      <c r="N2364" s="272">
        <v>1639</v>
      </c>
    </row>
    <row r="2365" spans="1:17">
      <c r="A2365" s="286"/>
      <c r="B2365" s="289"/>
      <c r="C2365" s="289"/>
      <c r="D2365" s="66" t="s">
        <v>415</v>
      </c>
      <c r="E2365">
        <v>12</v>
      </c>
      <c r="G2365" t="s">
        <v>428</v>
      </c>
      <c r="H2365" s="107">
        <v>44651</v>
      </c>
      <c r="I2365" s="65"/>
      <c r="J2365" s="240"/>
      <c r="K2365" s="240"/>
      <c r="L2365" s="240">
        <v>582</v>
      </c>
      <c r="M2365" s="240">
        <v>544</v>
      </c>
      <c r="N2365" s="272">
        <v>466</v>
      </c>
    </row>
    <row r="2366" spans="1:17">
      <c r="A2366" s="286"/>
      <c r="B2366" s="289"/>
      <c r="C2366" s="289"/>
      <c r="D2366" s="66" t="s">
        <v>415</v>
      </c>
      <c r="E2366" t="s">
        <v>660</v>
      </c>
      <c r="G2366" t="s">
        <v>428</v>
      </c>
      <c r="H2366" s="107">
        <v>44651</v>
      </c>
      <c r="I2366" s="240">
        <v>271010</v>
      </c>
      <c r="J2366" s="240"/>
      <c r="K2366" s="240"/>
      <c r="L2366" s="240">
        <v>229953</v>
      </c>
      <c r="M2366" s="240">
        <v>194534</v>
      </c>
      <c r="N2366" s="272">
        <v>200019</v>
      </c>
    </row>
    <row r="2367" spans="1:17">
      <c r="A2367" s="286"/>
      <c r="B2367" s="289"/>
      <c r="C2367" s="289"/>
      <c r="D2367" s="66" t="s">
        <v>417</v>
      </c>
      <c r="E2367" t="s">
        <v>661</v>
      </c>
      <c r="G2367" t="s">
        <v>763</v>
      </c>
      <c r="H2367" s="107">
        <v>44651</v>
      </c>
      <c r="I2367" s="65"/>
      <c r="K2367" s="240"/>
      <c r="N2367" s="273" t="s">
        <v>1144</v>
      </c>
    </row>
    <row r="2368" spans="1:17">
      <c r="A2368" s="286"/>
      <c r="B2368" s="289"/>
      <c r="C2368" s="289"/>
      <c r="D2368" s="66" t="s">
        <v>418</v>
      </c>
      <c r="H2368" s="107">
        <v>44651</v>
      </c>
      <c r="I2368" s="65"/>
      <c r="N2368" s="274" t="s">
        <v>1145</v>
      </c>
    </row>
    <row r="2369" spans="1:14">
      <c r="A2369" s="294"/>
      <c r="B2369" s="293"/>
      <c r="C2369" s="293"/>
      <c r="H2369" s="107"/>
      <c r="I2369"/>
    </row>
    <row r="2370" spans="1:14">
      <c r="A2370" s="291" t="s">
        <v>1124</v>
      </c>
      <c r="B2370" s="331" t="s">
        <v>1132</v>
      </c>
      <c r="C2370" s="331" t="s">
        <v>1133</v>
      </c>
      <c r="D2370" s="66" t="s">
        <v>411</v>
      </c>
      <c r="E2370" t="s">
        <v>1146</v>
      </c>
      <c r="G2370" t="s">
        <v>428</v>
      </c>
      <c r="H2370" s="107">
        <v>44561</v>
      </c>
      <c r="I2370" s="240">
        <v>92539</v>
      </c>
      <c r="J2370" s="240"/>
      <c r="K2370" s="240"/>
      <c r="L2370" s="240">
        <v>64943</v>
      </c>
      <c r="M2370" s="240">
        <v>44491</v>
      </c>
      <c r="N2370" s="272">
        <v>48667</v>
      </c>
    </row>
    <row r="2371" spans="1:14">
      <c r="A2371" s="286"/>
      <c r="B2371" s="332"/>
      <c r="C2371" s="332"/>
      <c r="D2371" s="66" t="s">
        <v>411</v>
      </c>
      <c r="E2371" t="s">
        <v>1147</v>
      </c>
      <c r="G2371" t="s">
        <v>428</v>
      </c>
      <c r="H2371" s="107">
        <v>44561</v>
      </c>
      <c r="I2371" s="240">
        <v>175678</v>
      </c>
      <c r="J2371" s="240"/>
      <c r="K2371" s="240"/>
      <c r="L2371" s="240">
        <v>162191</v>
      </c>
      <c r="M2371" s="240">
        <v>144948</v>
      </c>
      <c r="N2371" s="272">
        <v>151780</v>
      </c>
    </row>
    <row r="2372" spans="1:14">
      <c r="A2372" s="286"/>
      <c r="B2372" s="332"/>
      <c r="C2372" s="332"/>
      <c r="D2372" s="66" t="s">
        <v>411</v>
      </c>
      <c r="E2372" t="s">
        <v>1148</v>
      </c>
      <c r="G2372" t="s">
        <v>428</v>
      </c>
      <c r="H2372" s="107">
        <v>44561</v>
      </c>
      <c r="I2372" s="240">
        <v>37658</v>
      </c>
      <c r="J2372" s="240"/>
      <c r="K2372" s="240"/>
      <c r="L2372" s="240">
        <v>42513</v>
      </c>
      <c r="M2372" s="240">
        <v>50613</v>
      </c>
      <c r="N2372" s="272">
        <v>45436</v>
      </c>
    </row>
    <row r="2373" spans="1:14">
      <c r="A2373" s="286"/>
      <c r="B2373" s="332"/>
      <c r="C2373" s="332"/>
      <c r="D2373" s="66" t="s">
        <v>411</v>
      </c>
      <c r="E2373" s="241" t="s">
        <v>660</v>
      </c>
      <c r="G2373" s="241" t="s">
        <v>428</v>
      </c>
      <c r="H2373" s="107">
        <v>44561</v>
      </c>
      <c r="I2373" s="242">
        <f t="shared" ref="I2373:M2373" si="121">SUM(I2370:I2372)</f>
        <v>305875</v>
      </c>
      <c r="J2373" s="242"/>
      <c r="K2373" s="242"/>
      <c r="L2373" s="242">
        <f t="shared" si="121"/>
        <v>269647</v>
      </c>
      <c r="M2373" s="242">
        <f t="shared" si="121"/>
        <v>240052</v>
      </c>
      <c r="N2373" s="275">
        <f>SUM(N2370:N2372)</f>
        <v>245883</v>
      </c>
    </row>
    <row r="2374" spans="1:14">
      <c r="A2374" s="286"/>
      <c r="B2374" s="332"/>
      <c r="C2374" s="332"/>
      <c r="D2374" s="66" t="s">
        <v>412</v>
      </c>
      <c r="E2374" t="s">
        <v>705</v>
      </c>
      <c r="G2374" t="s">
        <v>428</v>
      </c>
      <c r="H2374" s="107">
        <v>44561</v>
      </c>
      <c r="I2374" s="240">
        <v>341080</v>
      </c>
      <c r="J2374" s="240"/>
      <c r="K2374" s="240"/>
      <c r="L2374" s="240">
        <v>138261</v>
      </c>
      <c r="M2374" s="240">
        <v>32218</v>
      </c>
      <c r="N2374" s="272">
        <v>21135</v>
      </c>
    </row>
    <row r="2375" spans="1:14">
      <c r="A2375" s="286"/>
      <c r="B2375" s="332"/>
      <c r="C2375" s="332"/>
      <c r="D2375" s="66" t="s">
        <v>412</v>
      </c>
      <c r="E2375" t="s">
        <v>728</v>
      </c>
      <c r="G2375" t="s">
        <v>428</v>
      </c>
      <c r="H2375" s="107">
        <v>44561</v>
      </c>
      <c r="I2375" s="240">
        <v>290204</v>
      </c>
      <c r="J2375" s="240"/>
      <c r="K2375" s="240"/>
      <c r="L2375" s="240">
        <v>248054</v>
      </c>
      <c r="M2375" s="240">
        <v>228727</v>
      </c>
      <c r="N2375" s="272">
        <v>207005</v>
      </c>
    </row>
    <row r="2376" spans="1:14">
      <c r="A2376" s="286"/>
      <c r="B2376" s="332"/>
      <c r="C2376" s="332"/>
      <c r="D2376" s="66" t="s">
        <v>414</v>
      </c>
      <c r="E2376" s="241"/>
      <c r="G2376" s="241" t="s">
        <v>428</v>
      </c>
      <c r="H2376" s="107">
        <v>44561</v>
      </c>
      <c r="I2376" s="242">
        <f>I2373+I2374</f>
        <v>646955</v>
      </c>
      <c r="J2376" s="242"/>
      <c r="K2376" s="242"/>
      <c r="L2376" s="242">
        <f>L2373+L2375</f>
        <v>517701</v>
      </c>
      <c r="M2376" s="242">
        <f>M2373+M2375</f>
        <v>468779</v>
      </c>
      <c r="N2376" s="275">
        <f>N2373+N2375</f>
        <v>452888</v>
      </c>
    </row>
    <row r="2377" spans="1:14">
      <c r="A2377" s="286"/>
      <c r="B2377" s="332"/>
      <c r="C2377" s="332"/>
      <c r="D2377" s="66" t="s">
        <v>415</v>
      </c>
      <c r="E2377">
        <v>1</v>
      </c>
      <c r="G2377" t="s">
        <v>428</v>
      </c>
      <c r="H2377" s="107">
        <v>44561</v>
      </c>
      <c r="I2377" s="240">
        <v>3388958</v>
      </c>
      <c r="J2377" s="240"/>
      <c r="K2377" s="240"/>
      <c r="L2377" s="240">
        <v>3388958</v>
      </c>
      <c r="M2377" s="240">
        <v>4011594</v>
      </c>
      <c r="N2377" s="272">
        <v>4818880</v>
      </c>
    </row>
    <row r="2378" spans="1:14">
      <c r="A2378" s="286"/>
      <c r="B2378" s="332"/>
      <c r="C2378" s="332"/>
      <c r="D2378" s="66" t="s">
        <v>415</v>
      </c>
      <c r="E2378">
        <v>2</v>
      </c>
      <c r="G2378" t="s">
        <v>428</v>
      </c>
      <c r="H2378" s="107">
        <v>44561</v>
      </c>
      <c r="I2378" s="240">
        <v>76941</v>
      </c>
      <c r="L2378" s="240">
        <v>76941</v>
      </c>
      <c r="M2378" s="240">
        <v>75914</v>
      </c>
      <c r="N2378" s="272">
        <v>88872</v>
      </c>
    </row>
    <row r="2379" spans="1:14">
      <c r="A2379" s="286"/>
      <c r="B2379" s="332"/>
      <c r="C2379" s="332"/>
      <c r="D2379" s="66" t="s">
        <v>415</v>
      </c>
      <c r="E2379">
        <v>3</v>
      </c>
      <c r="G2379" t="s">
        <v>428</v>
      </c>
      <c r="H2379" s="107">
        <v>44561</v>
      </c>
      <c r="I2379" s="240">
        <v>83146</v>
      </c>
      <c r="J2379" s="240"/>
      <c r="K2379" s="240"/>
      <c r="L2379" s="240">
        <v>83146</v>
      </c>
      <c r="M2379" s="240">
        <v>55365</v>
      </c>
      <c r="N2379" s="272">
        <v>53773</v>
      </c>
    </row>
    <row r="2380" spans="1:14">
      <c r="A2380" s="286"/>
      <c r="B2380" s="332"/>
      <c r="C2380" s="332"/>
      <c r="D2380" s="66" t="s">
        <v>415</v>
      </c>
      <c r="E2380">
        <v>4</v>
      </c>
      <c r="G2380" t="s">
        <v>428</v>
      </c>
      <c r="H2380" s="107">
        <v>44561</v>
      </c>
      <c r="I2380" s="240">
        <v>248112</v>
      </c>
      <c r="J2380" s="240"/>
      <c r="K2380" s="240"/>
      <c r="L2380" s="240">
        <v>248112</v>
      </c>
      <c r="M2380" s="240">
        <v>218144</v>
      </c>
      <c r="N2380" s="272">
        <v>228675</v>
      </c>
    </row>
    <row r="2381" spans="1:14">
      <c r="A2381" s="286"/>
      <c r="B2381" s="332"/>
      <c r="C2381" s="332"/>
      <c r="D2381" s="66" t="s">
        <v>415</v>
      </c>
      <c r="E2381">
        <v>5</v>
      </c>
      <c r="G2381" t="s">
        <v>428</v>
      </c>
      <c r="H2381" s="107">
        <v>44561</v>
      </c>
      <c r="I2381" s="240">
        <v>21010</v>
      </c>
      <c r="J2381" s="240"/>
      <c r="K2381" s="240"/>
      <c r="L2381" s="240">
        <v>21010</v>
      </c>
      <c r="M2381" s="240">
        <v>20211</v>
      </c>
      <c r="N2381" s="272">
        <v>20020</v>
      </c>
    </row>
    <row r="2382" spans="1:14">
      <c r="A2382" s="286"/>
      <c r="B2382" s="332"/>
      <c r="C2382" s="332"/>
      <c r="D2382" s="66" t="s">
        <v>415</v>
      </c>
      <c r="E2382">
        <v>6</v>
      </c>
      <c r="G2382" t="s">
        <v>428</v>
      </c>
      <c r="H2382" s="107">
        <v>44561</v>
      </c>
      <c r="I2382" s="240">
        <v>314261</v>
      </c>
      <c r="J2382" s="240"/>
      <c r="K2382" s="240"/>
      <c r="L2382" s="240">
        <v>314261</v>
      </c>
      <c r="M2382" s="240">
        <v>76445</v>
      </c>
      <c r="N2382" s="272">
        <v>72148</v>
      </c>
    </row>
    <row r="2383" spans="1:14">
      <c r="A2383" s="286"/>
      <c r="B2383" s="332"/>
      <c r="C2383" s="332"/>
      <c r="D2383" s="66" t="s">
        <v>415</v>
      </c>
      <c r="E2383">
        <v>7</v>
      </c>
      <c r="G2383" t="s">
        <v>428</v>
      </c>
      <c r="H2383" s="107">
        <v>44561</v>
      </c>
      <c r="I2383" s="240">
        <v>30275</v>
      </c>
      <c r="J2383" s="240"/>
      <c r="K2383" s="240"/>
      <c r="L2383" s="240">
        <v>30275</v>
      </c>
      <c r="M2383" s="240">
        <v>37646</v>
      </c>
      <c r="N2383" s="272">
        <v>41293</v>
      </c>
    </row>
    <row r="2384" spans="1:14">
      <c r="A2384" s="286"/>
      <c r="B2384" s="332"/>
      <c r="C2384" s="332"/>
      <c r="D2384" s="66" t="s">
        <v>415</v>
      </c>
      <c r="E2384">
        <v>8</v>
      </c>
      <c r="G2384" t="s">
        <v>428</v>
      </c>
      <c r="H2384" s="107">
        <v>44561</v>
      </c>
      <c r="I2384" s="240">
        <v>41771</v>
      </c>
      <c r="J2384" s="240"/>
      <c r="K2384" s="240"/>
      <c r="L2384" s="240">
        <v>41771</v>
      </c>
      <c r="M2384" s="240">
        <v>57628</v>
      </c>
      <c r="N2384" s="272">
        <v>55780</v>
      </c>
    </row>
    <row r="2385" spans="1:14">
      <c r="A2385" s="286"/>
      <c r="B2385" s="332"/>
      <c r="C2385" s="332"/>
      <c r="D2385" s="66" t="s">
        <v>415</v>
      </c>
      <c r="E2385">
        <v>9</v>
      </c>
      <c r="G2385" t="s">
        <v>428</v>
      </c>
      <c r="H2385" s="107">
        <v>44561</v>
      </c>
      <c r="I2385" s="240">
        <v>406244</v>
      </c>
      <c r="J2385" s="240"/>
      <c r="K2385" s="240"/>
      <c r="L2385" s="240">
        <v>406244</v>
      </c>
      <c r="M2385" s="240">
        <v>380710</v>
      </c>
      <c r="N2385" s="272">
        <v>310011</v>
      </c>
    </row>
    <row r="2386" spans="1:14">
      <c r="A2386" s="286"/>
      <c r="B2386" s="332"/>
      <c r="C2386" s="332"/>
      <c r="D2386" s="66" t="s">
        <v>415</v>
      </c>
      <c r="E2386">
        <v>11</v>
      </c>
      <c r="G2386" t="s">
        <v>428</v>
      </c>
      <c r="H2386" s="107">
        <v>44561</v>
      </c>
      <c r="I2386" s="240">
        <v>1012732</v>
      </c>
      <c r="J2386" s="240"/>
      <c r="K2386" s="240"/>
      <c r="L2386" s="240">
        <v>1012732</v>
      </c>
      <c r="M2386" s="240">
        <v>978895</v>
      </c>
      <c r="N2386" s="272">
        <v>818582</v>
      </c>
    </row>
    <row r="2387" spans="1:14">
      <c r="A2387" s="286"/>
      <c r="B2387" s="332"/>
      <c r="C2387" s="332"/>
      <c r="D2387" s="66" t="s">
        <v>415</v>
      </c>
      <c r="E2387">
        <v>12</v>
      </c>
      <c r="G2387" t="s">
        <v>428</v>
      </c>
      <c r="H2387" s="107">
        <v>44561</v>
      </c>
      <c r="I2387" s="240">
        <v>67842</v>
      </c>
      <c r="J2387" s="240"/>
      <c r="L2387" s="240">
        <v>67842</v>
      </c>
      <c r="M2387" s="240">
        <v>67234</v>
      </c>
      <c r="N2387" s="272">
        <v>69740</v>
      </c>
    </row>
    <row r="2388" spans="1:14">
      <c r="A2388" s="286"/>
      <c r="B2388" s="332"/>
      <c r="C2388" s="332"/>
      <c r="D2388" s="66" t="s">
        <v>415</v>
      </c>
      <c r="E2388">
        <v>13</v>
      </c>
      <c r="G2388" t="s">
        <v>428</v>
      </c>
      <c r="H2388" s="107">
        <v>44561</v>
      </c>
      <c r="I2388" s="240">
        <v>25119</v>
      </c>
      <c r="J2388" s="240"/>
      <c r="K2388" s="240"/>
      <c r="L2388" s="240">
        <v>25119</v>
      </c>
      <c r="M2388" s="240">
        <v>5947</v>
      </c>
      <c r="N2388" s="272">
        <v>3975</v>
      </c>
    </row>
    <row r="2389" spans="1:14">
      <c r="A2389" s="286"/>
      <c r="B2389" s="332"/>
      <c r="C2389" s="332"/>
      <c r="D2389" s="66" t="s">
        <v>415</v>
      </c>
      <c r="E2389" s="241" t="s">
        <v>660</v>
      </c>
      <c r="G2389" s="241" t="s">
        <v>428</v>
      </c>
      <c r="H2389" s="107">
        <v>44561</v>
      </c>
      <c r="I2389" s="242">
        <f t="shared" ref="I2389:M2389" si="122">SUM(I2377:I2388)</f>
        <v>5716411</v>
      </c>
      <c r="J2389" s="242"/>
      <c r="K2389" s="242"/>
      <c r="L2389" s="242">
        <f>SUM(L2377:L2388)</f>
        <v>5716411</v>
      </c>
      <c r="M2389" s="242">
        <f t="shared" si="122"/>
        <v>5985733</v>
      </c>
      <c r="N2389" s="275">
        <f>SUM(N2377:N2388)</f>
        <v>6581749</v>
      </c>
    </row>
    <row r="2390" spans="1:14">
      <c r="A2390" s="286"/>
      <c r="B2390" s="332"/>
      <c r="C2390" s="332"/>
      <c r="D2390" s="66" t="s">
        <v>417</v>
      </c>
      <c r="E2390" t="s">
        <v>661</v>
      </c>
      <c r="G2390" t="s">
        <v>748</v>
      </c>
      <c r="H2390" s="107">
        <v>44561</v>
      </c>
      <c r="I2390" s="240"/>
      <c r="K2390" s="240"/>
      <c r="N2390" s="273">
        <v>37417</v>
      </c>
    </row>
    <row r="2391" spans="1:14">
      <c r="A2391" s="294"/>
      <c r="B2391" s="333"/>
      <c r="C2391" s="333"/>
      <c r="D2391" s="66" t="s">
        <v>418</v>
      </c>
      <c r="H2391" s="107">
        <v>44561</v>
      </c>
      <c r="I2391" s="240"/>
      <c r="N2391" s="274" t="s">
        <v>1150</v>
      </c>
    </row>
    <row r="2392" spans="1:14">
      <c r="I2392"/>
    </row>
    <row r="2393" spans="1:14">
      <c r="A2393" s="286" t="s">
        <v>1124</v>
      </c>
      <c r="B2393" s="332" t="s">
        <v>1132</v>
      </c>
      <c r="C2393" s="332" t="s">
        <v>1133</v>
      </c>
      <c r="D2393" s="66" t="s">
        <v>411</v>
      </c>
      <c r="E2393" s="241"/>
      <c r="G2393" s="241" t="s">
        <v>428</v>
      </c>
      <c r="H2393" s="107">
        <v>44196</v>
      </c>
      <c r="I2393" s="242">
        <v>295211</v>
      </c>
      <c r="J2393" s="242"/>
      <c r="K2393" s="242">
        <v>272737</v>
      </c>
      <c r="L2393" s="242">
        <v>254402</v>
      </c>
      <c r="M2393" s="242">
        <v>224771</v>
      </c>
      <c r="N2393" s="275"/>
    </row>
    <row r="2394" spans="1:14">
      <c r="A2394" s="286"/>
      <c r="B2394" s="332"/>
      <c r="C2394" s="332"/>
      <c r="D2394" s="66" t="s">
        <v>412</v>
      </c>
      <c r="E2394" t="s">
        <v>705</v>
      </c>
      <c r="G2394" t="s">
        <v>428</v>
      </c>
      <c r="H2394" s="107">
        <v>44196</v>
      </c>
      <c r="I2394" s="240">
        <v>331811</v>
      </c>
      <c r="J2394" s="240"/>
      <c r="K2394" s="240">
        <v>140350</v>
      </c>
      <c r="L2394" s="240">
        <v>131085</v>
      </c>
      <c r="M2394" s="240">
        <v>22235</v>
      </c>
      <c r="N2394" s="272"/>
    </row>
    <row r="2395" spans="1:14">
      <c r="A2395" s="286"/>
      <c r="B2395" s="332"/>
      <c r="C2395" s="332"/>
      <c r="D2395" s="66" t="s">
        <v>412</v>
      </c>
      <c r="E2395" t="s">
        <v>728</v>
      </c>
      <c r="G2395" t="s">
        <v>428</v>
      </c>
      <c r="H2395" s="107">
        <v>44196</v>
      </c>
      <c r="I2395" s="240">
        <v>276663</v>
      </c>
      <c r="J2395" s="240"/>
      <c r="K2395" s="240">
        <v>248984</v>
      </c>
      <c r="L2395" s="240">
        <v>233951</v>
      </c>
      <c r="M2395" s="240">
        <v>212003</v>
      </c>
      <c r="N2395" s="272"/>
    </row>
    <row r="2396" spans="1:14">
      <c r="A2396" s="286"/>
      <c r="B2396" s="332"/>
      <c r="C2396" s="332"/>
      <c r="D2396" s="66" t="s">
        <v>414</v>
      </c>
      <c r="E2396" s="241"/>
      <c r="G2396" s="241" t="s">
        <v>428</v>
      </c>
      <c r="H2396" s="107">
        <v>44196</v>
      </c>
      <c r="I2396" s="242">
        <f>I2393+I2395</f>
        <v>571874</v>
      </c>
      <c r="J2396" s="242"/>
      <c r="K2396" s="242">
        <f t="shared" ref="K2396:M2396" si="123">K2393+K2395</f>
        <v>521721</v>
      </c>
      <c r="L2396" s="242">
        <f t="shared" si="123"/>
        <v>488353</v>
      </c>
      <c r="M2396" s="242">
        <f t="shared" si="123"/>
        <v>436774</v>
      </c>
      <c r="N2396" s="275"/>
    </row>
    <row r="2397" spans="1:14">
      <c r="A2397" s="286"/>
      <c r="B2397" s="332"/>
      <c r="C2397" s="332"/>
      <c r="D2397" s="66" t="s">
        <v>415</v>
      </c>
      <c r="E2397">
        <v>1</v>
      </c>
      <c r="G2397" t="s">
        <v>428</v>
      </c>
      <c r="H2397" s="107">
        <v>44196</v>
      </c>
      <c r="I2397" s="240">
        <v>5853811</v>
      </c>
      <c r="J2397" s="240"/>
      <c r="K2397" s="240">
        <v>4555560</v>
      </c>
      <c r="L2397" s="240">
        <v>4933826</v>
      </c>
      <c r="M2397" s="240">
        <v>5767108</v>
      </c>
      <c r="N2397" s="272"/>
    </row>
    <row r="2398" spans="1:14">
      <c r="A2398" s="286"/>
      <c r="B2398" s="332"/>
      <c r="C2398" s="332"/>
      <c r="D2398" s="66" t="s">
        <v>415</v>
      </c>
      <c r="E2398">
        <v>2</v>
      </c>
      <c r="G2398" t="s">
        <v>428</v>
      </c>
      <c r="H2398" s="107">
        <v>44196</v>
      </c>
      <c r="I2398" s="240">
        <v>93024</v>
      </c>
      <c r="K2398" s="240">
        <v>77647</v>
      </c>
      <c r="L2398" s="240">
        <v>116017</v>
      </c>
      <c r="M2398" s="240">
        <v>116059</v>
      </c>
      <c r="N2398" s="272"/>
    </row>
    <row r="2399" spans="1:14">
      <c r="A2399" s="286"/>
      <c r="B2399" s="332"/>
      <c r="C2399" s="332"/>
      <c r="D2399" s="66" t="s">
        <v>415</v>
      </c>
      <c r="E2399">
        <v>3</v>
      </c>
      <c r="G2399" t="s">
        <v>428</v>
      </c>
      <c r="H2399" s="107">
        <v>44196</v>
      </c>
      <c r="I2399" s="240">
        <v>99310</v>
      </c>
      <c r="K2399" s="240">
        <v>82855</v>
      </c>
      <c r="L2399" s="240">
        <v>78019</v>
      </c>
      <c r="M2399" s="240">
        <v>50360</v>
      </c>
      <c r="N2399" s="272"/>
    </row>
    <row r="2400" spans="1:14">
      <c r="A2400" s="286"/>
      <c r="B2400" s="332"/>
      <c r="C2400" s="332"/>
      <c r="D2400" s="66" t="s">
        <v>415</v>
      </c>
      <c r="E2400">
        <v>4</v>
      </c>
      <c r="G2400" t="s">
        <v>428</v>
      </c>
      <c r="H2400" s="107">
        <v>44196</v>
      </c>
      <c r="I2400" s="240">
        <v>199858</v>
      </c>
      <c r="J2400" s="240"/>
      <c r="K2400" s="240">
        <v>327344</v>
      </c>
      <c r="L2400" s="240">
        <v>275557</v>
      </c>
      <c r="M2400" s="240">
        <v>247961</v>
      </c>
      <c r="N2400" s="272"/>
    </row>
    <row r="2401" spans="1:14">
      <c r="A2401" s="286"/>
      <c r="B2401" s="332"/>
      <c r="C2401" s="332"/>
      <c r="D2401" s="66" t="s">
        <v>415</v>
      </c>
      <c r="E2401">
        <v>5</v>
      </c>
      <c r="G2401" t="s">
        <v>428</v>
      </c>
      <c r="H2401" s="107">
        <v>44196</v>
      </c>
      <c r="I2401" s="240">
        <v>23507</v>
      </c>
      <c r="J2401" s="240"/>
      <c r="K2401" s="240">
        <v>24682</v>
      </c>
      <c r="L2401" s="240">
        <v>25019</v>
      </c>
      <c r="M2401" s="240">
        <v>24901</v>
      </c>
      <c r="N2401" s="272"/>
    </row>
    <row r="2402" spans="1:14">
      <c r="A2402" s="286"/>
      <c r="B2402" s="332"/>
      <c r="C2402" s="332"/>
      <c r="D2402" s="66" t="s">
        <v>415</v>
      </c>
      <c r="E2402">
        <v>6</v>
      </c>
      <c r="G2402" t="s">
        <v>428</v>
      </c>
      <c r="H2402" s="107">
        <v>44196</v>
      </c>
      <c r="I2402" s="240">
        <v>177483</v>
      </c>
      <c r="J2402" s="240"/>
      <c r="K2402">
        <v>217975</v>
      </c>
      <c r="L2402" s="240">
        <v>281967</v>
      </c>
      <c r="M2402" s="240">
        <v>80804</v>
      </c>
      <c r="N2402" s="272"/>
    </row>
    <row r="2403" spans="1:14">
      <c r="A2403" s="286"/>
      <c r="B2403" s="332"/>
      <c r="C2403" s="332"/>
      <c r="D2403" s="66" t="s">
        <v>415</v>
      </c>
      <c r="E2403">
        <v>7</v>
      </c>
      <c r="G2403" t="s">
        <v>428</v>
      </c>
      <c r="H2403" s="107">
        <v>44196</v>
      </c>
      <c r="I2403" s="240">
        <v>23338</v>
      </c>
      <c r="K2403" s="240">
        <v>20751</v>
      </c>
      <c r="L2403" s="240">
        <v>27058</v>
      </c>
      <c r="M2403" s="240">
        <v>35211</v>
      </c>
      <c r="N2403" s="272"/>
    </row>
    <row r="2404" spans="1:14">
      <c r="A2404" s="286"/>
      <c r="B2404" s="332"/>
      <c r="C2404" s="332"/>
      <c r="D2404" s="66" t="s">
        <v>415</v>
      </c>
      <c r="E2404">
        <v>8</v>
      </c>
      <c r="G2404" t="s">
        <v>428</v>
      </c>
      <c r="H2404" s="107">
        <v>44196</v>
      </c>
      <c r="I2404" s="240">
        <v>23243</v>
      </c>
      <c r="J2404" s="240"/>
      <c r="K2404" s="240">
        <v>29067</v>
      </c>
      <c r="L2404" s="240">
        <v>25400</v>
      </c>
      <c r="M2404" s="240">
        <v>46060</v>
      </c>
      <c r="N2404" s="272"/>
    </row>
    <row r="2405" spans="1:14">
      <c r="A2405" s="286"/>
      <c r="B2405" s="332"/>
      <c r="C2405" s="332"/>
      <c r="D2405" s="66" t="s">
        <v>415</v>
      </c>
      <c r="E2405">
        <v>9</v>
      </c>
      <c r="G2405" t="s">
        <v>428</v>
      </c>
      <c r="H2405" s="107">
        <v>44196</v>
      </c>
      <c r="I2405" s="240">
        <v>316081</v>
      </c>
      <c r="J2405" s="240"/>
      <c r="K2405" s="240">
        <v>296430</v>
      </c>
      <c r="L2405" s="240">
        <v>404203</v>
      </c>
      <c r="M2405" s="240">
        <v>377767</v>
      </c>
      <c r="N2405" s="272"/>
    </row>
    <row r="2406" spans="1:14">
      <c r="A2406" s="286"/>
      <c r="B2406" s="332"/>
      <c r="C2406" s="332"/>
      <c r="D2406" s="66" t="s">
        <v>415</v>
      </c>
      <c r="E2406">
        <v>11</v>
      </c>
      <c r="G2406" t="s">
        <v>428</v>
      </c>
      <c r="H2406" s="107">
        <v>44196</v>
      </c>
      <c r="I2406" s="240">
        <v>706936</v>
      </c>
      <c r="J2406" s="240"/>
      <c r="K2406">
        <v>869137</v>
      </c>
      <c r="L2406" s="240">
        <v>1012732</v>
      </c>
      <c r="M2406" s="240">
        <v>978895</v>
      </c>
      <c r="N2406" s="272"/>
    </row>
    <row r="2407" spans="1:14">
      <c r="A2407" s="286"/>
      <c r="B2407" s="332"/>
      <c r="C2407" s="332"/>
      <c r="D2407" s="66" t="s">
        <v>415</v>
      </c>
      <c r="E2407">
        <v>12</v>
      </c>
      <c r="G2407" t="s">
        <v>428</v>
      </c>
      <c r="H2407" s="107">
        <v>44196</v>
      </c>
      <c r="I2407" s="240">
        <v>23508</v>
      </c>
      <c r="J2407" s="240"/>
      <c r="K2407" s="240">
        <v>89036</v>
      </c>
      <c r="L2407" s="240">
        <v>77266</v>
      </c>
      <c r="M2407" s="240">
        <v>72072</v>
      </c>
      <c r="N2407" s="272"/>
    </row>
    <row r="2408" spans="1:14">
      <c r="A2408" s="286"/>
      <c r="B2408" s="332"/>
      <c r="C2408" s="332"/>
      <c r="D2408" s="66" t="s">
        <v>415</v>
      </c>
      <c r="E2408">
        <v>13</v>
      </c>
      <c r="G2408" t="s">
        <v>428</v>
      </c>
      <c r="H2408" s="107">
        <v>44196</v>
      </c>
      <c r="I2408" s="240">
        <v>956</v>
      </c>
      <c r="J2408" s="240"/>
      <c r="K2408" s="240">
        <v>12592</v>
      </c>
      <c r="L2408" s="240">
        <v>25047</v>
      </c>
      <c r="M2408" s="240">
        <v>5947</v>
      </c>
      <c r="N2408" s="272"/>
    </row>
    <row r="2409" spans="1:14">
      <c r="A2409" s="286"/>
      <c r="B2409" s="332"/>
      <c r="C2409" s="332"/>
      <c r="D2409" s="66" t="s">
        <v>415</v>
      </c>
      <c r="E2409" s="241" t="s">
        <v>660</v>
      </c>
      <c r="G2409" s="241" t="s">
        <v>428</v>
      </c>
      <c r="H2409" s="107">
        <v>44196</v>
      </c>
      <c r="I2409" s="242">
        <f t="shared" ref="I2409:K2409" si="124">SUM(I2397:I2408)</f>
        <v>7541055</v>
      </c>
      <c r="J2409" s="242"/>
      <c r="K2409" s="242">
        <f t="shared" si="124"/>
        <v>6603076</v>
      </c>
      <c r="L2409" s="242">
        <f>SUM(L2397:L2408)</f>
        <v>7282111</v>
      </c>
      <c r="M2409" s="242">
        <f t="shared" ref="M2409" si="125">SUM(M2397:M2408)</f>
        <v>7803145</v>
      </c>
      <c r="N2409" s="275"/>
    </row>
    <row r="2410" spans="1:14">
      <c r="A2410" s="286"/>
      <c r="B2410" s="332"/>
      <c r="C2410" s="332"/>
      <c r="D2410" s="66" t="s">
        <v>417</v>
      </c>
      <c r="E2410" t="s">
        <v>661</v>
      </c>
      <c r="G2410" t="s">
        <v>748</v>
      </c>
      <c r="H2410" s="107">
        <v>44196</v>
      </c>
      <c r="I2410" s="240"/>
      <c r="K2410" s="240"/>
      <c r="M2410" s="240">
        <v>26617</v>
      </c>
      <c r="N2410" s="273"/>
    </row>
    <row r="2411" spans="1:14">
      <c r="A2411" s="294"/>
      <c r="B2411" s="333"/>
      <c r="C2411" s="333"/>
      <c r="D2411" s="66" t="s">
        <v>418</v>
      </c>
      <c r="H2411" s="107">
        <v>44196</v>
      </c>
      <c r="I2411" s="240"/>
      <c r="M2411" s="93" t="s">
        <v>1151</v>
      </c>
      <c r="N2411" s="274"/>
    </row>
    <row r="2412" spans="1:14">
      <c r="A2412" s="291" t="s">
        <v>1124</v>
      </c>
      <c r="B2412" s="331" t="s">
        <v>1132</v>
      </c>
      <c r="C2412" s="331" t="s">
        <v>1133</v>
      </c>
      <c r="H2412" s="107"/>
      <c r="I2412"/>
    </row>
    <row r="2413" spans="1:14">
      <c r="A2413" s="286"/>
      <c r="B2413" s="332"/>
      <c r="C2413" s="332"/>
      <c r="D2413" s="66" t="s">
        <v>411</v>
      </c>
      <c r="E2413" s="241"/>
      <c r="G2413" s="241" t="s">
        <v>428</v>
      </c>
      <c r="H2413" s="107">
        <v>43830</v>
      </c>
      <c r="I2413" s="242">
        <v>320780</v>
      </c>
      <c r="J2413" s="242">
        <v>295677</v>
      </c>
      <c r="K2413" s="242">
        <v>301896</v>
      </c>
      <c r="L2413" s="242">
        <v>285798</v>
      </c>
      <c r="M2413" s="242"/>
      <c r="N2413" s="275"/>
    </row>
    <row r="2414" spans="1:14">
      <c r="A2414" s="286"/>
      <c r="B2414" s="332"/>
      <c r="C2414" s="332"/>
      <c r="D2414" s="66" t="s">
        <v>412</v>
      </c>
      <c r="E2414" t="s">
        <v>705</v>
      </c>
      <c r="G2414" t="s">
        <v>428</v>
      </c>
      <c r="H2414" s="107">
        <v>43830</v>
      </c>
      <c r="I2414" s="240">
        <v>336689</v>
      </c>
      <c r="J2414" s="240">
        <v>170851</v>
      </c>
      <c r="K2414" s="240">
        <v>144863</v>
      </c>
      <c r="L2414" s="240">
        <v>133971</v>
      </c>
      <c r="M2414" s="240"/>
      <c r="N2414" s="272"/>
    </row>
    <row r="2415" spans="1:14">
      <c r="A2415" s="286"/>
      <c r="B2415" s="332"/>
      <c r="C2415" s="332"/>
      <c r="D2415" s="66" t="s">
        <v>412</v>
      </c>
      <c r="E2415" t="s">
        <v>728</v>
      </c>
      <c r="G2415" t="s">
        <v>428</v>
      </c>
      <c r="H2415" s="107">
        <v>43830</v>
      </c>
      <c r="I2415" s="240">
        <v>263632</v>
      </c>
      <c r="J2415" s="240">
        <v>248263</v>
      </c>
      <c r="K2415" s="240">
        <v>230697</v>
      </c>
      <c r="L2415" s="240">
        <v>213718</v>
      </c>
      <c r="M2415" s="240"/>
      <c r="N2415" s="272"/>
    </row>
    <row r="2416" spans="1:14">
      <c r="A2416" s="286"/>
      <c r="B2416" s="332"/>
      <c r="C2416" s="332"/>
      <c r="D2416" s="66" t="s">
        <v>414</v>
      </c>
      <c r="E2416" s="241"/>
      <c r="G2416" s="241" t="s">
        <v>428</v>
      </c>
      <c r="H2416" s="107">
        <v>43830</v>
      </c>
      <c r="I2416" s="242">
        <f>I2413+I2415</f>
        <v>584412</v>
      </c>
      <c r="J2416" s="242">
        <f t="shared" ref="J2416:L2416" si="126">J2413+J2415</f>
        <v>543940</v>
      </c>
      <c r="K2416" s="242">
        <f t="shared" si="126"/>
        <v>532593</v>
      </c>
      <c r="L2416" s="242">
        <f t="shared" si="126"/>
        <v>499516</v>
      </c>
      <c r="M2416" s="242"/>
      <c r="N2416" s="275"/>
    </row>
    <row r="2417" spans="1:14">
      <c r="A2417" s="286"/>
      <c r="B2417" s="332"/>
      <c r="C2417" s="332"/>
      <c r="D2417" s="66" t="s">
        <v>415</v>
      </c>
      <c r="E2417">
        <v>1</v>
      </c>
      <c r="G2417" t="s">
        <v>428</v>
      </c>
      <c r="H2417" s="107">
        <v>43830</v>
      </c>
      <c r="I2417" s="240">
        <v>5554613</v>
      </c>
      <c r="J2417" s="240">
        <v>3887601</v>
      </c>
      <c r="K2417" s="240">
        <v>4280044</v>
      </c>
      <c r="L2417" s="240">
        <v>4933826</v>
      </c>
      <c r="M2417" s="240"/>
      <c r="N2417" s="272"/>
    </row>
    <row r="2418" spans="1:14">
      <c r="A2418" s="286"/>
      <c r="B2418" s="332"/>
      <c r="C2418" s="332"/>
      <c r="D2418" s="66" t="s">
        <v>415</v>
      </c>
      <c r="E2418">
        <v>2</v>
      </c>
      <c r="G2418" t="s">
        <v>428</v>
      </c>
      <c r="H2418" s="107">
        <v>43830</v>
      </c>
      <c r="I2418" s="240">
        <v>93024</v>
      </c>
      <c r="J2418" s="240">
        <v>82935</v>
      </c>
      <c r="K2418" s="240">
        <v>77647</v>
      </c>
      <c r="L2418" s="240">
        <v>116017</v>
      </c>
      <c r="M2418" s="240"/>
      <c r="N2418" s="272"/>
    </row>
    <row r="2419" spans="1:14">
      <c r="A2419" s="286"/>
      <c r="B2419" s="332"/>
      <c r="C2419" s="332"/>
      <c r="D2419" s="66" t="s">
        <v>415</v>
      </c>
      <c r="E2419">
        <v>3</v>
      </c>
      <c r="G2419" t="s">
        <v>428</v>
      </c>
      <c r="H2419" s="107">
        <v>43830</v>
      </c>
      <c r="I2419" s="240">
        <v>102733</v>
      </c>
      <c r="J2419" s="240">
        <v>90798</v>
      </c>
      <c r="K2419" s="240">
        <v>87809</v>
      </c>
      <c r="L2419" s="240">
        <v>82838</v>
      </c>
      <c r="M2419" s="240"/>
      <c r="N2419" s="272"/>
    </row>
    <row r="2420" spans="1:14">
      <c r="A2420" s="286"/>
      <c r="B2420" s="332"/>
      <c r="C2420" s="332"/>
      <c r="D2420" s="66" t="s">
        <v>415</v>
      </c>
      <c r="E2420">
        <v>4</v>
      </c>
      <c r="G2420" t="s">
        <v>428</v>
      </c>
      <c r="H2420" s="107">
        <v>43830</v>
      </c>
      <c r="I2420" s="240">
        <v>195763</v>
      </c>
      <c r="J2420" s="240">
        <v>288406</v>
      </c>
      <c r="K2420" s="240">
        <v>297859</v>
      </c>
      <c r="L2420" s="240">
        <v>260875</v>
      </c>
      <c r="M2420" s="240"/>
      <c r="N2420" s="272"/>
    </row>
    <row r="2421" spans="1:14">
      <c r="A2421" s="286"/>
      <c r="B2421" s="332"/>
      <c r="C2421" s="332"/>
      <c r="D2421" s="66" t="s">
        <v>415</v>
      </c>
      <c r="E2421">
        <v>5</v>
      </c>
      <c r="G2421" t="s">
        <v>428</v>
      </c>
      <c r="H2421" s="107">
        <v>43830</v>
      </c>
      <c r="I2421" s="240">
        <v>22495</v>
      </c>
      <c r="J2421" s="240">
        <v>25832</v>
      </c>
      <c r="K2421" s="240">
        <v>24928</v>
      </c>
      <c r="L2421" s="240">
        <v>24963</v>
      </c>
      <c r="M2421" s="240"/>
      <c r="N2421" s="272"/>
    </row>
    <row r="2422" spans="1:14">
      <c r="A2422" s="286"/>
      <c r="B2422" s="332"/>
      <c r="C2422" s="332"/>
      <c r="D2422" s="66" t="s">
        <v>415</v>
      </c>
      <c r="E2422">
        <v>6</v>
      </c>
      <c r="G2422" t="s">
        <v>428</v>
      </c>
      <c r="H2422" s="107">
        <v>43830</v>
      </c>
      <c r="I2422" s="240">
        <v>139502</v>
      </c>
      <c r="J2422" s="240">
        <v>139868</v>
      </c>
      <c r="K2422">
        <v>181126</v>
      </c>
      <c r="L2422" s="240">
        <v>234016</v>
      </c>
      <c r="M2422" s="240"/>
      <c r="N2422" s="272"/>
    </row>
    <row r="2423" spans="1:14">
      <c r="A2423" s="286"/>
      <c r="B2423" s="332"/>
      <c r="C2423" s="332"/>
      <c r="D2423" s="66" t="s">
        <v>415</v>
      </c>
      <c r="E2423">
        <v>7</v>
      </c>
      <c r="G2423" t="s">
        <v>428</v>
      </c>
      <c r="H2423" s="107">
        <v>43830</v>
      </c>
      <c r="I2423" s="240">
        <v>23338</v>
      </c>
      <c r="J2423" s="240">
        <v>20751</v>
      </c>
      <c r="K2423" s="240">
        <v>20751</v>
      </c>
      <c r="L2423" s="240">
        <v>27058</v>
      </c>
      <c r="M2423" s="240"/>
      <c r="N2423" s="272"/>
    </row>
    <row r="2424" spans="1:14">
      <c r="A2424" s="286"/>
      <c r="B2424" s="332"/>
      <c r="C2424" s="332"/>
      <c r="D2424" s="66" t="s">
        <v>415</v>
      </c>
      <c r="E2424">
        <v>8</v>
      </c>
      <c r="G2424" t="s">
        <v>428</v>
      </c>
      <c r="H2424" s="107">
        <v>43830</v>
      </c>
      <c r="I2424" s="240">
        <v>23243</v>
      </c>
      <c r="J2424" s="240">
        <v>29067</v>
      </c>
      <c r="K2424" s="240">
        <v>29067</v>
      </c>
      <c r="L2424" s="240">
        <v>25400</v>
      </c>
      <c r="M2424" s="240"/>
      <c r="N2424" s="272"/>
    </row>
    <row r="2425" spans="1:14">
      <c r="A2425" s="286"/>
      <c r="B2425" s="332"/>
      <c r="C2425" s="332"/>
      <c r="D2425" s="66" t="s">
        <v>415</v>
      </c>
      <c r="E2425">
        <v>9</v>
      </c>
      <c r="G2425" t="s">
        <v>428</v>
      </c>
      <c r="H2425" s="107">
        <v>43830</v>
      </c>
      <c r="I2425" s="240">
        <v>316081</v>
      </c>
      <c r="J2425" s="240">
        <v>302869</v>
      </c>
      <c r="K2425" s="240">
        <v>296430</v>
      </c>
      <c r="L2425" s="240">
        <v>404203</v>
      </c>
      <c r="M2425" s="240"/>
      <c r="N2425" s="272"/>
    </row>
    <row r="2426" spans="1:14">
      <c r="A2426" s="286"/>
      <c r="B2426" s="332"/>
      <c r="C2426" s="332"/>
      <c r="D2426" s="66" t="s">
        <v>415</v>
      </c>
      <c r="E2426">
        <v>11</v>
      </c>
      <c r="G2426" t="s">
        <v>428</v>
      </c>
      <c r="H2426" s="107">
        <v>43830</v>
      </c>
      <c r="I2426" s="240">
        <v>706936</v>
      </c>
      <c r="J2426" s="240">
        <v>893802</v>
      </c>
      <c r="K2426">
        <v>876618</v>
      </c>
      <c r="L2426" s="240">
        <v>1023097</v>
      </c>
      <c r="M2426" s="240"/>
      <c r="N2426" s="272"/>
    </row>
    <row r="2427" spans="1:14">
      <c r="A2427" s="286"/>
      <c r="B2427" s="332"/>
      <c r="C2427" s="332"/>
      <c r="D2427" s="66" t="s">
        <v>415</v>
      </c>
      <c r="E2427">
        <v>12</v>
      </c>
      <c r="G2427" t="s">
        <v>428</v>
      </c>
      <c r="H2427" s="107">
        <v>43830</v>
      </c>
      <c r="I2427" s="240">
        <v>23508</v>
      </c>
      <c r="J2427" s="240">
        <v>80786</v>
      </c>
      <c r="K2427" s="240">
        <v>89036</v>
      </c>
      <c r="L2427" s="240">
        <v>77266</v>
      </c>
      <c r="M2427" s="240"/>
      <c r="N2427" s="272"/>
    </row>
    <row r="2428" spans="1:14">
      <c r="A2428" s="286"/>
      <c r="B2428" s="332"/>
      <c r="C2428" s="332"/>
      <c r="D2428" s="66" t="s">
        <v>415</v>
      </c>
      <c r="E2428">
        <v>13</v>
      </c>
      <c r="G2428" t="s">
        <v>428</v>
      </c>
      <c r="H2428" s="107">
        <v>43830</v>
      </c>
      <c r="I2428" s="240">
        <v>956</v>
      </c>
      <c r="J2428" s="240">
        <v>12592</v>
      </c>
      <c r="K2428" s="240">
        <v>12592</v>
      </c>
      <c r="L2428" s="240">
        <v>25047</v>
      </c>
      <c r="M2428" s="240"/>
      <c r="N2428" s="272"/>
    </row>
    <row r="2429" spans="1:14">
      <c r="A2429" s="286"/>
      <c r="B2429" s="332"/>
      <c r="C2429" s="332"/>
      <c r="D2429" s="66" t="s">
        <v>415</v>
      </c>
      <c r="E2429" s="241" t="s">
        <v>660</v>
      </c>
      <c r="G2429" s="241" t="s">
        <v>428</v>
      </c>
      <c r="H2429" s="107">
        <v>43830</v>
      </c>
      <c r="I2429" s="242">
        <f t="shared" ref="I2429:K2429" si="127">SUM(I2417:I2428)</f>
        <v>7202192</v>
      </c>
      <c r="J2429" s="242">
        <f t="shared" si="127"/>
        <v>5855307</v>
      </c>
      <c r="K2429" s="242">
        <f t="shared" si="127"/>
        <v>6273907</v>
      </c>
      <c r="L2429" s="242">
        <f>SUM(L2417:L2428)</f>
        <v>7234606</v>
      </c>
      <c r="M2429" s="242"/>
      <c r="N2429" s="275"/>
    </row>
    <row r="2430" spans="1:14">
      <c r="A2430" s="286"/>
      <c r="B2430" s="332"/>
      <c r="C2430" s="332"/>
      <c r="D2430" s="66" t="s">
        <v>417</v>
      </c>
      <c r="E2430" t="s">
        <v>661</v>
      </c>
      <c r="G2430" t="s">
        <v>748</v>
      </c>
      <c r="H2430" s="107">
        <v>43830</v>
      </c>
      <c r="I2430" s="240"/>
      <c r="K2430" s="240"/>
      <c r="L2430" s="240">
        <v>24384</v>
      </c>
      <c r="M2430" s="240"/>
      <c r="N2430" s="273"/>
    </row>
    <row r="2431" spans="1:14">
      <c r="A2431" s="286"/>
      <c r="B2431" s="332"/>
      <c r="C2431" s="332"/>
      <c r="D2431" s="66" t="s">
        <v>418</v>
      </c>
      <c r="H2431" s="107">
        <v>43830</v>
      </c>
      <c r="I2431" s="240"/>
      <c r="L2431" s="93" t="s">
        <v>1151</v>
      </c>
      <c r="M2431" s="93"/>
      <c r="N2431" s="274"/>
    </row>
    <row r="2432" spans="1:14">
      <c r="A2432" s="294"/>
      <c r="B2432" s="333"/>
      <c r="C2432" s="333"/>
      <c r="D2432" s="66"/>
      <c r="H2432" s="107"/>
      <c r="I2432" s="65"/>
      <c r="L2432" s="109"/>
      <c r="M2432" s="109"/>
      <c r="N2432" s="216"/>
    </row>
    <row r="2433" spans="1:17">
      <c r="A2433" s="243"/>
      <c r="B2433" s="244"/>
      <c r="C2433" s="244"/>
      <c r="H2433" s="107"/>
      <c r="I2433"/>
    </row>
    <row r="2434" spans="1:17" s="246" customFormat="1">
      <c r="A2434" s="291" t="s">
        <v>1125</v>
      </c>
      <c r="B2434" s="331" t="s">
        <v>1135</v>
      </c>
      <c r="C2434" s="331" t="s">
        <v>1136</v>
      </c>
      <c r="D2434" s="245" t="s">
        <v>411</v>
      </c>
      <c r="G2434" s="246" t="s">
        <v>428</v>
      </c>
      <c r="H2434" s="247">
        <v>44742</v>
      </c>
      <c r="I2434" s="248"/>
      <c r="J2434" s="248"/>
      <c r="K2434" s="248">
        <v>118</v>
      </c>
      <c r="L2434" s="248">
        <v>187</v>
      </c>
      <c r="M2434" s="248">
        <v>41</v>
      </c>
      <c r="N2434" s="276">
        <v>364</v>
      </c>
      <c r="Q2434" s="71"/>
    </row>
    <row r="2435" spans="1:17" s="246" customFormat="1">
      <c r="A2435" s="286"/>
      <c r="B2435" s="332"/>
      <c r="C2435" s="332"/>
      <c r="D2435" s="245" t="s">
        <v>411</v>
      </c>
      <c r="E2435" s="246" t="s">
        <v>1152</v>
      </c>
      <c r="G2435" s="246" t="s">
        <v>428</v>
      </c>
      <c r="H2435" s="247">
        <v>44742</v>
      </c>
      <c r="I2435" s="248" t="s">
        <v>970</v>
      </c>
      <c r="J2435" s="248"/>
      <c r="K2435" s="248">
        <v>2</v>
      </c>
      <c r="L2435" s="248">
        <v>88</v>
      </c>
      <c r="M2435" s="248">
        <v>0</v>
      </c>
      <c r="N2435" s="276">
        <v>0</v>
      </c>
      <c r="Q2435" s="71"/>
    </row>
    <row r="2436" spans="1:17">
      <c r="A2436" s="286"/>
      <c r="B2436" s="332"/>
      <c r="C2436" s="332"/>
      <c r="D2436" s="66" t="s">
        <v>411</v>
      </c>
      <c r="E2436" s="241" t="s">
        <v>443</v>
      </c>
      <c r="G2436" s="241" t="s">
        <v>428</v>
      </c>
      <c r="H2436" s="247">
        <v>44742</v>
      </c>
      <c r="I2436" s="242"/>
      <c r="J2436" s="242"/>
      <c r="K2436" s="242">
        <f t="shared" ref="K2436:N2436" si="128">K2434+K2435</f>
        <v>120</v>
      </c>
      <c r="L2436" s="242">
        <f t="shared" si="128"/>
        <v>275</v>
      </c>
      <c r="M2436" s="242">
        <f t="shared" si="128"/>
        <v>41</v>
      </c>
      <c r="N2436" s="275">
        <f t="shared" si="128"/>
        <v>364</v>
      </c>
    </row>
    <row r="2437" spans="1:17" s="241" customFormat="1">
      <c r="A2437" s="286"/>
      <c r="B2437" s="332"/>
      <c r="C2437" s="332"/>
      <c r="D2437" s="66" t="s">
        <v>412</v>
      </c>
      <c r="E2437" s="241" t="s">
        <v>705</v>
      </c>
      <c r="G2437" s="241" t="s">
        <v>428</v>
      </c>
      <c r="H2437" s="249">
        <v>44742</v>
      </c>
      <c r="I2437" s="242"/>
      <c r="J2437" s="242"/>
      <c r="K2437" s="242"/>
      <c r="L2437" s="242"/>
      <c r="M2437" s="242"/>
      <c r="N2437" s="275"/>
      <c r="Q2437" s="71"/>
    </row>
    <row r="2438" spans="1:17">
      <c r="A2438" s="286"/>
      <c r="B2438" s="332"/>
      <c r="C2438" s="332"/>
      <c r="D2438" s="66" t="s">
        <v>412</v>
      </c>
      <c r="E2438" s="250" t="s">
        <v>1153</v>
      </c>
      <c r="G2438" t="s">
        <v>428</v>
      </c>
      <c r="H2438" s="247">
        <v>44742</v>
      </c>
      <c r="I2438" s="240" t="s">
        <v>970</v>
      </c>
      <c r="J2438" s="240"/>
      <c r="K2438" s="240">
        <v>146</v>
      </c>
      <c r="L2438" s="240">
        <v>201</v>
      </c>
      <c r="M2438" s="240">
        <v>211</v>
      </c>
      <c r="N2438" s="272">
        <v>207</v>
      </c>
    </row>
    <row r="2439" spans="1:17">
      <c r="A2439" s="286"/>
      <c r="B2439" s="332"/>
      <c r="C2439" s="332"/>
      <c r="D2439" s="66" t="s">
        <v>412</v>
      </c>
      <c r="E2439" s="250" t="s">
        <v>1154</v>
      </c>
      <c r="G2439" t="s">
        <v>428</v>
      </c>
      <c r="H2439" s="247">
        <v>44742</v>
      </c>
      <c r="I2439" s="240" t="s">
        <v>970</v>
      </c>
      <c r="J2439" s="240"/>
      <c r="K2439" s="240">
        <v>1940</v>
      </c>
      <c r="L2439" s="240">
        <v>2308</v>
      </c>
      <c r="M2439" s="240">
        <v>1357</v>
      </c>
      <c r="N2439" s="272">
        <v>1573</v>
      </c>
    </row>
    <row r="2440" spans="1:17">
      <c r="A2440" s="286"/>
      <c r="B2440" s="332"/>
      <c r="C2440" s="332"/>
      <c r="D2440" s="66" t="s">
        <v>412</v>
      </c>
      <c r="E2440" s="250" t="s">
        <v>1155</v>
      </c>
      <c r="G2440" t="s">
        <v>428</v>
      </c>
      <c r="H2440" s="247">
        <v>44742</v>
      </c>
      <c r="I2440" s="240" t="s">
        <v>970</v>
      </c>
      <c r="J2440" s="240"/>
      <c r="K2440" s="240">
        <v>394</v>
      </c>
      <c r="L2440" s="240">
        <v>492</v>
      </c>
      <c r="M2440" s="240">
        <v>423</v>
      </c>
      <c r="N2440" s="272">
        <v>363</v>
      </c>
    </row>
    <row r="2441" spans="1:17">
      <c r="A2441" s="286"/>
      <c r="B2441" s="332"/>
      <c r="C2441" s="332"/>
      <c r="D2441" s="66" t="s">
        <v>412</v>
      </c>
      <c r="E2441" s="250" t="s">
        <v>1156</v>
      </c>
      <c r="G2441" t="s">
        <v>428</v>
      </c>
      <c r="H2441" s="247">
        <v>44742</v>
      </c>
      <c r="I2441" s="240" t="s">
        <v>970</v>
      </c>
      <c r="J2441" s="240"/>
      <c r="K2441" s="240">
        <v>78</v>
      </c>
      <c r="L2441" s="240">
        <v>78</v>
      </c>
      <c r="M2441" s="240">
        <v>33</v>
      </c>
      <c r="N2441" s="272">
        <v>12</v>
      </c>
    </row>
    <row r="2442" spans="1:17">
      <c r="A2442" s="286"/>
      <c r="B2442" s="332"/>
      <c r="C2442" s="332"/>
      <c r="D2442" s="66" t="s">
        <v>412</v>
      </c>
      <c r="E2442" s="251" t="s">
        <v>443</v>
      </c>
      <c r="F2442" s="251" t="s">
        <v>1157</v>
      </c>
      <c r="G2442" s="241" t="s">
        <v>428</v>
      </c>
      <c r="H2442" s="249">
        <v>44742</v>
      </c>
      <c r="I2442" s="242"/>
      <c r="J2442" s="242"/>
      <c r="K2442" s="242">
        <f>SUM(K2438:K2441)</f>
        <v>2558</v>
      </c>
      <c r="L2442" s="242">
        <f t="shared" ref="L2442:N2442" si="129">SUM(L2438:L2441)</f>
        <v>3079</v>
      </c>
      <c r="M2442" s="242">
        <f t="shared" si="129"/>
        <v>2024</v>
      </c>
      <c r="N2442" s="275">
        <f t="shared" si="129"/>
        <v>2155</v>
      </c>
    </row>
    <row r="2443" spans="1:17">
      <c r="A2443" s="286"/>
      <c r="B2443" s="332"/>
      <c r="C2443" s="332"/>
      <c r="D2443" s="66" t="s">
        <v>412</v>
      </c>
      <c r="E2443" s="251"/>
      <c r="F2443" s="251" t="s">
        <v>1158</v>
      </c>
      <c r="G2443" s="241" t="s">
        <v>428</v>
      </c>
      <c r="H2443" s="249">
        <v>44742</v>
      </c>
      <c r="I2443" s="242" t="s">
        <v>970</v>
      </c>
      <c r="J2443" s="242"/>
      <c r="K2443" s="242">
        <v>2559</v>
      </c>
      <c r="L2443" s="242">
        <f>L2440+L2438</f>
        <v>693</v>
      </c>
      <c r="M2443" s="242">
        <f t="shared" ref="M2443:N2443" si="130">M2440+M2438</f>
        <v>634</v>
      </c>
      <c r="N2443" s="275">
        <f t="shared" si="130"/>
        <v>570</v>
      </c>
    </row>
    <row r="2444" spans="1:17">
      <c r="A2444" s="286"/>
      <c r="B2444" s="332"/>
      <c r="C2444" s="332"/>
      <c r="D2444" s="66" t="s">
        <v>412</v>
      </c>
      <c r="E2444" t="s">
        <v>1159</v>
      </c>
      <c r="G2444" t="s">
        <v>428</v>
      </c>
      <c r="H2444" s="247">
        <v>44742</v>
      </c>
      <c r="I2444" s="240" t="s">
        <v>970</v>
      </c>
      <c r="J2444" s="240"/>
      <c r="K2444" s="240">
        <v>146</v>
      </c>
      <c r="L2444" s="240">
        <v>201</v>
      </c>
      <c r="M2444" s="240">
        <v>211</v>
      </c>
      <c r="N2444" s="272">
        <v>207</v>
      </c>
    </row>
    <row r="2445" spans="1:17">
      <c r="A2445" s="286"/>
      <c r="B2445" s="332"/>
      <c r="C2445" s="332"/>
      <c r="D2445" s="66" t="s">
        <v>412</v>
      </c>
      <c r="E2445" t="s">
        <v>1160</v>
      </c>
      <c r="G2445" t="s">
        <v>428</v>
      </c>
      <c r="H2445" s="247">
        <v>44742</v>
      </c>
      <c r="I2445" s="240" t="s">
        <v>970</v>
      </c>
      <c r="J2445" s="240"/>
      <c r="K2445" s="240">
        <v>1887</v>
      </c>
      <c r="L2445" s="240">
        <v>2328</v>
      </c>
      <c r="M2445" s="240">
        <v>1393</v>
      </c>
      <c r="N2445" s="272">
        <v>1579</v>
      </c>
    </row>
    <row r="2446" spans="1:17">
      <c r="A2446" s="286"/>
      <c r="B2446" s="332"/>
      <c r="C2446" s="332"/>
      <c r="D2446" s="66" t="s">
        <v>412</v>
      </c>
      <c r="E2446" t="s">
        <v>1161</v>
      </c>
      <c r="G2446" t="s">
        <v>428</v>
      </c>
      <c r="H2446" s="247">
        <v>44742</v>
      </c>
      <c r="I2446" s="240" t="s">
        <v>970</v>
      </c>
      <c r="J2446" s="240"/>
      <c r="K2446" s="240">
        <v>394</v>
      </c>
      <c r="L2446" s="240">
        <v>492</v>
      </c>
      <c r="M2446" s="240">
        <v>423</v>
      </c>
      <c r="N2446" s="272">
        <v>363</v>
      </c>
    </row>
    <row r="2447" spans="1:17">
      <c r="A2447" s="286"/>
      <c r="B2447" s="332"/>
      <c r="C2447" s="332"/>
      <c r="D2447" s="66" t="s">
        <v>412</v>
      </c>
      <c r="E2447" t="s">
        <v>1162</v>
      </c>
      <c r="G2447" t="s">
        <v>428</v>
      </c>
      <c r="H2447" s="247">
        <v>44742</v>
      </c>
      <c r="I2447" s="240" t="s">
        <v>970</v>
      </c>
      <c r="J2447" s="240"/>
      <c r="K2447" s="240">
        <v>78</v>
      </c>
      <c r="L2447" s="240">
        <v>78</v>
      </c>
      <c r="M2447" s="240">
        <v>33</v>
      </c>
      <c r="N2447" s="272">
        <v>12</v>
      </c>
    </row>
    <row r="2448" spans="1:17" s="241" customFormat="1">
      <c r="A2448" s="286"/>
      <c r="B2448" s="332"/>
      <c r="C2448" s="332"/>
      <c r="D2448" s="66" t="s">
        <v>412</v>
      </c>
      <c r="E2448" s="241" t="s">
        <v>728</v>
      </c>
      <c r="G2448" s="241" t="s">
        <v>428</v>
      </c>
      <c r="H2448" s="249">
        <v>44742</v>
      </c>
      <c r="I2448" s="242"/>
      <c r="J2448" s="242"/>
      <c r="K2448" s="242">
        <f>SUM(K2444:K2447)</f>
        <v>2505</v>
      </c>
      <c r="L2448" s="242">
        <f t="shared" ref="L2448:N2448" si="131">SUM(L2444:L2447)</f>
        <v>3099</v>
      </c>
      <c r="M2448" s="242">
        <f t="shared" si="131"/>
        <v>2060</v>
      </c>
      <c r="N2448" s="275">
        <f t="shared" si="131"/>
        <v>2161</v>
      </c>
      <c r="Q2448" s="71"/>
    </row>
    <row r="2449" spans="1:14">
      <c r="A2449" s="286"/>
      <c r="B2449" s="332"/>
      <c r="C2449" s="332"/>
      <c r="D2449" s="66" t="s">
        <v>414</v>
      </c>
      <c r="E2449" s="241" t="s">
        <v>1149</v>
      </c>
      <c r="G2449" s="241" t="s">
        <v>428</v>
      </c>
      <c r="H2449" s="247">
        <v>44742</v>
      </c>
      <c r="I2449" s="242"/>
      <c r="J2449" s="242"/>
      <c r="K2449" s="242">
        <f>K2436+K2448</f>
        <v>2625</v>
      </c>
      <c r="L2449" s="242">
        <f t="shared" ref="L2449:N2449" si="132">L2436+L2448</f>
        <v>3374</v>
      </c>
      <c r="M2449" s="242">
        <f t="shared" si="132"/>
        <v>2101</v>
      </c>
      <c r="N2449" s="275">
        <f t="shared" si="132"/>
        <v>2525</v>
      </c>
    </row>
    <row r="2450" spans="1:14">
      <c r="A2450" s="286"/>
      <c r="B2450" s="332"/>
      <c r="C2450" s="332"/>
      <c r="D2450" s="66" t="s">
        <v>415</v>
      </c>
      <c r="E2450" t="s">
        <v>653</v>
      </c>
      <c r="G2450" t="s">
        <v>428</v>
      </c>
      <c r="H2450" s="247">
        <v>44742</v>
      </c>
      <c r="I2450" s="240"/>
      <c r="J2450" s="240"/>
      <c r="K2450" s="240">
        <v>34066</v>
      </c>
      <c r="L2450" s="240">
        <v>46221</v>
      </c>
      <c r="M2450" s="240">
        <v>60165</v>
      </c>
      <c r="N2450" s="272">
        <v>67688</v>
      </c>
    </row>
    <row r="2451" spans="1:14">
      <c r="A2451" s="286"/>
      <c r="B2451" s="332"/>
      <c r="C2451" s="332"/>
      <c r="D2451" s="66" t="s">
        <v>415</v>
      </c>
      <c r="E2451" t="s">
        <v>654</v>
      </c>
      <c r="G2451" t="s">
        <v>428</v>
      </c>
      <c r="H2451" s="247">
        <v>44742</v>
      </c>
      <c r="I2451" s="240"/>
      <c r="J2451" s="240"/>
      <c r="K2451" s="240">
        <v>8418</v>
      </c>
      <c r="L2451" s="240">
        <v>12992</v>
      </c>
      <c r="M2451" s="240">
        <v>11429</v>
      </c>
      <c r="N2451" s="272">
        <v>17258</v>
      </c>
    </row>
    <row r="2452" spans="1:14">
      <c r="A2452" s="286"/>
      <c r="B2452" s="332"/>
      <c r="C2452" s="332"/>
      <c r="D2452" s="66" t="s">
        <v>415</v>
      </c>
      <c r="E2452" t="s">
        <v>1200</v>
      </c>
      <c r="G2452" t="s">
        <v>428</v>
      </c>
      <c r="H2452" s="247">
        <v>44742</v>
      </c>
      <c r="I2452" s="240"/>
      <c r="J2452" s="240"/>
      <c r="K2452" s="240">
        <v>573</v>
      </c>
      <c r="L2452" s="240">
        <v>605</v>
      </c>
      <c r="M2452" s="240">
        <v>614</v>
      </c>
      <c r="N2452" s="272">
        <v>380</v>
      </c>
    </row>
    <row r="2453" spans="1:14">
      <c r="A2453" s="286"/>
      <c r="B2453" s="332"/>
      <c r="C2453" s="332"/>
      <c r="D2453" s="66" t="s">
        <v>415</v>
      </c>
      <c r="E2453" t="s">
        <v>760</v>
      </c>
      <c r="G2453" t="s">
        <v>428</v>
      </c>
      <c r="H2453" s="247">
        <v>44742</v>
      </c>
      <c r="I2453" s="240"/>
      <c r="J2453" s="240"/>
      <c r="K2453" s="240">
        <v>191</v>
      </c>
      <c r="L2453" s="240">
        <v>166</v>
      </c>
      <c r="M2453" s="240">
        <v>176</v>
      </c>
      <c r="N2453" s="272">
        <v>80</v>
      </c>
    </row>
    <row r="2454" spans="1:14">
      <c r="A2454" s="286"/>
      <c r="B2454" s="332"/>
      <c r="C2454" s="332"/>
      <c r="D2454" s="66" t="s">
        <v>415</v>
      </c>
      <c r="E2454" t="s">
        <v>830</v>
      </c>
      <c r="G2454" t="s">
        <v>428</v>
      </c>
      <c r="H2454" s="247">
        <v>44742</v>
      </c>
      <c r="I2454" s="240"/>
      <c r="J2454" s="240"/>
      <c r="K2454" s="240">
        <v>124</v>
      </c>
      <c r="L2454" s="240">
        <v>298</v>
      </c>
      <c r="M2454" s="240">
        <v>16</v>
      </c>
      <c r="N2454" s="272">
        <v>5</v>
      </c>
    </row>
    <row r="2455" spans="1:14">
      <c r="A2455" s="286"/>
      <c r="B2455" s="332"/>
      <c r="C2455" s="332"/>
      <c r="D2455" s="66" t="s">
        <v>415</v>
      </c>
      <c r="E2455" t="s">
        <v>710</v>
      </c>
      <c r="G2455" t="s">
        <v>428</v>
      </c>
      <c r="H2455" s="247">
        <v>44742</v>
      </c>
      <c r="I2455" s="240"/>
      <c r="J2455" s="240"/>
      <c r="K2455" s="240">
        <v>21702</v>
      </c>
      <c r="L2455" s="240">
        <v>8320</v>
      </c>
      <c r="M2455" s="240">
        <v>97</v>
      </c>
      <c r="N2455" s="272">
        <v>3158</v>
      </c>
    </row>
    <row r="2456" spans="1:14">
      <c r="A2456" s="286"/>
      <c r="B2456" s="332"/>
      <c r="C2456" s="332"/>
      <c r="D2456" s="66" t="s">
        <v>415</v>
      </c>
      <c r="E2456" t="s">
        <v>809</v>
      </c>
      <c r="G2456" t="s">
        <v>428</v>
      </c>
      <c r="H2456" s="247">
        <v>44742</v>
      </c>
      <c r="I2456" s="240"/>
      <c r="J2456" s="240"/>
      <c r="K2456" s="240">
        <v>6308</v>
      </c>
      <c r="L2456" s="240">
        <v>5216</v>
      </c>
      <c r="M2456" s="240">
        <v>177</v>
      </c>
      <c r="N2456" s="272">
        <v>442</v>
      </c>
    </row>
    <row r="2457" spans="1:14">
      <c r="A2457" s="286"/>
      <c r="B2457" s="332"/>
      <c r="C2457" s="332"/>
      <c r="D2457" s="66" t="s">
        <v>415</v>
      </c>
      <c r="E2457" t="s">
        <v>1163</v>
      </c>
      <c r="G2457" t="s">
        <v>428</v>
      </c>
      <c r="H2457" s="247">
        <v>44742</v>
      </c>
      <c r="I2457" s="240"/>
      <c r="J2457" s="240"/>
      <c r="K2457" s="240"/>
      <c r="L2457" s="240">
        <v>1476</v>
      </c>
      <c r="M2457" s="240">
        <v>3365</v>
      </c>
      <c r="N2457" s="272">
        <v>4123</v>
      </c>
    </row>
    <row r="2458" spans="1:14">
      <c r="A2458" s="286"/>
      <c r="B2458" s="332"/>
      <c r="C2458" s="332"/>
      <c r="D2458" s="66" t="s">
        <v>415</v>
      </c>
      <c r="E2458" t="s">
        <v>1164</v>
      </c>
      <c r="G2458" t="s">
        <v>428</v>
      </c>
      <c r="H2458" s="247">
        <v>44742</v>
      </c>
      <c r="I2458" s="240"/>
      <c r="J2458" s="240"/>
      <c r="K2458" s="240"/>
      <c r="L2458" s="240"/>
      <c r="M2458" s="240">
        <v>3810</v>
      </c>
      <c r="N2458" s="272">
        <v>4218</v>
      </c>
    </row>
    <row r="2459" spans="1:14">
      <c r="A2459" s="286"/>
      <c r="B2459" s="332"/>
      <c r="C2459" s="332"/>
      <c r="D2459" s="66" t="s">
        <v>415</v>
      </c>
      <c r="E2459" t="s">
        <v>1165</v>
      </c>
      <c r="G2459" t="s">
        <v>428</v>
      </c>
      <c r="H2459" s="247">
        <v>44742</v>
      </c>
      <c r="I2459" s="240"/>
      <c r="J2459" s="240"/>
      <c r="K2459" s="240">
        <v>28</v>
      </c>
      <c r="L2459" s="240">
        <v>22</v>
      </c>
      <c r="M2459" s="240">
        <v>20</v>
      </c>
      <c r="N2459" s="272">
        <v>5</v>
      </c>
    </row>
    <row r="2460" spans="1:14">
      <c r="A2460" s="286"/>
      <c r="B2460" s="332"/>
      <c r="C2460" s="332"/>
      <c r="D2460" s="66" t="s">
        <v>415</v>
      </c>
      <c r="E2460" s="241" t="s">
        <v>660</v>
      </c>
      <c r="G2460" s="241" t="s">
        <v>428</v>
      </c>
      <c r="H2460" s="247">
        <v>44742</v>
      </c>
      <c r="I2460" s="242"/>
      <c r="J2460" s="242"/>
      <c r="K2460" s="242">
        <v>73409</v>
      </c>
      <c r="L2460" s="242">
        <f>SUM(L2450:L2459)</f>
        <v>75316</v>
      </c>
      <c r="M2460" s="242">
        <f>SUM(M2450:M2459)</f>
        <v>79869</v>
      </c>
      <c r="N2460" s="275">
        <f>SUM(N2450:N2459)</f>
        <v>97357</v>
      </c>
    </row>
    <row r="2461" spans="1:14">
      <c r="A2461" s="286"/>
      <c r="B2461" s="332"/>
      <c r="C2461" s="332"/>
      <c r="D2461" s="66" t="s">
        <v>417</v>
      </c>
      <c r="E2461" t="s">
        <v>661</v>
      </c>
      <c r="G2461" t="s">
        <v>748</v>
      </c>
      <c r="H2461" s="247">
        <v>44742</v>
      </c>
      <c r="I2461" s="240"/>
      <c r="K2461" s="240">
        <v>880978</v>
      </c>
      <c r="L2461" s="240">
        <v>1210127</v>
      </c>
      <c r="M2461" s="240">
        <v>1614173</v>
      </c>
      <c r="N2461" s="272">
        <v>2089132</v>
      </c>
    </row>
    <row r="2462" spans="1:14">
      <c r="A2462" s="286"/>
      <c r="B2462" s="332"/>
      <c r="C2462" s="332"/>
      <c r="D2462" s="66" t="s">
        <v>418</v>
      </c>
      <c r="H2462" s="247">
        <v>44742</v>
      </c>
      <c r="I2462" s="240"/>
      <c r="L2462" s="93"/>
      <c r="M2462" s="93"/>
      <c r="N2462" s="274" t="s">
        <v>1166</v>
      </c>
    </row>
    <row r="2463" spans="1:14">
      <c r="A2463" s="294"/>
      <c r="B2463" s="333"/>
      <c r="C2463" s="333"/>
      <c r="D2463" s="114"/>
      <c r="H2463" s="107"/>
      <c r="I2463" s="65"/>
      <c r="J2463" s="109"/>
      <c r="K2463" s="93"/>
      <c r="L2463" s="109"/>
      <c r="M2463" s="109"/>
      <c r="N2463" s="216"/>
    </row>
    <row r="2464" spans="1:14">
      <c r="A2464" s="306" t="s">
        <v>1126</v>
      </c>
      <c r="B2464" s="292">
        <v>0</v>
      </c>
      <c r="C2464" s="307" t="s">
        <v>1138</v>
      </c>
      <c r="D2464" s="66" t="s">
        <v>411</v>
      </c>
      <c r="G2464" t="s">
        <v>428</v>
      </c>
      <c r="H2464" s="107">
        <v>44651</v>
      </c>
      <c r="I2464" s="65"/>
      <c r="J2464" s="109"/>
      <c r="K2464" s="109"/>
      <c r="L2464" s="109"/>
      <c r="M2464" s="109"/>
      <c r="N2464" s="277">
        <v>3900</v>
      </c>
    </row>
    <row r="2465" spans="1:17">
      <c r="A2465" s="306"/>
      <c r="B2465" s="289"/>
      <c r="C2465" s="307"/>
      <c r="D2465" s="66" t="s">
        <v>412</v>
      </c>
      <c r="G2465" t="s">
        <v>428</v>
      </c>
      <c r="H2465" s="107">
        <v>44651</v>
      </c>
      <c r="I2465" s="65"/>
      <c r="J2465" s="109"/>
      <c r="K2465" s="253"/>
      <c r="L2465" s="109"/>
      <c r="M2465" s="109"/>
      <c r="N2465" s="277">
        <v>15200</v>
      </c>
    </row>
    <row r="2466" spans="1:17" s="241" customFormat="1">
      <c r="A2466" s="306"/>
      <c r="B2466" s="289"/>
      <c r="C2466" s="307"/>
      <c r="D2466" s="66" t="s">
        <v>414</v>
      </c>
      <c r="G2466" s="241" t="s">
        <v>428</v>
      </c>
      <c r="H2466" s="249">
        <v>44651</v>
      </c>
      <c r="I2466" s="94"/>
      <c r="J2466" s="94"/>
      <c r="K2466" s="94"/>
      <c r="L2466" s="94"/>
      <c r="M2466" s="94"/>
      <c r="N2466" s="278">
        <f>SUM(N2464:N2465)</f>
        <v>19100</v>
      </c>
      <c r="Q2466" s="71"/>
    </row>
    <row r="2467" spans="1:17">
      <c r="A2467" s="306"/>
      <c r="B2467" s="289"/>
      <c r="C2467" s="307"/>
      <c r="D2467" s="66" t="s">
        <v>415</v>
      </c>
      <c r="E2467" t="s">
        <v>497</v>
      </c>
      <c r="G2467" t="s">
        <v>428</v>
      </c>
      <c r="H2467" s="107">
        <v>44651</v>
      </c>
      <c r="I2467" s="65"/>
      <c r="J2467" s="109"/>
      <c r="K2467" s="109"/>
      <c r="L2467" s="109"/>
      <c r="M2467" s="109"/>
      <c r="N2467" s="277">
        <v>413200</v>
      </c>
    </row>
    <row r="2468" spans="1:17">
      <c r="A2468" s="306"/>
      <c r="B2468" s="289"/>
      <c r="C2468" s="307"/>
      <c r="D2468" s="66" t="s">
        <v>415</v>
      </c>
      <c r="E2468" t="s">
        <v>654</v>
      </c>
      <c r="G2468" t="s">
        <v>428</v>
      </c>
      <c r="H2468" s="107">
        <v>44651</v>
      </c>
      <c r="I2468" s="65"/>
      <c r="K2468" s="109"/>
      <c r="L2468" s="109"/>
      <c r="M2468" s="109"/>
      <c r="N2468" s="277">
        <v>24400</v>
      </c>
    </row>
    <row r="2469" spans="1:17">
      <c r="A2469" s="306"/>
      <c r="B2469" s="289"/>
      <c r="C2469" s="307"/>
      <c r="D2469" s="66" t="s">
        <v>415</v>
      </c>
      <c r="E2469" t="s">
        <v>1214</v>
      </c>
      <c r="G2469" t="s">
        <v>428</v>
      </c>
      <c r="H2469" s="107">
        <v>44651</v>
      </c>
      <c r="I2469" s="65"/>
      <c r="K2469" s="109"/>
      <c r="L2469" s="109"/>
      <c r="M2469" s="109"/>
      <c r="N2469" s="277">
        <v>3900</v>
      </c>
    </row>
    <row r="2470" spans="1:17">
      <c r="A2470" s="306"/>
      <c r="B2470" s="289"/>
      <c r="C2470" s="307"/>
      <c r="D2470" s="66" t="s">
        <v>415</v>
      </c>
      <c r="E2470" t="s">
        <v>769</v>
      </c>
      <c r="G2470" t="s">
        <v>428</v>
      </c>
      <c r="H2470" s="107">
        <v>44651</v>
      </c>
      <c r="I2470" s="65"/>
      <c r="K2470" s="109"/>
      <c r="L2470" s="109"/>
      <c r="M2470" s="109"/>
      <c r="N2470" s="277">
        <v>26000</v>
      </c>
    </row>
    <row r="2471" spans="1:17">
      <c r="A2471" s="306"/>
      <c r="B2471" s="289"/>
      <c r="C2471" s="307"/>
      <c r="D2471" s="66" t="s">
        <v>415</v>
      </c>
      <c r="E2471" t="s">
        <v>1167</v>
      </c>
      <c r="G2471" t="s">
        <v>428</v>
      </c>
      <c r="H2471" s="107">
        <v>44651</v>
      </c>
      <c r="I2471" s="65"/>
      <c r="K2471" s="109"/>
      <c r="L2471" s="109"/>
      <c r="M2471" s="109"/>
      <c r="N2471" s="277">
        <v>1800</v>
      </c>
    </row>
    <row r="2472" spans="1:17">
      <c r="A2472" s="306"/>
      <c r="B2472" s="289"/>
      <c r="C2472" s="307"/>
      <c r="D2472" s="66" t="s">
        <v>415</v>
      </c>
      <c r="E2472" t="s">
        <v>710</v>
      </c>
      <c r="G2472" t="s">
        <v>428</v>
      </c>
      <c r="H2472" s="107">
        <v>44651</v>
      </c>
      <c r="I2472" s="65"/>
      <c r="K2472" s="109"/>
      <c r="L2472" s="109"/>
      <c r="M2472" s="109"/>
      <c r="N2472" s="277">
        <v>700</v>
      </c>
    </row>
    <row r="2473" spans="1:17">
      <c r="A2473" s="306"/>
      <c r="B2473" s="289"/>
      <c r="C2473" s="307"/>
      <c r="D2473" s="66" t="s">
        <v>415</v>
      </c>
      <c r="E2473" t="s">
        <v>831</v>
      </c>
      <c r="G2473" t="s">
        <v>428</v>
      </c>
      <c r="H2473" s="107">
        <v>44651</v>
      </c>
      <c r="I2473" s="65"/>
      <c r="J2473" s="109"/>
      <c r="K2473" s="109"/>
      <c r="L2473" s="109"/>
      <c r="M2473" s="109"/>
      <c r="N2473" s="277">
        <v>3100</v>
      </c>
    </row>
    <row r="2474" spans="1:17">
      <c r="A2474" s="306"/>
      <c r="B2474" s="289"/>
      <c r="C2474" s="307"/>
      <c r="D2474" s="66" t="s">
        <v>415</v>
      </c>
      <c r="E2474" t="s">
        <v>1168</v>
      </c>
      <c r="G2474" t="s">
        <v>428</v>
      </c>
      <c r="H2474" s="107">
        <v>44651</v>
      </c>
      <c r="I2474" s="65"/>
      <c r="J2474" s="109"/>
      <c r="K2474" s="109"/>
      <c r="L2474" s="109"/>
      <c r="M2474" s="109"/>
      <c r="N2474" s="277">
        <v>364800</v>
      </c>
    </row>
    <row r="2475" spans="1:17">
      <c r="A2475" s="306"/>
      <c r="B2475" s="289"/>
      <c r="C2475" s="307"/>
      <c r="D2475" s="66" t="s">
        <v>415</v>
      </c>
      <c r="E2475" t="s">
        <v>1169</v>
      </c>
      <c r="G2475" t="s">
        <v>428</v>
      </c>
      <c r="H2475" s="107">
        <v>44651</v>
      </c>
      <c r="I2475" s="65"/>
      <c r="J2475" s="109"/>
      <c r="K2475" s="109"/>
      <c r="L2475" s="109"/>
      <c r="M2475" s="109"/>
      <c r="N2475" s="277">
        <v>9700</v>
      </c>
    </row>
    <row r="2476" spans="1:17" s="241" customFormat="1">
      <c r="A2476" s="306"/>
      <c r="B2476" s="289"/>
      <c r="C2476" s="307"/>
      <c r="D2476" s="66" t="s">
        <v>415</v>
      </c>
      <c r="E2476" s="241" t="s">
        <v>660</v>
      </c>
      <c r="G2476" s="241" t="s">
        <v>428</v>
      </c>
      <c r="H2476" s="249">
        <v>44651</v>
      </c>
      <c r="I2476" s="94"/>
      <c r="J2476" s="94"/>
      <c r="K2476" s="94"/>
      <c r="L2476" s="94"/>
      <c r="M2476" s="94"/>
      <c r="N2476" s="278">
        <f>SUM(N2467:N2475)</f>
        <v>847600</v>
      </c>
      <c r="Q2476" s="71"/>
    </row>
    <row r="2477" spans="1:17">
      <c r="A2477" s="306"/>
      <c r="B2477" s="289"/>
      <c r="C2477" s="307"/>
      <c r="D2477" s="66" t="s">
        <v>417</v>
      </c>
      <c r="E2477" t="s">
        <v>661</v>
      </c>
      <c r="G2477" t="s">
        <v>817</v>
      </c>
      <c r="H2477" s="107">
        <v>44651</v>
      </c>
      <c r="I2477" s="65"/>
      <c r="J2477" s="93"/>
      <c r="K2477" s="109"/>
      <c r="L2477" s="93"/>
      <c r="M2477" s="93"/>
      <c r="N2477" s="279">
        <v>256551</v>
      </c>
    </row>
    <row r="2478" spans="1:17">
      <c r="A2478" s="306"/>
      <c r="B2478" s="293"/>
      <c r="C2478" s="307"/>
      <c r="D2478" s="66" t="s">
        <v>418</v>
      </c>
      <c r="H2478" s="107">
        <v>44651</v>
      </c>
      <c r="I2478" s="65"/>
      <c r="J2478" s="109"/>
      <c r="K2478" s="93"/>
      <c r="L2478" s="109"/>
      <c r="M2478" s="109"/>
      <c r="N2478" s="274" t="s">
        <v>1170</v>
      </c>
    </row>
    <row r="2479" spans="1:17">
      <c r="A2479" s="244"/>
      <c r="B2479" s="113"/>
      <c r="C2479" s="88"/>
      <c r="D2479" s="66"/>
      <c r="H2479" s="107"/>
      <c r="I2479" s="65"/>
      <c r="J2479" s="109"/>
      <c r="K2479" s="93"/>
      <c r="L2479" s="109"/>
      <c r="M2479" s="109"/>
      <c r="N2479" s="274"/>
    </row>
    <row r="2480" spans="1:17">
      <c r="A2480" s="306" t="s">
        <v>1126</v>
      </c>
      <c r="B2480" s="292">
        <v>0</v>
      </c>
      <c r="C2480" s="307" t="s">
        <v>1138</v>
      </c>
      <c r="D2480" s="66" t="s">
        <v>411</v>
      </c>
      <c r="G2480" t="s">
        <v>428</v>
      </c>
      <c r="H2480" s="107">
        <v>44286</v>
      </c>
      <c r="I2480" s="240"/>
      <c r="J2480" s="256"/>
      <c r="K2480" s="256"/>
      <c r="L2480" s="256"/>
      <c r="M2480" s="256">
        <v>3600</v>
      </c>
      <c r="N2480" s="277"/>
    </row>
    <row r="2481" spans="1:17">
      <c r="A2481" s="306"/>
      <c r="B2481" s="289"/>
      <c r="C2481" s="307"/>
      <c r="D2481" s="66" t="s">
        <v>412</v>
      </c>
      <c r="G2481" t="s">
        <v>428</v>
      </c>
      <c r="H2481" s="107">
        <v>44286</v>
      </c>
      <c r="I2481" s="240"/>
      <c r="J2481" s="256"/>
      <c r="K2481" s="256"/>
      <c r="L2481" s="256"/>
      <c r="M2481" s="256">
        <v>13200</v>
      </c>
      <c r="N2481" s="277"/>
    </row>
    <row r="2482" spans="1:17" s="241" customFormat="1">
      <c r="A2482" s="306"/>
      <c r="B2482" s="289"/>
      <c r="C2482" s="307"/>
      <c r="D2482" s="66" t="s">
        <v>414</v>
      </c>
      <c r="G2482" s="241" t="s">
        <v>428</v>
      </c>
      <c r="H2482" s="107">
        <v>44286</v>
      </c>
      <c r="I2482" s="254"/>
      <c r="J2482" s="254"/>
      <c r="K2482" s="254"/>
      <c r="L2482" s="254"/>
      <c r="M2482" s="254">
        <f t="shared" ref="M2482" si="133">SUM(M2480:M2481)</f>
        <v>16800</v>
      </c>
      <c r="N2482" s="278"/>
      <c r="Q2482" s="71"/>
    </row>
    <row r="2483" spans="1:17">
      <c r="A2483" s="306"/>
      <c r="B2483" s="289"/>
      <c r="C2483" s="307"/>
      <c r="D2483" s="66" t="s">
        <v>415</v>
      </c>
      <c r="E2483" t="s">
        <v>497</v>
      </c>
      <c r="G2483" t="s">
        <v>428</v>
      </c>
      <c r="H2483" s="107">
        <v>44286</v>
      </c>
      <c r="I2483" s="240"/>
      <c r="J2483" s="256"/>
      <c r="K2483" s="256"/>
      <c r="L2483" s="256"/>
      <c r="M2483" s="256">
        <v>308200</v>
      </c>
      <c r="N2483" s="277"/>
    </row>
    <row r="2484" spans="1:17">
      <c r="A2484" s="306"/>
      <c r="B2484" s="289"/>
      <c r="C2484" s="307"/>
      <c r="D2484" s="66" t="s">
        <v>415</v>
      </c>
      <c r="E2484" t="s">
        <v>654</v>
      </c>
      <c r="G2484" t="s">
        <v>428</v>
      </c>
      <c r="H2484" s="107">
        <v>44286</v>
      </c>
      <c r="I2484" s="240"/>
      <c r="J2484" s="240"/>
      <c r="K2484" s="256"/>
      <c r="L2484" s="256"/>
      <c r="M2484" s="256">
        <v>9100</v>
      </c>
      <c r="N2484" s="277"/>
    </row>
    <row r="2485" spans="1:17">
      <c r="A2485" s="306"/>
      <c r="B2485" s="289"/>
      <c r="C2485" s="307"/>
      <c r="D2485" s="66" t="s">
        <v>415</v>
      </c>
      <c r="E2485" t="s">
        <v>1214</v>
      </c>
      <c r="G2485" t="s">
        <v>428</v>
      </c>
      <c r="H2485" s="107">
        <v>44286</v>
      </c>
      <c r="I2485" s="240"/>
      <c r="J2485" s="240"/>
      <c r="K2485" s="256"/>
      <c r="L2485" s="256"/>
      <c r="M2485" s="256">
        <v>3600</v>
      </c>
      <c r="N2485" s="277"/>
    </row>
    <row r="2486" spans="1:17">
      <c r="A2486" s="306"/>
      <c r="B2486" s="289"/>
      <c r="C2486" s="307"/>
      <c r="D2486" s="66" t="s">
        <v>415</v>
      </c>
      <c r="E2486" t="s">
        <v>769</v>
      </c>
      <c r="G2486" t="s">
        <v>428</v>
      </c>
      <c r="H2486" s="107">
        <v>44286</v>
      </c>
      <c r="I2486" s="240"/>
      <c r="J2486" s="240"/>
      <c r="K2486" s="256"/>
      <c r="L2486" s="256"/>
      <c r="M2486" s="256">
        <v>22900</v>
      </c>
      <c r="N2486" s="277"/>
    </row>
    <row r="2487" spans="1:17">
      <c r="A2487" s="306"/>
      <c r="B2487" s="289"/>
      <c r="C2487" s="307"/>
      <c r="D2487" s="66" t="s">
        <v>415</v>
      </c>
      <c r="E2487" t="s">
        <v>1167</v>
      </c>
      <c r="G2487" t="s">
        <v>428</v>
      </c>
      <c r="H2487" s="107">
        <v>44286</v>
      </c>
      <c r="I2487" s="240"/>
      <c r="J2487" s="240"/>
      <c r="K2487" s="256"/>
      <c r="L2487" s="256"/>
      <c r="M2487" s="256">
        <v>1800</v>
      </c>
      <c r="N2487" s="277"/>
    </row>
    <row r="2488" spans="1:17">
      <c r="A2488" s="306"/>
      <c r="B2488" s="289"/>
      <c r="C2488" s="307"/>
      <c r="D2488" s="66" t="s">
        <v>415</v>
      </c>
      <c r="E2488" t="s">
        <v>710</v>
      </c>
      <c r="G2488" t="s">
        <v>428</v>
      </c>
      <c r="H2488" s="107">
        <v>44286</v>
      </c>
      <c r="I2488" s="240"/>
      <c r="J2488" s="240"/>
      <c r="K2488" s="256"/>
      <c r="L2488" s="256"/>
      <c r="M2488" s="256">
        <v>600</v>
      </c>
      <c r="N2488" s="277"/>
    </row>
    <row r="2489" spans="1:17">
      <c r="A2489" s="306"/>
      <c r="B2489" s="289"/>
      <c r="C2489" s="307"/>
      <c r="D2489" s="66" t="s">
        <v>415</v>
      </c>
      <c r="E2489" t="s">
        <v>831</v>
      </c>
      <c r="G2489" t="s">
        <v>428</v>
      </c>
      <c r="H2489" s="107">
        <v>44286</v>
      </c>
      <c r="I2489" s="240"/>
      <c r="J2489" s="256"/>
      <c r="K2489" s="256"/>
      <c r="L2489" s="256"/>
      <c r="M2489" s="256">
        <v>2800</v>
      </c>
      <c r="N2489" s="277"/>
    </row>
    <row r="2490" spans="1:17">
      <c r="A2490" s="306"/>
      <c r="B2490" s="289"/>
      <c r="C2490" s="307"/>
      <c r="D2490" s="66" t="s">
        <v>415</v>
      </c>
      <c r="E2490" t="s">
        <v>1168</v>
      </c>
      <c r="G2490" t="s">
        <v>428</v>
      </c>
      <c r="H2490" s="107">
        <v>44286</v>
      </c>
      <c r="I2490" s="240"/>
      <c r="J2490" s="256"/>
      <c r="K2490" s="256"/>
      <c r="L2490" s="256"/>
      <c r="M2490" s="256">
        <v>355700</v>
      </c>
      <c r="N2490" s="277"/>
    </row>
    <row r="2491" spans="1:17">
      <c r="A2491" s="306"/>
      <c r="B2491" s="289"/>
      <c r="C2491" s="307"/>
      <c r="D2491" s="66" t="s">
        <v>415</v>
      </c>
      <c r="E2491" t="s">
        <v>1169</v>
      </c>
      <c r="G2491" t="s">
        <v>428</v>
      </c>
      <c r="H2491" s="107">
        <v>44286</v>
      </c>
      <c r="I2491" s="240"/>
      <c r="J2491" s="256"/>
      <c r="K2491" s="256"/>
      <c r="L2491" s="256"/>
      <c r="M2491" s="256">
        <v>1200</v>
      </c>
      <c r="N2491" s="277"/>
    </row>
    <row r="2492" spans="1:17" s="241" customFormat="1">
      <c r="A2492" s="306"/>
      <c r="B2492" s="289"/>
      <c r="C2492" s="307"/>
      <c r="D2492" s="66" t="s">
        <v>415</v>
      </c>
      <c r="E2492" s="241" t="s">
        <v>660</v>
      </c>
      <c r="G2492" s="241" t="s">
        <v>428</v>
      </c>
      <c r="H2492" s="107">
        <v>44286</v>
      </c>
      <c r="I2492" s="254"/>
      <c r="J2492" s="254"/>
      <c r="K2492" s="254"/>
      <c r="L2492" s="254"/>
      <c r="M2492" s="254">
        <f>SUM(M2483:M2491)</f>
        <v>705900</v>
      </c>
      <c r="N2492" s="278"/>
      <c r="Q2492" s="71"/>
    </row>
    <row r="2493" spans="1:17">
      <c r="A2493" s="306"/>
      <c r="B2493" s="289"/>
      <c r="C2493" s="307"/>
      <c r="D2493" s="66" t="s">
        <v>417</v>
      </c>
      <c r="E2493" t="s">
        <v>661</v>
      </c>
      <c r="G2493" t="s">
        <v>817</v>
      </c>
      <c r="H2493" s="107">
        <v>44286</v>
      </c>
      <c r="I2493" s="65"/>
      <c r="J2493" s="207"/>
      <c r="K2493" s="109"/>
      <c r="L2493" s="207"/>
      <c r="M2493" s="255">
        <v>246821</v>
      </c>
      <c r="N2493" s="274"/>
    </row>
    <row r="2494" spans="1:17">
      <c r="A2494" s="306"/>
      <c r="B2494" s="290"/>
      <c r="C2494" s="307"/>
      <c r="D2494" s="66" t="s">
        <v>418</v>
      </c>
      <c r="H2494" s="107">
        <v>44286</v>
      </c>
      <c r="I2494" s="65"/>
      <c r="J2494" s="109"/>
      <c r="K2494" s="207"/>
      <c r="L2494" s="109"/>
      <c r="M2494" s="93" t="s">
        <v>1171</v>
      </c>
      <c r="N2494" s="216"/>
    </row>
    <row r="2495" spans="1:17">
      <c r="A2495" s="244"/>
      <c r="B2495" s="257"/>
      <c r="C2495" s="257"/>
      <c r="D2495" s="117"/>
      <c r="H2495" s="107"/>
      <c r="I2495" s="65"/>
      <c r="J2495" s="109"/>
      <c r="K2495" s="109"/>
      <c r="L2495" s="109"/>
      <c r="M2495" s="109"/>
      <c r="N2495" s="216"/>
    </row>
    <row r="2496" spans="1:17">
      <c r="A2496" s="306" t="s">
        <v>1126</v>
      </c>
      <c r="B2496" s="288">
        <v>0</v>
      </c>
      <c r="C2496" s="307" t="s">
        <v>1138</v>
      </c>
      <c r="D2496" s="66" t="s">
        <v>411</v>
      </c>
      <c r="G2496" t="s">
        <v>428</v>
      </c>
      <c r="H2496" s="107">
        <v>43921</v>
      </c>
      <c r="I2496" s="240"/>
      <c r="J2496" s="256"/>
      <c r="K2496" s="256"/>
      <c r="L2496" s="256">
        <v>3900</v>
      </c>
      <c r="M2496" s="256"/>
      <c r="N2496" s="277"/>
    </row>
    <row r="2497" spans="1:17">
      <c r="A2497" s="306"/>
      <c r="B2497" s="289"/>
      <c r="C2497" s="307"/>
      <c r="D2497" s="66" t="s">
        <v>412</v>
      </c>
      <c r="G2497" t="s">
        <v>428</v>
      </c>
      <c r="H2497" s="107">
        <v>43921</v>
      </c>
      <c r="I2497" s="240"/>
      <c r="J2497" s="256"/>
      <c r="K2497" s="256"/>
      <c r="L2497" s="256">
        <v>14200</v>
      </c>
      <c r="M2497" s="256"/>
      <c r="N2497" s="277"/>
    </row>
    <row r="2498" spans="1:17" s="241" customFormat="1">
      <c r="A2498" s="306"/>
      <c r="B2498" s="289"/>
      <c r="C2498" s="307"/>
      <c r="D2498" s="66" t="s">
        <v>414</v>
      </c>
      <c r="G2498" s="241" t="s">
        <v>428</v>
      </c>
      <c r="H2498" s="107">
        <v>43921</v>
      </c>
      <c r="I2498" s="254"/>
      <c r="J2498" s="254"/>
      <c r="K2498" s="254"/>
      <c r="L2498" s="254">
        <f t="shared" ref="L2498" si="134">SUM(L2496:L2497)</f>
        <v>18100</v>
      </c>
      <c r="M2498" s="254"/>
      <c r="N2498" s="278"/>
      <c r="Q2498" s="71"/>
    </row>
    <row r="2499" spans="1:17">
      <c r="A2499" s="306"/>
      <c r="B2499" s="289"/>
      <c r="C2499" s="307"/>
      <c r="D2499" s="66" t="s">
        <v>415</v>
      </c>
      <c r="E2499" t="s">
        <v>497</v>
      </c>
      <c r="G2499" t="s">
        <v>428</v>
      </c>
      <c r="H2499" s="107">
        <v>43921</v>
      </c>
      <c r="I2499" s="240"/>
      <c r="J2499" s="256"/>
      <c r="K2499" s="256"/>
      <c r="L2499" s="256">
        <v>319100</v>
      </c>
      <c r="M2499" s="256"/>
      <c r="N2499" s="277"/>
    </row>
    <row r="2500" spans="1:17">
      <c r="A2500" s="306"/>
      <c r="B2500" s="289"/>
      <c r="C2500" s="307"/>
      <c r="D2500" s="66" t="s">
        <v>415</v>
      </c>
      <c r="E2500" t="s">
        <v>654</v>
      </c>
      <c r="G2500" t="s">
        <v>428</v>
      </c>
      <c r="H2500" s="107">
        <v>43921</v>
      </c>
      <c r="I2500" s="240"/>
      <c r="J2500" s="240"/>
      <c r="K2500" s="256"/>
      <c r="L2500" s="256">
        <v>17500</v>
      </c>
      <c r="M2500" s="256"/>
      <c r="N2500" s="277"/>
    </row>
    <row r="2501" spans="1:17">
      <c r="A2501" s="306"/>
      <c r="B2501" s="289"/>
      <c r="C2501" s="307"/>
      <c r="D2501" s="66" t="s">
        <v>415</v>
      </c>
      <c r="E2501" t="s">
        <v>1214</v>
      </c>
      <c r="G2501" t="s">
        <v>428</v>
      </c>
      <c r="H2501" s="107">
        <v>43921</v>
      </c>
      <c r="I2501" s="240"/>
      <c r="J2501" s="240"/>
      <c r="K2501" s="256"/>
      <c r="L2501" s="256">
        <v>9200</v>
      </c>
      <c r="M2501" s="256"/>
      <c r="N2501" s="277"/>
    </row>
    <row r="2502" spans="1:17">
      <c r="A2502" s="306"/>
      <c r="B2502" s="289"/>
      <c r="C2502" s="307"/>
      <c r="D2502" s="66" t="s">
        <v>415</v>
      </c>
      <c r="E2502" t="s">
        <v>769</v>
      </c>
      <c r="G2502" t="s">
        <v>428</v>
      </c>
      <c r="H2502" s="107">
        <v>43921</v>
      </c>
      <c r="I2502" s="240"/>
      <c r="J2502" s="240"/>
      <c r="K2502" s="256"/>
      <c r="L2502" s="256">
        <v>22200</v>
      </c>
      <c r="M2502" s="256"/>
      <c r="N2502" s="277"/>
    </row>
    <row r="2503" spans="1:17">
      <c r="A2503" s="306"/>
      <c r="B2503" s="289"/>
      <c r="C2503" s="307"/>
      <c r="D2503" s="66" t="s">
        <v>415</v>
      </c>
      <c r="E2503" t="s">
        <v>1167</v>
      </c>
      <c r="G2503" t="s">
        <v>428</v>
      </c>
      <c r="H2503" s="107">
        <v>43921</v>
      </c>
      <c r="I2503" s="240"/>
      <c r="J2503" s="240"/>
      <c r="K2503" s="256"/>
      <c r="L2503" s="256">
        <v>2100</v>
      </c>
      <c r="M2503" s="256"/>
      <c r="N2503" s="277"/>
    </row>
    <row r="2504" spans="1:17">
      <c r="A2504" s="306"/>
      <c r="B2504" s="289"/>
      <c r="C2504" s="307"/>
      <c r="D2504" s="66" t="s">
        <v>415</v>
      </c>
      <c r="E2504" t="s">
        <v>710</v>
      </c>
      <c r="G2504" t="s">
        <v>428</v>
      </c>
      <c r="H2504" s="107">
        <v>43921</v>
      </c>
      <c r="I2504" s="240"/>
      <c r="J2504" s="240"/>
      <c r="K2504" s="256"/>
      <c r="L2504" s="256">
        <v>1500</v>
      </c>
      <c r="M2504" s="256"/>
      <c r="N2504" s="277"/>
    </row>
    <row r="2505" spans="1:17">
      <c r="A2505" s="306"/>
      <c r="B2505" s="289"/>
      <c r="C2505" s="307"/>
      <c r="D2505" s="66" t="s">
        <v>415</v>
      </c>
      <c r="E2505" t="s">
        <v>831</v>
      </c>
      <c r="G2505" t="s">
        <v>428</v>
      </c>
      <c r="H2505" s="107">
        <v>43921</v>
      </c>
      <c r="I2505" s="240"/>
      <c r="J2505" s="256"/>
      <c r="K2505" s="256"/>
      <c r="L2505" s="256">
        <v>5100</v>
      </c>
      <c r="M2505" s="256"/>
      <c r="N2505" s="277"/>
    </row>
    <row r="2506" spans="1:17">
      <c r="A2506" s="306"/>
      <c r="B2506" s="289"/>
      <c r="C2506" s="307"/>
      <c r="D2506" s="66" t="s">
        <v>415</v>
      </c>
      <c r="E2506" t="s">
        <v>1168</v>
      </c>
      <c r="G2506" t="s">
        <v>428</v>
      </c>
      <c r="H2506" s="107">
        <v>43921</v>
      </c>
      <c r="I2506" s="240"/>
      <c r="J2506" s="256"/>
      <c r="K2506" s="256"/>
      <c r="L2506" s="256">
        <v>459800</v>
      </c>
      <c r="M2506" s="256"/>
      <c r="N2506" s="277"/>
    </row>
    <row r="2507" spans="1:17">
      <c r="A2507" s="306"/>
      <c r="B2507" s="289"/>
      <c r="C2507" s="307"/>
      <c r="D2507" s="66" t="s">
        <v>415</v>
      </c>
      <c r="E2507" t="s">
        <v>1169</v>
      </c>
      <c r="G2507" t="s">
        <v>428</v>
      </c>
      <c r="H2507" s="107">
        <v>43921</v>
      </c>
      <c r="I2507" s="240"/>
      <c r="J2507" s="256"/>
      <c r="K2507" s="256"/>
      <c r="L2507" s="256">
        <v>1500</v>
      </c>
      <c r="M2507" s="256"/>
      <c r="N2507" s="277"/>
    </row>
    <row r="2508" spans="1:17" s="241" customFormat="1">
      <c r="A2508" s="306"/>
      <c r="B2508" s="289"/>
      <c r="C2508" s="307"/>
      <c r="D2508" s="66" t="s">
        <v>415</v>
      </c>
      <c r="E2508" s="241" t="s">
        <v>660</v>
      </c>
      <c r="G2508" s="241" t="s">
        <v>428</v>
      </c>
      <c r="H2508" s="107">
        <v>43921</v>
      </c>
      <c r="I2508" s="254"/>
      <c r="J2508" s="254"/>
      <c r="K2508" s="254"/>
      <c r="L2508" s="254">
        <f>SUM(L2499:L2507)</f>
        <v>838000</v>
      </c>
      <c r="M2508" s="254"/>
      <c r="N2508" s="278"/>
      <c r="Q2508" s="71"/>
    </row>
    <row r="2509" spans="1:17">
      <c r="A2509" s="306"/>
      <c r="B2509" s="289"/>
      <c r="C2509" s="307"/>
      <c r="D2509" s="66" t="s">
        <v>417</v>
      </c>
      <c r="E2509" t="s">
        <v>661</v>
      </c>
      <c r="G2509" t="s">
        <v>817</v>
      </c>
      <c r="H2509" s="107">
        <v>43921</v>
      </c>
      <c r="I2509" s="65"/>
      <c r="J2509" s="207"/>
      <c r="K2509" s="109"/>
      <c r="L2509" s="255">
        <v>259411</v>
      </c>
      <c r="M2509" s="207"/>
      <c r="N2509" s="274"/>
    </row>
    <row r="2510" spans="1:17">
      <c r="A2510" s="316"/>
      <c r="B2510" s="293"/>
      <c r="C2510" s="318"/>
      <c r="D2510" s="66" t="s">
        <v>418</v>
      </c>
      <c r="H2510" s="107">
        <v>43921</v>
      </c>
      <c r="I2510" s="65"/>
      <c r="J2510" s="109"/>
      <c r="K2510" s="207"/>
      <c r="L2510" s="93" t="s">
        <v>1172</v>
      </c>
      <c r="M2510" s="109"/>
      <c r="N2510" s="216"/>
    </row>
    <row r="2511" spans="1:17">
      <c r="A2511" s="295" t="s">
        <v>1126</v>
      </c>
      <c r="B2511" s="331">
        <v>0</v>
      </c>
      <c r="C2511" s="334" t="s">
        <v>1138</v>
      </c>
      <c r="D2511" s="123"/>
      <c r="H2511" s="107"/>
      <c r="I2511" s="109"/>
      <c r="J2511" s="109"/>
      <c r="K2511" s="109"/>
    </row>
    <row r="2512" spans="1:17">
      <c r="A2512" s="295"/>
      <c r="B2512" s="332"/>
      <c r="C2512" s="334"/>
      <c r="D2512" s="117" t="s">
        <v>411</v>
      </c>
      <c r="G2512" t="s">
        <v>428</v>
      </c>
      <c r="H2512" s="107">
        <v>43555</v>
      </c>
      <c r="I2512" s="240"/>
      <c r="J2512" s="256"/>
      <c r="K2512" s="256">
        <v>4200</v>
      </c>
      <c r="L2512" s="256"/>
      <c r="M2512" s="256"/>
      <c r="N2512" s="277"/>
    </row>
    <row r="2513" spans="1:17">
      <c r="A2513" s="295"/>
      <c r="B2513" s="332"/>
      <c r="C2513" s="334"/>
      <c r="D2513" s="117" t="s">
        <v>412</v>
      </c>
      <c r="G2513" t="s">
        <v>428</v>
      </c>
      <c r="H2513" s="107">
        <v>43555</v>
      </c>
      <c r="I2513" s="240"/>
      <c r="J2513" s="256"/>
      <c r="K2513" s="256">
        <v>14900</v>
      </c>
      <c r="L2513" s="256"/>
      <c r="M2513" s="256"/>
      <c r="N2513" s="277"/>
    </row>
    <row r="2514" spans="1:17" s="241" customFormat="1">
      <c r="A2514" s="295"/>
      <c r="B2514" s="332"/>
      <c r="C2514" s="334"/>
      <c r="D2514" s="117" t="s">
        <v>414</v>
      </c>
      <c r="G2514" s="241" t="s">
        <v>428</v>
      </c>
      <c r="H2514" s="107">
        <v>43555</v>
      </c>
      <c r="I2514" s="254"/>
      <c r="J2514" s="254"/>
      <c r="K2514" s="254">
        <f t="shared" ref="K2514" si="135">SUM(K2512:K2513)</f>
        <v>19100</v>
      </c>
      <c r="L2514" s="254"/>
      <c r="M2514" s="254"/>
      <c r="N2514" s="278"/>
      <c r="Q2514" s="71"/>
    </row>
    <row r="2515" spans="1:17">
      <c r="A2515" s="295"/>
      <c r="B2515" s="332"/>
      <c r="C2515" s="334"/>
      <c r="D2515" s="117" t="s">
        <v>415</v>
      </c>
      <c r="E2515" t="s">
        <v>497</v>
      </c>
      <c r="G2515" t="s">
        <v>428</v>
      </c>
      <c r="H2515" s="107">
        <v>43555</v>
      </c>
      <c r="I2515" s="240"/>
      <c r="J2515" s="256"/>
      <c r="K2515" s="256">
        <v>355100</v>
      </c>
      <c r="L2515" s="256"/>
      <c r="M2515" s="256"/>
      <c r="N2515" s="277"/>
    </row>
    <row r="2516" spans="1:17">
      <c r="A2516" s="295"/>
      <c r="B2516" s="332"/>
      <c r="C2516" s="334"/>
      <c r="D2516" s="117" t="s">
        <v>415</v>
      </c>
      <c r="E2516" t="s">
        <v>654</v>
      </c>
      <c r="G2516" t="s">
        <v>428</v>
      </c>
      <c r="H2516" s="107">
        <v>43555</v>
      </c>
      <c r="I2516" s="240"/>
      <c r="J2516" s="240"/>
      <c r="K2516" s="256">
        <v>3400</v>
      </c>
      <c r="L2516" s="256"/>
      <c r="M2516" s="256"/>
      <c r="N2516" s="277"/>
    </row>
    <row r="2517" spans="1:17">
      <c r="A2517" s="295"/>
      <c r="B2517" s="332"/>
      <c r="C2517" s="334"/>
      <c r="D2517" s="117" t="s">
        <v>415</v>
      </c>
      <c r="E2517" t="s">
        <v>1214</v>
      </c>
      <c r="G2517" t="s">
        <v>428</v>
      </c>
      <c r="H2517" s="107">
        <v>43555</v>
      </c>
      <c r="I2517" s="240"/>
      <c r="J2517" s="240"/>
      <c r="K2517" s="256">
        <v>8100</v>
      </c>
      <c r="L2517" s="256"/>
      <c r="M2517" s="256"/>
      <c r="N2517" s="277"/>
    </row>
    <row r="2518" spans="1:17">
      <c r="A2518" s="295"/>
      <c r="B2518" s="332"/>
      <c r="C2518" s="334"/>
      <c r="D2518" s="117" t="s">
        <v>415</v>
      </c>
      <c r="E2518" t="s">
        <v>791</v>
      </c>
      <c r="G2518" t="s">
        <v>428</v>
      </c>
      <c r="H2518" s="107">
        <v>43555</v>
      </c>
      <c r="I2518" s="240"/>
      <c r="J2518" s="240"/>
      <c r="K2518" s="256">
        <v>19500</v>
      </c>
      <c r="L2518" s="256"/>
      <c r="M2518" s="256"/>
      <c r="N2518" s="277"/>
    </row>
    <row r="2519" spans="1:17">
      <c r="A2519" s="295"/>
      <c r="B2519" s="332"/>
      <c r="C2519" s="334"/>
      <c r="D2519" s="117" t="s">
        <v>415</v>
      </c>
      <c r="E2519" t="s">
        <v>1167</v>
      </c>
      <c r="G2519" t="s">
        <v>428</v>
      </c>
      <c r="H2519" s="107">
        <v>43555</v>
      </c>
      <c r="I2519" s="240"/>
      <c r="J2519" s="240"/>
      <c r="K2519" s="256">
        <v>1700</v>
      </c>
      <c r="L2519" s="256"/>
      <c r="M2519" s="256"/>
      <c r="N2519" s="277"/>
    </row>
    <row r="2520" spans="1:17">
      <c r="A2520" s="295"/>
      <c r="B2520" s="332"/>
      <c r="C2520" s="334"/>
      <c r="D2520" s="117" t="s">
        <v>415</v>
      </c>
      <c r="E2520" t="s">
        <v>710</v>
      </c>
      <c r="G2520" t="s">
        <v>428</v>
      </c>
      <c r="H2520" s="107">
        <v>43555</v>
      </c>
      <c r="I2520" s="240"/>
      <c r="J2520" s="240"/>
      <c r="K2520" s="256">
        <v>1400</v>
      </c>
      <c r="L2520" s="256"/>
      <c r="M2520" s="256"/>
      <c r="N2520" s="277"/>
    </row>
    <row r="2521" spans="1:17">
      <c r="A2521" s="295"/>
      <c r="B2521" s="332"/>
      <c r="C2521" s="334"/>
      <c r="D2521" s="117" t="s">
        <v>415</v>
      </c>
      <c r="E2521" t="s">
        <v>831</v>
      </c>
      <c r="G2521" t="s">
        <v>428</v>
      </c>
      <c r="H2521" s="107">
        <v>43555</v>
      </c>
      <c r="I2521" s="240"/>
      <c r="J2521" s="256"/>
      <c r="K2521" s="256">
        <v>5000</v>
      </c>
      <c r="L2521" s="256"/>
      <c r="M2521" s="256"/>
      <c r="N2521" s="277"/>
    </row>
    <row r="2522" spans="1:17">
      <c r="A2522" s="295"/>
      <c r="B2522" s="332"/>
      <c r="C2522" s="334"/>
      <c r="D2522" s="117" t="s">
        <v>415</v>
      </c>
      <c r="E2522" t="s">
        <v>1168</v>
      </c>
      <c r="G2522" t="s">
        <v>428</v>
      </c>
      <c r="H2522" s="107">
        <v>43555</v>
      </c>
      <c r="I2522" s="240"/>
      <c r="J2522" s="256"/>
      <c r="K2522" s="256">
        <v>571500</v>
      </c>
      <c r="L2522" s="256"/>
      <c r="M2522" s="256"/>
      <c r="N2522" s="277"/>
    </row>
    <row r="2523" spans="1:17">
      <c r="A2523" s="295"/>
      <c r="B2523" s="332"/>
      <c r="C2523" s="334"/>
      <c r="D2523" s="117" t="s">
        <v>415</v>
      </c>
      <c r="E2523" t="s">
        <v>1169</v>
      </c>
      <c r="G2523" t="s">
        <v>428</v>
      </c>
      <c r="H2523" s="107">
        <v>43555</v>
      </c>
      <c r="I2523" s="240"/>
      <c r="J2523" s="256"/>
      <c r="K2523" s="256">
        <v>1400</v>
      </c>
      <c r="L2523" s="256"/>
      <c r="M2523" s="256"/>
      <c r="N2523" s="277"/>
    </row>
    <row r="2524" spans="1:17" s="241" customFormat="1">
      <c r="A2524" s="295"/>
      <c r="B2524" s="332"/>
      <c r="C2524" s="334"/>
      <c r="D2524" s="117" t="s">
        <v>415</v>
      </c>
      <c r="E2524" s="241" t="s">
        <v>660</v>
      </c>
      <c r="G2524" s="241" t="s">
        <v>428</v>
      </c>
      <c r="H2524" s="107">
        <v>43555</v>
      </c>
      <c r="I2524" s="254"/>
      <c r="J2524" s="254"/>
      <c r="K2524" s="254">
        <f>SUM(K2515:K2523)</f>
        <v>967100</v>
      </c>
      <c r="L2524" s="254"/>
      <c r="M2524" s="254"/>
      <c r="N2524" s="278"/>
      <c r="Q2524" s="71"/>
    </row>
    <row r="2525" spans="1:17">
      <c r="A2525" s="295"/>
      <c r="B2525" s="332"/>
      <c r="C2525" s="334"/>
      <c r="D2525" s="117" t="s">
        <v>417</v>
      </c>
      <c r="E2525" t="s">
        <v>661</v>
      </c>
      <c r="G2525" t="s">
        <v>817</v>
      </c>
      <c r="H2525" s="107">
        <v>43555</v>
      </c>
      <c r="I2525" s="65"/>
      <c r="J2525" s="207"/>
      <c r="K2525" s="255">
        <v>262054</v>
      </c>
      <c r="L2525" s="207"/>
      <c r="M2525" s="207"/>
      <c r="N2525" s="274"/>
    </row>
    <row r="2526" spans="1:17">
      <c r="A2526" s="295"/>
      <c r="B2526" s="333"/>
      <c r="C2526" s="334"/>
      <c r="D2526" s="117" t="s">
        <v>418</v>
      </c>
      <c r="H2526" s="107">
        <v>43555</v>
      </c>
      <c r="I2526" s="65"/>
      <c r="J2526" s="109"/>
      <c r="K2526" s="93" t="s">
        <v>1173</v>
      </c>
      <c r="L2526" s="93"/>
      <c r="M2526" s="109"/>
      <c r="N2526" s="216"/>
    </row>
    <row r="2527" spans="1:17">
      <c r="A2527" s="258"/>
      <c r="B2527" s="259"/>
      <c r="C2527" s="260"/>
      <c r="D2527" s="117"/>
      <c r="H2527" s="107"/>
      <c r="I2527" s="109"/>
      <c r="J2527" s="109"/>
      <c r="K2527" s="109"/>
    </row>
    <row r="2528" spans="1:17">
      <c r="A2528" s="295" t="s">
        <v>1127</v>
      </c>
      <c r="B2528" s="291" t="s">
        <v>1140</v>
      </c>
      <c r="C2528" s="295" t="s">
        <v>1141</v>
      </c>
      <c r="D2528" s="123"/>
      <c r="H2528" s="107"/>
      <c r="I2528" s="109"/>
      <c r="J2528" s="109"/>
      <c r="K2528" s="109"/>
    </row>
    <row r="2529" spans="1:17">
      <c r="A2529" s="295"/>
      <c r="B2529" s="286"/>
      <c r="C2529" s="295"/>
      <c r="D2529" s="117" t="s">
        <v>411</v>
      </c>
      <c r="E2529" t="s">
        <v>1174</v>
      </c>
      <c r="G2529" t="s">
        <v>428</v>
      </c>
      <c r="H2529" s="107">
        <v>44561</v>
      </c>
      <c r="I2529" s="240"/>
      <c r="J2529" s="256"/>
      <c r="K2529" s="256"/>
      <c r="L2529" s="256"/>
      <c r="M2529" s="256">
        <v>1960000</v>
      </c>
      <c r="N2529" s="277">
        <v>1900000</v>
      </c>
    </row>
    <row r="2530" spans="1:17">
      <c r="A2530" s="295"/>
      <c r="B2530" s="286"/>
      <c r="C2530" s="295"/>
      <c r="D2530" s="117" t="s">
        <v>411</v>
      </c>
      <c r="E2530" t="s">
        <v>1175</v>
      </c>
      <c r="G2530" t="s">
        <v>428</v>
      </c>
      <c r="H2530" s="107">
        <v>44561</v>
      </c>
      <c r="I2530" s="240"/>
      <c r="J2530" s="256"/>
      <c r="K2530" s="256"/>
      <c r="L2530" s="256"/>
      <c r="M2530" s="256">
        <v>12000</v>
      </c>
      <c r="N2530" s="277">
        <v>11000</v>
      </c>
    </row>
    <row r="2531" spans="1:17">
      <c r="A2531" s="295"/>
      <c r="B2531" s="286"/>
      <c r="C2531" s="295"/>
      <c r="D2531" s="117" t="s">
        <v>411</v>
      </c>
      <c r="E2531" t="s">
        <v>1176</v>
      </c>
      <c r="G2531" t="s">
        <v>428</v>
      </c>
      <c r="H2531" s="107">
        <v>44561</v>
      </c>
      <c r="I2531" s="240"/>
      <c r="J2531" s="256"/>
      <c r="K2531" s="256"/>
      <c r="L2531" s="256"/>
      <c r="M2531" s="256">
        <v>22000</v>
      </c>
      <c r="N2531" s="277">
        <v>14000</v>
      </c>
    </row>
    <row r="2532" spans="1:17">
      <c r="A2532" s="295"/>
      <c r="B2532" s="286"/>
      <c r="C2532" s="295"/>
      <c r="D2532" s="117" t="s">
        <v>411</v>
      </c>
      <c r="E2532" t="s">
        <v>1177</v>
      </c>
      <c r="G2532" t="s">
        <v>428</v>
      </c>
      <c r="H2532" s="107">
        <v>44561</v>
      </c>
      <c r="I2532" s="240"/>
      <c r="J2532" s="256"/>
      <c r="K2532" s="256"/>
      <c r="L2532" s="256"/>
      <c r="M2532" s="256">
        <v>8000</v>
      </c>
      <c r="N2532" s="277">
        <v>7000</v>
      </c>
    </row>
    <row r="2533" spans="1:17">
      <c r="A2533" s="295"/>
      <c r="B2533" s="286"/>
      <c r="C2533" s="295"/>
      <c r="D2533" s="117" t="s">
        <v>411</v>
      </c>
      <c r="E2533" t="s">
        <v>1178</v>
      </c>
      <c r="G2533" t="s">
        <v>428</v>
      </c>
      <c r="H2533" s="107">
        <v>44561</v>
      </c>
      <c r="I2533" s="240"/>
      <c r="J2533" s="256"/>
      <c r="K2533" s="256"/>
      <c r="L2533" s="256"/>
      <c r="M2533" s="256">
        <v>3000</v>
      </c>
      <c r="N2533" s="277">
        <v>3000</v>
      </c>
    </row>
    <row r="2534" spans="1:17" s="241" customFormat="1">
      <c r="A2534" s="295"/>
      <c r="B2534" s="286"/>
      <c r="C2534" s="295"/>
      <c r="D2534" s="117" t="s">
        <v>411</v>
      </c>
      <c r="E2534" s="241" t="s">
        <v>443</v>
      </c>
      <c r="G2534" s="241" t="s">
        <v>428</v>
      </c>
      <c r="H2534" s="107">
        <v>44561</v>
      </c>
      <c r="I2534" s="242"/>
      <c r="J2534" s="261"/>
      <c r="K2534" s="261"/>
      <c r="L2534" s="261"/>
      <c r="M2534" s="254">
        <f>SUM(M2529:M2533)</f>
        <v>2005000</v>
      </c>
      <c r="N2534" s="278">
        <f>SUM(N2529:N2533)</f>
        <v>1935000</v>
      </c>
      <c r="Q2534" s="71"/>
    </row>
    <row r="2535" spans="1:17">
      <c r="A2535" s="295"/>
      <c r="B2535" s="286"/>
      <c r="C2535" s="295"/>
      <c r="D2535" s="117" t="s">
        <v>412</v>
      </c>
      <c r="E2535" t="s">
        <v>707</v>
      </c>
      <c r="G2535" t="s">
        <v>428</v>
      </c>
      <c r="H2535" s="107">
        <v>44561</v>
      </c>
      <c r="I2535" s="240"/>
      <c r="J2535" s="256"/>
      <c r="K2535" s="256"/>
      <c r="L2535" s="256"/>
      <c r="M2535" s="256">
        <v>1750000</v>
      </c>
      <c r="N2535" s="277">
        <v>1560000</v>
      </c>
    </row>
    <row r="2536" spans="1:17">
      <c r="A2536" s="295"/>
      <c r="B2536" s="286"/>
      <c r="C2536" s="295"/>
      <c r="D2536" s="117" t="s">
        <v>412</v>
      </c>
      <c r="E2536" t="s">
        <v>1179</v>
      </c>
      <c r="G2536" t="s">
        <v>428</v>
      </c>
      <c r="H2536" s="107">
        <v>44561</v>
      </c>
      <c r="I2536" s="240"/>
      <c r="J2536" s="256"/>
      <c r="K2536" s="256"/>
      <c r="L2536" s="256"/>
      <c r="M2536" s="256">
        <v>1570000</v>
      </c>
      <c r="N2536" s="277">
        <v>1240000</v>
      </c>
    </row>
    <row r="2537" spans="1:17" s="241" customFormat="1">
      <c r="A2537" s="295"/>
      <c r="B2537" s="286"/>
      <c r="C2537" s="295"/>
      <c r="D2537" s="117" t="s">
        <v>414</v>
      </c>
      <c r="G2537" s="241" t="s">
        <v>428</v>
      </c>
      <c r="H2537" s="107">
        <v>44561</v>
      </c>
      <c r="I2537" s="254"/>
      <c r="J2537" s="254"/>
      <c r="K2537" s="254"/>
      <c r="L2537" s="254"/>
      <c r="M2537" s="254">
        <f>M2535+M2534</f>
        <v>3755000</v>
      </c>
      <c r="N2537" s="278">
        <f>N2535+N2534</f>
        <v>3495000</v>
      </c>
      <c r="Q2537" s="71"/>
    </row>
    <row r="2538" spans="1:17">
      <c r="A2538" s="295"/>
      <c r="B2538" s="286"/>
      <c r="C2538" s="295"/>
      <c r="D2538" s="117" t="s">
        <v>415</v>
      </c>
      <c r="E2538" t="s">
        <v>416</v>
      </c>
      <c r="G2538" t="s">
        <v>428</v>
      </c>
      <c r="H2538" s="107">
        <v>44561</v>
      </c>
      <c r="I2538" s="240"/>
      <c r="J2538" s="256"/>
      <c r="K2538" s="256"/>
      <c r="L2538" s="256"/>
      <c r="M2538" s="256">
        <v>9200000</v>
      </c>
      <c r="N2538" s="277">
        <v>8940000</v>
      </c>
    </row>
    <row r="2539" spans="1:17">
      <c r="A2539" s="295"/>
      <c r="B2539" s="286"/>
      <c r="C2539" s="295"/>
      <c r="D2539" s="117" t="s">
        <v>415</v>
      </c>
      <c r="E2539" t="s">
        <v>1180</v>
      </c>
      <c r="G2539" t="s">
        <v>428</v>
      </c>
      <c r="H2539" s="107">
        <v>44561</v>
      </c>
      <c r="I2539" s="240"/>
      <c r="J2539" s="240"/>
      <c r="K2539" s="256"/>
      <c r="L2539" s="256"/>
      <c r="M2539" s="256">
        <v>8220000</v>
      </c>
      <c r="N2539" s="277">
        <v>8160000</v>
      </c>
    </row>
    <row r="2540" spans="1:17">
      <c r="A2540" s="295"/>
      <c r="B2540" s="286"/>
      <c r="C2540" s="295"/>
      <c r="D2540" s="117" t="s">
        <v>417</v>
      </c>
      <c r="E2540" t="s">
        <v>661</v>
      </c>
      <c r="G2540" t="s">
        <v>669</v>
      </c>
      <c r="H2540" s="107">
        <v>44561</v>
      </c>
      <c r="I2540" s="65"/>
      <c r="J2540" s="207"/>
      <c r="K2540" s="255"/>
      <c r="L2540" s="207"/>
      <c r="M2540" s="252">
        <v>41400</v>
      </c>
      <c r="N2540" s="277">
        <v>44081</v>
      </c>
    </row>
    <row r="2541" spans="1:17">
      <c r="A2541" s="295"/>
      <c r="B2541" s="294"/>
      <c r="C2541" s="295"/>
      <c r="D2541" s="117" t="s">
        <v>418</v>
      </c>
      <c r="H2541" s="107">
        <v>44561</v>
      </c>
      <c r="I2541" s="65"/>
      <c r="J2541" s="109"/>
      <c r="K2541" s="93"/>
      <c r="L2541" s="93"/>
      <c r="M2541" s="109"/>
      <c r="N2541" s="274" t="s">
        <v>1181</v>
      </c>
    </row>
    <row r="2542" spans="1:17">
      <c r="A2542" s="244"/>
      <c r="B2542" s="259"/>
      <c r="C2542" s="260"/>
      <c r="D2542" s="117"/>
      <c r="H2542" s="107"/>
      <c r="I2542" s="109"/>
      <c r="J2542" s="109"/>
      <c r="K2542" s="109"/>
    </row>
    <row r="2543" spans="1:17">
      <c r="A2543" s="295" t="s">
        <v>1127</v>
      </c>
      <c r="B2543" s="291" t="s">
        <v>1140</v>
      </c>
      <c r="C2543" s="295" t="s">
        <v>1141</v>
      </c>
      <c r="D2543" s="117" t="s">
        <v>411</v>
      </c>
      <c r="E2543" t="s">
        <v>1174</v>
      </c>
      <c r="G2543" t="s">
        <v>428</v>
      </c>
      <c r="H2543" s="107">
        <v>44196</v>
      </c>
      <c r="I2543" s="240"/>
      <c r="J2543" s="256"/>
      <c r="K2543" s="256"/>
      <c r="L2543" s="256">
        <v>2010000</v>
      </c>
      <c r="M2543" s="256">
        <v>1960000</v>
      </c>
      <c r="N2543" s="277"/>
    </row>
    <row r="2544" spans="1:17">
      <c r="A2544" s="295"/>
      <c r="B2544" s="286"/>
      <c r="C2544" s="295"/>
      <c r="D2544" s="117" t="s">
        <v>411</v>
      </c>
      <c r="E2544" t="s">
        <v>1182</v>
      </c>
      <c r="G2544" t="s">
        <v>428</v>
      </c>
      <c r="H2544" s="107">
        <v>44196</v>
      </c>
      <c r="I2544" s="240"/>
      <c r="J2544" s="256"/>
      <c r="K2544" s="256"/>
      <c r="L2544" s="256">
        <v>31000</v>
      </c>
      <c r="M2544" s="256">
        <v>12000</v>
      </c>
      <c r="N2544" s="277"/>
    </row>
    <row r="2545" spans="1:17">
      <c r="A2545" s="295"/>
      <c r="B2545" s="286"/>
      <c r="C2545" s="295"/>
      <c r="D2545" s="117" t="s">
        <v>411</v>
      </c>
      <c r="E2545" t="s">
        <v>1176</v>
      </c>
      <c r="G2545" t="s">
        <v>428</v>
      </c>
      <c r="H2545" s="107">
        <v>44196</v>
      </c>
      <c r="I2545" s="240"/>
      <c r="J2545" s="256"/>
      <c r="K2545" s="256"/>
      <c r="L2545" s="256">
        <v>20000</v>
      </c>
      <c r="M2545" s="256">
        <v>22000</v>
      </c>
      <c r="N2545" s="277"/>
    </row>
    <row r="2546" spans="1:17">
      <c r="A2546" s="295"/>
      <c r="B2546" s="286"/>
      <c r="C2546" s="295"/>
      <c r="D2546" s="117" t="s">
        <v>411</v>
      </c>
      <c r="E2546" t="s">
        <v>1177</v>
      </c>
      <c r="G2546" t="s">
        <v>428</v>
      </c>
      <c r="H2546" s="107">
        <v>44196</v>
      </c>
      <c r="I2546" s="240"/>
      <c r="J2546" s="256"/>
      <c r="K2546" s="256"/>
      <c r="L2546" s="256">
        <v>8000</v>
      </c>
      <c r="M2546" s="256">
        <v>8000</v>
      </c>
      <c r="N2546" s="277"/>
    </row>
    <row r="2547" spans="1:17">
      <c r="A2547" s="295"/>
      <c r="B2547" s="286"/>
      <c r="C2547" s="295"/>
      <c r="D2547" s="117" t="s">
        <v>411</v>
      </c>
      <c r="E2547" t="s">
        <v>1178</v>
      </c>
      <c r="G2547" t="s">
        <v>428</v>
      </c>
      <c r="H2547" s="107">
        <v>44196</v>
      </c>
      <c r="I2547" s="240"/>
      <c r="J2547" s="256"/>
      <c r="K2547" s="256"/>
      <c r="L2547" s="256">
        <v>4000</v>
      </c>
      <c r="M2547" s="256">
        <v>3000</v>
      </c>
      <c r="N2547" s="277"/>
    </row>
    <row r="2548" spans="1:17" s="241" customFormat="1">
      <c r="A2548" s="295"/>
      <c r="B2548" s="286"/>
      <c r="C2548" s="295"/>
      <c r="D2548" s="117" t="s">
        <v>411</v>
      </c>
      <c r="E2548" s="241" t="s">
        <v>443</v>
      </c>
      <c r="G2548" s="241" t="s">
        <v>428</v>
      </c>
      <c r="H2548" s="107">
        <v>44196</v>
      </c>
      <c r="I2548" s="254"/>
      <c r="J2548" s="254"/>
      <c r="K2548" s="254"/>
      <c r="L2548" s="254">
        <f t="shared" ref="L2548" si="136">SUM(L2543:L2547)</f>
        <v>2073000</v>
      </c>
      <c r="M2548" s="254">
        <f>SUM(M2543:M2547)</f>
        <v>2005000</v>
      </c>
      <c r="N2548" s="278"/>
      <c r="Q2548" s="71"/>
    </row>
    <row r="2549" spans="1:17">
      <c r="A2549" s="295"/>
      <c r="B2549" s="286"/>
      <c r="C2549" s="295"/>
      <c r="D2549" s="117" t="s">
        <v>412</v>
      </c>
      <c r="E2549" t="s">
        <v>707</v>
      </c>
      <c r="G2549" t="s">
        <v>428</v>
      </c>
      <c r="H2549" s="107">
        <v>44196</v>
      </c>
      <c r="I2549" s="240"/>
      <c r="J2549" s="256"/>
      <c r="K2549" s="256"/>
      <c r="L2549" s="256">
        <v>1770000</v>
      </c>
      <c r="M2549" s="256">
        <v>1750000</v>
      </c>
      <c r="N2549" s="277"/>
    </row>
    <row r="2550" spans="1:17">
      <c r="A2550" s="295"/>
      <c r="B2550" s="286"/>
      <c r="C2550" s="295"/>
      <c r="D2550" s="117" t="s">
        <v>412</v>
      </c>
      <c r="E2550" t="s">
        <v>1179</v>
      </c>
      <c r="G2550" t="s">
        <v>428</v>
      </c>
      <c r="H2550" s="107">
        <v>44196</v>
      </c>
      <c r="I2550" s="240"/>
      <c r="J2550" s="256"/>
      <c r="K2550" s="256"/>
      <c r="L2550" s="256">
        <v>1680000</v>
      </c>
      <c r="M2550" s="256">
        <v>1570000</v>
      </c>
      <c r="N2550" s="277"/>
    </row>
    <row r="2551" spans="1:17" s="241" customFormat="1">
      <c r="A2551" s="295"/>
      <c r="B2551" s="286"/>
      <c r="C2551" s="295"/>
      <c r="D2551" s="117" t="s">
        <v>414</v>
      </c>
      <c r="G2551" s="241" t="s">
        <v>428</v>
      </c>
      <c r="H2551" s="107">
        <v>44196</v>
      </c>
      <c r="I2551" s="254"/>
      <c r="J2551" s="254"/>
      <c r="K2551" s="254"/>
      <c r="L2551" s="254">
        <f t="shared" ref="L2551:M2551" si="137">L2549+L2548</f>
        <v>3843000</v>
      </c>
      <c r="M2551" s="254">
        <f t="shared" si="137"/>
        <v>3755000</v>
      </c>
      <c r="N2551" s="278"/>
      <c r="Q2551" s="71"/>
    </row>
    <row r="2552" spans="1:17">
      <c r="A2552" s="295"/>
      <c r="B2552" s="286"/>
      <c r="C2552" s="295"/>
      <c r="D2552" s="117" t="s">
        <v>415</v>
      </c>
      <c r="E2552" t="s">
        <v>416</v>
      </c>
      <c r="G2552" t="s">
        <v>428</v>
      </c>
      <c r="H2552" s="107">
        <v>44196</v>
      </c>
      <c r="I2552" s="240"/>
      <c r="J2552" s="256"/>
      <c r="K2552" s="256"/>
      <c r="L2552" s="256">
        <v>10050000</v>
      </c>
      <c r="M2552" s="256">
        <v>8860000</v>
      </c>
      <c r="N2552" s="277"/>
    </row>
    <row r="2553" spans="1:17">
      <c r="A2553" s="295"/>
      <c r="B2553" s="286"/>
      <c r="C2553" s="295"/>
      <c r="D2553" s="117" t="s">
        <v>415</v>
      </c>
      <c r="E2553" t="s">
        <v>1180</v>
      </c>
      <c r="G2553" t="s">
        <v>428</v>
      </c>
      <c r="H2553" s="107">
        <v>44196</v>
      </c>
      <c r="I2553" s="240"/>
      <c r="J2553" s="240"/>
      <c r="K2553" s="256"/>
      <c r="L2553" s="256">
        <v>8870000</v>
      </c>
      <c r="M2553" s="256">
        <v>7880000</v>
      </c>
      <c r="N2553" s="277"/>
    </row>
    <row r="2554" spans="1:17">
      <c r="A2554" s="295"/>
      <c r="B2554" s="286"/>
      <c r="C2554" s="295"/>
      <c r="D2554" s="117" t="s">
        <v>417</v>
      </c>
      <c r="E2554" t="s">
        <v>661</v>
      </c>
      <c r="G2554" t="s">
        <v>669</v>
      </c>
      <c r="H2554" s="107">
        <v>44196</v>
      </c>
      <c r="I2554" s="65"/>
      <c r="J2554" s="207"/>
      <c r="K2554" s="255"/>
      <c r="L2554" s="252">
        <v>43545</v>
      </c>
      <c r="M2554" s="252">
        <v>41400</v>
      </c>
      <c r="N2554" s="277"/>
    </row>
    <row r="2555" spans="1:17">
      <c r="A2555" s="295"/>
      <c r="B2555" s="294"/>
      <c r="C2555" s="295"/>
      <c r="D2555" s="117" t="s">
        <v>418</v>
      </c>
      <c r="H2555" s="107">
        <v>44196</v>
      </c>
      <c r="I2555" s="65"/>
      <c r="J2555" s="109"/>
      <c r="K2555" s="93"/>
      <c r="L2555" s="93"/>
      <c r="M2555" s="93" t="s">
        <v>1183</v>
      </c>
      <c r="N2555" s="274"/>
    </row>
    <row r="2556" spans="1:17">
      <c r="A2556" s="316" t="s">
        <v>1127</v>
      </c>
      <c r="B2556" s="291" t="s">
        <v>1140</v>
      </c>
      <c r="C2556" s="316" t="s">
        <v>1141</v>
      </c>
      <c r="D2556" s="118"/>
      <c r="H2556" s="107"/>
      <c r="I2556"/>
      <c r="J2556" s="109"/>
      <c r="K2556" s="262">
        <v>1500000</v>
      </c>
      <c r="L2556" s="263">
        <v>2030000</v>
      </c>
    </row>
    <row r="2557" spans="1:17">
      <c r="A2557" s="324"/>
      <c r="B2557" s="286"/>
      <c r="C2557" s="324"/>
      <c r="D2557" s="117" t="s">
        <v>411</v>
      </c>
      <c r="E2557" t="s">
        <v>1174</v>
      </c>
      <c r="G2557" t="s">
        <v>428</v>
      </c>
      <c r="H2557" s="107">
        <v>43830</v>
      </c>
      <c r="I2557" s="240"/>
      <c r="J2557" s="256"/>
      <c r="K2557" s="256">
        <f>0.972*K2556</f>
        <v>1458000</v>
      </c>
      <c r="L2557" s="256">
        <f>0.972*L2556</f>
        <v>1973160</v>
      </c>
      <c r="M2557" s="256"/>
      <c r="N2557" s="277"/>
    </row>
    <row r="2558" spans="1:17">
      <c r="A2558" s="324"/>
      <c r="B2558" s="286"/>
      <c r="C2558" s="324"/>
      <c r="D2558" s="117" t="s">
        <v>411</v>
      </c>
      <c r="E2558" t="s">
        <v>1182</v>
      </c>
      <c r="G2558" t="s">
        <v>428</v>
      </c>
      <c r="H2558" s="107">
        <v>43830</v>
      </c>
      <c r="I2558" s="240"/>
      <c r="J2558" s="256"/>
      <c r="K2558" s="256">
        <f>0.013*K2556</f>
        <v>19500</v>
      </c>
      <c r="L2558" s="256">
        <f>0.013*L2556</f>
        <v>26390</v>
      </c>
      <c r="M2558" s="256"/>
      <c r="N2558" s="277"/>
    </row>
    <row r="2559" spans="1:17">
      <c r="A2559" s="324"/>
      <c r="B2559" s="286"/>
      <c r="C2559" s="324"/>
      <c r="D2559" s="117" t="s">
        <v>411</v>
      </c>
      <c r="E2559" t="s">
        <v>1176</v>
      </c>
      <c r="G2559" t="s">
        <v>428</v>
      </c>
      <c r="H2559" s="107">
        <v>43830</v>
      </c>
      <c r="I2559" s="240"/>
      <c r="J2559" s="256"/>
      <c r="K2559" s="256">
        <f>0.011*K2556</f>
        <v>16500</v>
      </c>
      <c r="L2559" s="256">
        <f>0.011*L2556</f>
        <v>22330</v>
      </c>
      <c r="M2559" s="256"/>
      <c r="N2559" s="277"/>
    </row>
    <row r="2560" spans="1:17">
      <c r="A2560" s="324"/>
      <c r="B2560" s="286"/>
      <c r="C2560" s="324"/>
      <c r="D2560" s="117" t="s">
        <v>411</v>
      </c>
      <c r="E2560" t="s">
        <v>1177</v>
      </c>
      <c r="G2560" t="s">
        <v>428</v>
      </c>
      <c r="H2560" s="107">
        <v>43830</v>
      </c>
      <c r="I2560" s="240"/>
      <c r="J2560" s="256"/>
      <c r="K2560" s="256">
        <f>0.003*K2556</f>
        <v>4500</v>
      </c>
      <c r="L2560" s="256">
        <f>0.003*L2556</f>
        <v>6090</v>
      </c>
      <c r="M2560" s="256"/>
      <c r="N2560" s="277"/>
    </row>
    <row r="2561" spans="1:17">
      <c r="A2561" s="324"/>
      <c r="B2561" s="286"/>
      <c r="C2561" s="324"/>
      <c r="D2561" s="117" t="s">
        <v>411</v>
      </c>
      <c r="E2561" t="s">
        <v>1178</v>
      </c>
      <c r="G2561" t="s">
        <v>428</v>
      </c>
      <c r="H2561" s="107">
        <v>43830</v>
      </c>
      <c r="I2561" s="240"/>
      <c r="J2561" s="256"/>
      <c r="K2561" s="256">
        <f>0.001*K2556</f>
        <v>1500</v>
      </c>
      <c r="L2561" s="256">
        <f>0.001*L2556</f>
        <v>2030</v>
      </c>
      <c r="M2561" s="256"/>
      <c r="N2561" s="277"/>
    </row>
    <row r="2562" spans="1:17" s="241" customFormat="1">
      <c r="A2562" s="324"/>
      <c r="B2562" s="286"/>
      <c r="C2562" s="324"/>
      <c r="D2562" s="117" t="s">
        <v>411</v>
      </c>
      <c r="E2562" s="241" t="s">
        <v>443</v>
      </c>
      <c r="G2562" s="241" t="s">
        <v>428</v>
      </c>
      <c r="H2562" s="107">
        <v>43830</v>
      </c>
      <c r="I2562" s="254"/>
      <c r="J2562" s="254"/>
      <c r="K2562" s="254">
        <f t="shared" ref="K2562:L2562" si="138">SUM(K2557:K2561)</f>
        <v>1500000</v>
      </c>
      <c r="L2562" s="254">
        <f t="shared" si="138"/>
        <v>2030000</v>
      </c>
      <c r="M2562" s="254"/>
      <c r="N2562" s="278"/>
      <c r="Q2562" s="71"/>
    </row>
    <row r="2563" spans="1:17">
      <c r="A2563" s="324"/>
      <c r="B2563" s="286"/>
      <c r="C2563" s="324"/>
      <c r="D2563" s="117" t="s">
        <v>412</v>
      </c>
      <c r="E2563" t="s">
        <v>707</v>
      </c>
      <c r="G2563" t="s">
        <v>428</v>
      </c>
      <c r="H2563" s="107">
        <v>43830</v>
      </c>
      <c r="I2563" s="240"/>
      <c r="J2563" s="256"/>
      <c r="K2563" s="256">
        <v>1450000</v>
      </c>
      <c r="L2563" s="256">
        <v>1770000</v>
      </c>
      <c r="M2563" s="256"/>
      <c r="N2563" s="277"/>
    </row>
    <row r="2564" spans="1:17">
      <c r="A2564" s="324"/>
      <c r="B2564" s="286"/>
      <c r="C2564" s="324"/>
      <c r="D2564" s="117" t="s">
        <v>412</v>
      </c>
      <c r="E2564" t="s">
        <v>1179</v>
      </c>
      <c r="G2564" t="s">
        <v>428</v>
      </c>
      <c r="H2564" s="107">
        <v>43830</v>
      </c>
      <c r="I2564" s="240"/>
      <c r="J2564" s="256"/>
      <c r="K2564" s="256">
        <v>1380000</v>
      </c>
      <c r="L2564" s="256">
        <v>1680000</v>
      </c>
      <c r="M2564" s="256"/>
      <c r="N2564" s="277"/>
    </row>
    <row r="2565" spans="1:17" s="241" customFormat="1">
      <c r="A2565" s="324"/>
      <c r="B2565" s="286"/>
      <c r="C2565" s="324"/>
      <c r="D2565" s="117" t="s">
        <v>414</v>
      </c>
      <c r="G2565" s="241" t="s">
        <v>428</v>
      </c>
      <c r="H2565" s="107">
        <v>43830</v>
      </c>
      <c r="I2565" s="254"/>
      <c r="J2565" s="254"/>
      <c r="K2565" s="254">
        <f t="shared" ref="K2565:L2565" si="139">K2563+K2562</f>
        <v>2950000</v>
      </c>
      <c r="L2565" s="254">
        <f t="shared" si="139"/>
        <v>3800000</v>
      </c>
      <c r="M2565" s="254"/>
      <c r="N2565" s="278"/>
      <c r="Q2565" s="71"/>
    </row>
    <row r="2566" spans="1:17">
      <c r="A2566" s="324"/>
      <c r="B2566" s="286"/>
      <c r="C2566" s="324"/>
      <c r="D2566" s="117" t="s">
        <v>415</v>
      </c>
      <c r="E2566" t="s">
        <v>416</v>
      </c>
      <c r="G2566" t="s">
        <v>428</v>
      </c>
      <c r="H2566" s="107">
        <v>43830</v>
      </c>
      <c r="I2566" s="240"/>
      <c r="J2566" s="256"/>
      <c r="K2566" s="256"/>
      <c r="L2566" s="256">
        <v>10050000</v>
      </c>
      <c r="M2566" s="256"/>
      <c r="N2566" s="277"/>
    </row>
    <row r="2567" spans="1:17">
      <c r="A2567" s="324"/>
      <c r="B2567" s="286"/>
      <c r="C2567" s="324"/>
      <c r="D2567" s="117" t="s">
        <v>415</v>
      </c>
      <c r="E2567" t="s">
        <v>1180</v>
      </c>
      <c r="G2567" t="s">
        <v>428</v>
      </c>
      <c r="H2567" s="107">
        <v>43830</v>
      </c>
      <c r="I2567" s="240"/>
      <c r="J2567" s="240"/>
      <c r="K2567" s="256"/>
      <c r="L2567" s="256">
        <v>8870000</v>
      </c>
      <c r="M2567" s="256"/>
      <c r="N2567" s="277"/>
    </row>
    <row r="2568" spans="1:17">
      <c r="A2568" s="324"/>
      <c r="B2568" s="286"/>
      <c r="C2568" s="324"/>
      <c r="D2568" s="117" t="s">
        <v>417</v>
      </c>
      <c r="E2568" t="s">
        <v>661</v>
      </c>
      <c r="G2568" t="s">
        <v>669</v>
      </c>
      <c r="H2568" s="107">
        <v>43830</v>
      </c>
      <c r="I2568" s="65"/>
      <c r="J2568" s="207"/>
      <c r="K2568" s="264">
        <v>36742</v>
      </c>
      <c r="L2568" s="252">
        <v>43545</v>
      </c>
      <c r="M2568" s="252"/>
      <c r="N2568" s="277"/>
    </row>
    <row r="2569" spans="1:17">
      <c r="A2569" s="315"/>
      <c r="B2569" s="294"/>
      <c r="C2569" s="315"/>
      <c r="D2569" s="117" t="s">
        <v>418</v>
      </c>
      <c r="H2569" s="107">
        <v>43830</v>
      </c>
      <c r="I2569" s="65"/>
      <c r="J2569" s="109"/>
      <c r="K2569" s="93"/>
      <c r="L2569" s="93" t="s">
        <v>1184</v>
      </c>
      <c r="M2569" s="93"/>
      <c r="N2569" s="274"/>
    </row>
    <row r="2570" spans="1:17" ht="15" customHeight="1">
      <c r="A2570" s="335" t="s">
        <v>1128</v>
      </c>
      <c r="B2570" s="335" t="s">
        <v>1142</v>
      </c>
      <c r="C2570" s="335" t="s">
        <v>1143</v>
      </c>
      <c r="D2570" s="126"/>
      <c r="H2570" s="107"/>
      <c r="I2570" s="129"/>
      <c r="J2570" s="109"/>
      <c r="K2570" s="109"/>
    </row>
    <row r="2571" spans="1:17">
      <c r="A2571" s="336"/>
      <c r="B2571" s="336"/>
      <c r="C2571" s="336"/>
      <c r="D2571" s="117" t="s">
        <v>411</v>
      </c>
      <c r="G2571" t="s">
        <v>428</v>
      </c>
      <c r="H2571" s="107">
        <v>44651</v>
      </c>
      <c r="I2571" s="240"/>
      <c r="J2571" s="256"/>
      <c r="L2571" s="256">
        <v>5268</v>
      </c>
      <c r="M2571" s="256">
        <v>4572</v>
      </c>
      <c r="N2571" s="277">
        <v>3618.5</v>
      </c>
      <c r="O2571" s="252">
        <v>3477.1</v>
      </c>
    </row>
    <row r="2572" spans="1:17">
      <c r="A2572" s="336"/>
      <c r="B2572" s="336"/>
      <c r="C2572" s="336"/>
      <c r="D2572" s="117" t="s">
        <v>412</v>
      </c>
      <c r="E2572" t="s">
        <v>707</v>
      </c>
      <c r="G2572" t="s">
        <v>428</v>
      </c>
      <c r="H2572" s="107">
        <v>44651</v>
      </c>
      <c r="I2572" s="240"/>
      <c r="J2572" s="256"/>
      <c r="L2572" s="256">
        <v>27316.5</v>
      </c>
      <c r="M2572" s="256">
        <v>24802.799999999999</v>
      </c>
      <c r="N2572" s="277">
        <v>22652.400000000001</v>
      </c>
      <c r="O2572" s="252">
        <v>24005.599999999999</v>
      </c>
    </row>
    <row r="2573" spans="1:17">
      <c r="A2573" s="336"/>
      <c r="B2573" s="336"/>
      <c r="C2573" s="336"/>
      <c r="D2573" s="117" t="s">
        <v>412</v>
      </c>
      <c r="E2573" t="s">
        <v>1179</v>
      </c>
      <c r="G2573" t="s">
        <v>428</v>
      </c>
      <c r="H2573" s="107">
        <v>44651</v>
      </c>
      <c r="I2573" s="240"/>
      <c r="J2573" s="256"/>
      <c r="L2573" s="256">
        <v>27049.599999999999</v>
      </c>
      <c r="M2573" s="256">
        <v>24047.200000000001</v>
      </c>
      <c r="N2573" s="277">
        <v>22081.9</v>
      </c>
      <c r="O2573" s="252">
        <v>20322.7</v>
      </c>
    </row>
    <row r="2574" spans="1:17" s="241" customFormat="1">
      <c r="A2574" s="336"/>
      <c r="B2574" s="336"/>
      <c r="C2574" s="336"/>
      <c r="D2574" s="117" t="s">
        <v>414</v>
      </c>
      <c r="G2574" s="241" t="s">
        <v>428</v>
      </c>
      <c r="H2574" s="107">
        <v>44651</v>
      </c>
      <c r="I2574" s="265"/>
      <c r="J2574" s="265"/>
      <c r="K2574" s="254"/>
      <c r="L2574" s="254">
        <f>L2571+L2572</f>
        <v>32584.5</v>
      </c>
      <c r="M2574" s="254">
        <f t="shared" ref="M2574:O2574" si="140">M2571+M2572</f>
        <v>29374.799999999999</v>
      </c>
      <c r="N2574" s="278">
        <f t="shared" si="140"/>
        <v>26270.9</v>
      </c>
      <c r="O2574" s="254">
        <f t="shared" si="140"/>
        <v>27482.699999999997</v>
      </c>
      <c r="Q2574" s="71"/>
    </row>
    <row r="2575" spans="1:17">
      <c r="A2575" s="336"/>
      <c r="B2575" s="336"/>
      <c r="C2575" s="336"/>
      <c r="D2575" s="117" t="s">
        <v>415</v>
      </c>
      <c r="E2575" t="s">
        <v>1185</v>
      </c>
      <c r="G2575" t="s">
        <v>428</v>
      </c>
      <c r="H2575" s="107">
        <v>44651</v>
      </c>
      <c r="I2575" s="240"/>
      <c r="J2575" s="256"/>
      <c r="L2575" s="256">
        <v>395394.2</v>
      </c>
      <c r="M2575" s="256">
        <v>377261.3</v>
      </c>
      <c r="N2575" s="277">
        <v>266362.5</v>
      </c>
      <c r="O2575" s="252">
        <v>325258.3</v>
      </c>
    </row>
    <row r="2576" spans="1:17">
      <c r="A2576" s="336"/>
      <c r="B2576" s="336"/>
      <c r="C2576" s="336"/>
      <c r="D2576" s="117" t="s">
        <v>415</v>
      </c>
      <c r="E2576" t="s">
        <v>1186</v>
      </c>
      <c r="G2576" t="s">
        <v>428</v>
      </c>
      <c r="H2576" s="107">
        <v>44651</v>
      </c>
      <c r="I2576" s="240"/>
      <c r="J2576" s="256"/>
      <c r="L2576" s="256">
        <v>19467</v>
      </c>
      <c r="M2576" s="256">
        <v>16698.400000000001</v>
      </c>
      <c r="N2576" s="277">
        <v>10799.6</v>
      </c>
      <c r="O2576" s="252">
        <v>15073</v>
      </c>
    </row>
    <row r="2577" spans="1:17">
      <c r="A2577" s="336"/>
      <c r="B2577" s="336"/>
      <c r="C2577" s="336"/>
      <c r="D2577" s="117" t="s">
        <v>415</v>
      </c>
      <c r="E2577" t="s">
        <v>1187</v>
      </c>
      <c r="G2577" t="s">
        <v>428</v>
      </c>
      <c r="H2577" s="107">
        <v>44651</v>
      </c>
      <c r="I2577" s="240"/>
      <c r="J2577" s="256"/>
      <c r="L2577" s="256">
        <v>2559.6999999999998</v>
      </c>
      <c r="M2577" s="256">
        <v>3995.5</v>
      </c>
      <c r="N2577" s="277">
        <v>3597.2</v>
      </c>
      <c r="O2577" s="252">
        <v>3745.1</v>
      </c>
    </row>
    <row r="2578" spans="1:17">
      <c r="A2578" s="336"/>
      <c r="B2578" s="336"/>
      <c r="C2578" s="336"/>
      <c r="D2578" s="117" t="s">
        <v>415</v>
      </c>
      <c r="E2578" t="s">
        <v>1188</v>
      </c>
      <c r="G2578" t="s">
        <v>428</v>
      </c>
      <c r="H2578" s="107">
        <v>44651</v>
      </c>
      <c r="I2578" s="240"/>
      <c r="J2578" s="256"/>
      <c r="L2578" s="256">
        <v>71956.100000000006</v>
      </c>
      <c r="M2578" s="256">
        <v>73665.100000000006</v>
      </c>
      <c r="N2578" s="277">
        <v>54328.4</v>
      </c>
      <c r="O2578" s="252">
        <v>73048</v>
      </c>
    </row>
    <row r="2579" spans="1:17">
      <c r="A2579" s="336"/>
      <c r="B2579" s="336"/>
      <c r="C2579" s="336"/>
      <c r="D2579" s="117" t="s">
        <v>415</v>
      </c>
      <c r="E2579" t="s">
        <v>1189</v>
      </c>
      <c r="G2579" t="s">
        <v>428</v>
      </c>
      <c r="H2579" s="107">
        <v>44651</v>
      </c>
      <c r="I2579" s="240"/>
      <c r="J2579" s="256"/>
      <c r="L2579" s="256">
        <v>1357.5</v>
      </c>
      <c r="M2579" s="256">
        <v>130.69999999999999</v>
      </c>
      <c r="N2579" s="277">
        <v>117.9</v>
      </c>
      <c r="O2579" s="252">
        <v>96</v>
      </c>
    </row>
    <row r="2580" spans="1:17">
      <c r="A2580" s="336"/>
      <c r="B2580" s="336"/>
      <c r="C2580" s="336"/>
      <c r="D2580" s="117" t="s">
        <v>415</v>
      </c>
      <c r="E2580" t="s">
        <v>1190</v>
      </c>
      <c r="G2580" t="s">
        <v>428</v>
      </c>
      <c r="H2580" s="107">
        <v>44651</v>
      </c>
      <c r="I2580" s="240"/>
      <c r="J2580" s="256"/>
      <c r="L2580" s="256">
        <v>1542.8</v>
      </c>
      <c r="M2580" s="256">
        <v>1455.1</v>
      </c>
      <c r="N2580" s="277">
        <v>1352.5</v>
      </c>
      <c r="O2580" s="252">
        <v>1319.8</v>
      </c>
    </row>
    <row r="2581" spans="1:17">
      <c r="A2581" s="336"/>
      <c r="B2581" s="336"/>
      <c r="C2581" s="336"/>
      <c r="D2581" s="117" t="s">
        <v>415</v>
      </c>
      <c r="E2581" t="s">
        <v>1191</v>
      </c>
      <c r="G2581" t="s">
        <v>428</v>
      </c>
      <c r="H2581" s="107">
        <v>44651</v>
      </c>
      <c r="I2581" s="240"/>
      <c r="J2581" s="256"/>
      <c r="L2581" s="256">
        <v>1074</v>
      </c>
      <c r="M2581" s="256">
        <v>1796.4</v>
      </c>
      <c r="N2581" s="277">
        <v>1497</v>
      </c>
      <c r="O2581" s="252">
        <v>1497</v>
      </c>
    </row>
    <row r="2582" spans="1:17">
      <c r="A2582" s="336"/>
      <c r="B2582" s="336"/>
      <c r="C2582" s="336"/>
      <c r="D2582" s="117" t="s">
        <v>415</v>
      </c>
      <c r="E2582" t="s">
        <v>1192</v>
      </c>
      <c r="G2582" t="s">
        <v>428</v>
      </c>
      <c r="H2582" s="107">
        <v>44651</v>
      </c>
      <c r="I2582" s="240"/>
      <c r="J2582" s="256"/>
      <c r="L2582" s="256">
        <v>2136.6999999999998</v>
      </c>
      <c r="M2582" s="256">
        <v>1966.6</v>
      </c>
      <c r="N2582" s="277">
        <v>118.9</v>
      </c>
      <c r="O2582" s="252">
        <v>105.1</v>
      </c>
    </row>
    <row r="2583" spans="1:17">
      <c r="A2583" s="336"/>
      <c r="B2583" s="336"/>
      <c r="C2583" s="336"/>
      <c r="D2583" s="117" t="s">
        <v>415</v>
      </c>
      <c r="E2583" t="s">
        <v>1193</v>
      </c>
      <c r="G2583" t="s">
        <v>428</v>
      </c>
      <c r="H2583" s="107">
        <v>44651</v>
      </c>
      <c r="I2583" s="240"/>
      <c r="J2583" s="256"/>
      <c r="L2583" s="256">
        <v>120165</v>
      </c>
      <c r="M2583" s="256">
        <v>75417.8</v>
      </c>
      <c r="N2583" s="277">
        <v>20372.3</v>
      </c>
      <c r="O2583" s="252">
        <v>7196.2</v>
      </c>
    </row>
    <row r="2584" spans="1:17">
      <c r="A2584" s="336"/>
      <c r="B2584" s="336"/>
      <c r="C2584" s="336"/>
      <c r="D2584" s="117" t="s">
        <v>415</v>
      </c>
      <c r="E2584" t="s">
        <v>1194</v>
      </c>
      <c r="G2584" t="s">
        <v>428</v>
      </c>
      <c r="H2584" s="107">
        <v>44651</v>
      </c>
      <c r="I2584" s="240"/>
      <c r="J2584" s="256"/>
      <c r="L2584" s="256">
        <v>10171.6</v>
      </c>
      <c r="M2584" s="256">
        <v>9653.5</v>
      </c>
      <c r="N2584" s="277">
        <v>9611.6</v>
      </c>
      <c r="O2584" s="252">
        <v>10136.9</v>
      </c>
    </row>
    <row r="2585" spans="1:17">
      <c r="A2585" s="336"/>
      <c r="B2585" s="336"/>
      <c r="C2585" s="336"/>
      <c r="D2585" s="117" t="s">
        <v>415</v>
      </c>
      <c r="E2585" t="s">
        <v>1195</v>
      </c>
      <c r="G2585" t="s">
        <v>428</v>
      </c>
      <c r="H2585" s="107">
        <v>44651</v>
      </c>
      <c r="I2585" s="240"/>
      <c r="J2585" s="256"/>
      <c r="L2585" s="256">
        <v>18482</v>
      </c>
      <c r="M2585" s="256">
        <v>17997</v>
      </c>
      <c r="N2585" s="277">
        <v>17277</v>
      </c>
      <c r="O2585" s="252">
        <v>15837.3</v>
      </c>
    </row>
    <row r="2586" spans="1:17">
      <c r="A2586" s="336"/>
      <c r="B2586" s="336"/>
      <c r="C2586" s="336"/>
      <c r="D2586" s="117" t="s">
        <v>415</v>
      </c>
      <c r="E2586" t="s">
        <v>1196</v>
      </c>
      <c r="G2586" t="s">
        <v>428</v>
      </c>
      <c r="H2586" s="107">
        <v>44651</v>
      </c>
      <c r="I2586" s="240"/>
      <c r="J2586" s="256"/>
      <c r="L2586" s="256">
        <v>5680.7</v>
      </c>
      <c r="M2586" s="256">
        <v>5248</v>
      </c>
      <c r="N2586" s="277">
        <v>4274.8999999999996</v>
      </c>
      <c r="O2586" s="252">
        <v>3419.3</v>
      </c>
    </row>
    <row r="2587" spans="1:17" s="241" customFormat="1">
      <c r="A2587" s="336"/>
      <c r="B2587" s="336"/>
      <c r="C2587" s="336"/>
      <c r="D2587" s="117" t="s">
        <v>415</v>
      </c>
      <c r="E2587" s="241" t="s">
        <v>660</v>
      </c>
      <c r="G2587" s="241" t="s">
        <v>428</v>
      </c>
      <c r="H2587" s="249">
        <v>44651</v>
      </c>
      <c r="I2587" s="242"/>
      <c r="J2587" s="261"/>
      <c r="L2587" s="254">
        <f t="shared" ref="L2587:N2587" si="141">SUM(L2575:L2586)</f>
        <v>649987.29999999993</v>
      </c>
      <c r="M2587" s="254">
        <f t="shared" si="141"/>
        <v>585285.4</v>
      </c>
      <c r="N2587" s="278">
        <f t="shared" si="141"/>
        <v>389709.80000000005</v>
      </c>
      <c r="O2587" s="254">
        <f>SUM(O2575:O2586)</f>
        <v>456731.99999999994</v>
      </c>
      <c r="P2587" s="266"/>
      <c r="Q2587" s="71"/>
    </row>
    <row r="2588" spans="1:17">
      <c r="A2588" s="336"/>
      <c r="B2588" s="336"/>
      <c r="C2588" s="336"/>
      <c r="D2588" s="117" t="s">
        <v>417</v>
      </c>
      <c r="E2588" t="s">
        <v>661</v>
      </c>
      <c r="G2588" t="s">
        <v>817</v>
      </c>
      <c r="H2588" s="107">
        <v>44651</v>
      </c>
      <c r="I2588" s="65"/>
      <c r="J2588" s="207"/>
      <c r="L2588" s="264"/>
      <c r="M2588" s="252"/>
      <c r="N2588" s="277"/>
      <c r="O2588" s="255">
        <v>252322</v>
      </c>
    </row>
    <row r="2589" spans="1:17">
      <c r="A2589" s="337"/>
      <c r="B2589" s="337"/>
      <c r="C2589" s="337"/>
      <c r="D2589" s="117" t="s">
        <v>418</v>
      </c>
      <c r="H2589" s="107">
        <v>44651</v>
      </c>
      <c r="I2589" s="65"/>
      <c r="J2589" s="109"/>
      <c r="L2589" s="93"/>
      <c r="M2589" s="93"/>
      <c r="N2589" s="274"/>
      <c r="O2589" s="93" t="s">
        <v>1197</v>
      </c>
    </row>
    <row r="2590" spans="1:17">
      <c r="A2590" s="244"/>
      <c r="B2590" s="244"/>
      <c r="C2590" s="244"/>
      <c r="D2590" s="126"/>
      <c r="H2590" s="107"/>
      <c r="I2590" s="129"/>
      <c r="J2590" s="109"/>
      <c r="K2590" s="109"/>
    </row>
    <row r="2591" spans="1:17" ht="15" customHeight="1">
      <c r="A2591" s="335" t="s">
        <v>1128</v>
      </c>
      <c r="B2591" s="335" t="s">
        <v>1142</v>
      </c>
      <c r="C2591" s="335" t="s">
        <v>1143</v>
      </c>
      <c r="D2591" s="126"/>
      <c r="H2591" s="107"/>
      <c r="I2591" s="129"/>
      <c r="J2591" s="109"/>
      <c r="K2591" s="109"/>
    </row>
    <row r="2592" spans="1:17">
      <c r="A2592" s="336"/>
      <c r="B2592" s="336"/>
      <c r="C2592" s="336"/>
      <c r="D2592" s="117" t="s">
        <v>411</v>
      </c>
      <c r="G2592" t="s">
        <v>428</v>
      </c>
      <c r="H2592" s="107">
        <v>44286</v>
      </c>
      <c r="I2592" s="240"/>
      <c r="J2592" s="256"/>
      <c r="K2592">
        <v>5670.1</v>
      </c>
      <c r="L2592" s="256">
        <v>5268</v>
      </c>
      <c r="M2592" s="256">
        <v>4572</v>
      </c>
      <c r="N2592" s="277">
        <v>3618.5</v>
      </c>
      <c r="O2592" s="252"/>
    </row>
    <row r="2593" spans="1:17">
      <c r="A2593" s="336"/>
      <c r="B2593" s="336"/>
      <c r="C2593" s="336"/>
      <c r="D2593" s="117" t="s">
        <v>412</v>
      </c>
      <c r="E2593" t="s">
        <v>707</v>
      </c>
      <c r="G2593" t="s">
        <v>428</v>
      </c>
      <c r="H2593" s="107">
        <v>44286</v>
      </c>
      <c r="I2593" s="240"/>
      <c r="J2593" s="256"/>
      <c r="L2593" s="256">
        <v>27154.2</v>
      </c>
      <c r="M2593" s="256">
        <v>24818.7</v>
      </c>
      <c r="N2593" s="277">
        <v>22616.3</v>
      </c>
      <c r="O2593" s="252"/>
    </row>
    <row r="2594" spans="1:17">
      <c r="A2594" s="336"/>
      <c r="B2594" s="336"/>
      <c r="C2594" s="336"/>
      <c r="D2594" s="117" t="s">
        <v>412</v>
      </c>
      <c r="E2594" t="s">
        <v>1179</v>
      </c>
      <c r="G2594" t="s">
        <v>428</v>
      </c>
      <c r="H2594" s="107">
        <v>44286</v>
      </c>
      <c r="I2594" s="240"/>
      <c r="J2594" s="256"/>
      <c r="L2594" s="256">
        <v>27049.599999999999</v>
      </c>
      <c r="M2594" s="256">
        <v>24047.200000000001</v>
      </c>
      <c r="N2594" s="277">
        <v>22081.9</v>
      </c>
      <c r="O2594" s="252"/>
    </row>
    <row r="2595" spans="1:17" s="241" customFormat="1">
      <c r="A2595" s="336"/>
      <c r="B2595" s="336"/>
      <c r="C2595" s="336"/>
      <c r="D2595" s="117" t="s">
        <v>414</v>
      </c>
      <c r="G2595" s="241" t="s">
        <v>428</v>
      </c>
      <c r="H2595" s="107">
        <v>44286</v>
      </c>
      <c r="I2595" s="265"/>
      <c r="J2595" s="265"/>
      <c r="K2595" s="254">
        <f t="shared" ref="K2595:N2595" si="142">K2592+K2593</f>
        <v>5670.1</v>
      </c>
      <c r="L2595" s="254">
        <f t="shared" si="142"/>
        <v>32422.2</v>
      </c>
      <c r="M2595" s="254">
        <f t="shared" si="142"/>
        <v>29390.7</v>
      </c>
      <c r="N2595" s="278">
        <f t="shared" si="142"/>
        <v>26234.799999999999</v>
      </c>
      <c r="O2595" s="254"/>
      <c r="Q2595" s="71"/>
    </row>
    <row r="2596" spans="1:17">
      <c r="A2596" s="336"/>
      <c r="B2596" s="336"/>
      <c r="C2596" s="336"/>
      <c r="D2596" s="117" t="s">
        <v>415</v>
      </c>
      <c r="E2596" t="s">
        <v>1185</v>
      </c>
      <c r="G2596" t="s">
        <v>428</v>
      </c>
      <c r="H2596" s="107">
        <v>44286</v>
      </c>
      <c r="I2596" s="240"/>
      <c r="J2596" s="256"/>
      <c r="L2596" s="256">
        <v>395394.2</v>
      </c>
      <c r="M2596" s="256">
        <v>377261.3</v>
      </c>
      <c r="N2596" s="277">
        <v>266362.5</v>
      </c>
      <c r="O2596" s="252"/>
    </row>
    <row r="2597" spans="1:17">
      <c r="A2597" s="336"/>
      <c r="B2597" s="336"/>
      <c r="C2597" s="336"/>
      <c r="D2597" s="117" t="s">
        <v>415</v>
      </c>
      <c r="E2597" t="s">
        <v>1186</v>
      </c>
      <c r="G2597" t="s">
        <v>428</v>
      </c>
      <c r="H2597" s="107">
        <v>44286</v>
      </c>
      <c r="I2597" s="240"/>
      <c r="J2597" s="256"/>
      <c r="L2597" s="256">
        <v>19467</v>
      </c>
      <c r="M2597" s="256">
        <v>16698.400000000001</v>
      </c>
      <c r="N2597" s="277">
        <v>10799.6</v>
      </c>
      <c r="O2597" s="252"/>
    </row>
    <row r="2598" spans="1:17">
      <c r="A2598" s="336"/>
      <c r="B2598" s="336"/>
      <c r="C2598" s="336"/>
      <c r="D2598" s="117" t="s">
        <v>415</v>
      </c>
      <c r="E2598" t="s">
        <v>1187</v>
      </c>
      <c r="G2598" t="s">
        <v>428</v>
      </c>
      <c r="H2598" s="107">
        <v>44286</v>
      </c>
      <c r="I2598" s="240"/>
      <c r="J2598" s="256"/>
      <c r="L2598" s="256">
        <v>2559.6999999999998</v>
      </c>
      <c r="M2598" s="256">
        <v>3995.5</v>
      </c>
      <c r="N2598" s="277">
        <v>3597.2</v>
      </c>
      <c r="O2598" s="252"/>
    </row>
    <row r="2599" spans="1:17">
      <c r="A2599" s="336"/>
      <c r="B2599" s="336"/>
      <c r="C2599" s="336"/>
      <c r="D2599" s="117" t="s">
        <v>415</v>
      </c>
      <c r="E2599" t="s">
        <v>1188</v>
      </c>
      <c r="G2599" t="s">
        <v>428</v>
      </c>
      <c r="H2599" s="107">
        <v>44286</v>
      </c>
      <c r="I2599" s="240"/>
      <c r="J2599" s="256"/>
      <c r="L2599" s="256">
        <v>71956.100000000006</v>
      </c>
      <c r="M2599" s="256">
        <v>73665.100000000006</v>
      </c>
      <c r="N2599" s="277">
        <v>54328.4</v>
      </c>
      <c r="O2599" s="252"/>
    </row>
    <row r="2600" spans="1:17">
      <c r="A2600" s="336"/>
      <c r="B2600" s="336"/>
      <c r="C2600" s="336"/>
      <c r="D2600" s="117" t="s">
        <v>415</v>
      </c>
      <c r="E2600" t="s">
        <v>1189</v>
      </c>
      <c r="G2600" t="s">
        <v>428</v>
      </c>
      <c r="H2600" s="107">
        <v>44286</v>
      </c>
      <c r="I2600" s="240"/>
      <c r="J2600" s="256"/>
      <c r="L2600" s="256">
        <v>1357.5</v>
      </c>
      <c r="M2600" s="256">
        <v>130.69999999999999</v>
      </c>
      <c r="N2600" s="277">
        <v>117.9</v>
      </c>
      <c r="O2600" s="252"/>
    </row>
    <row r="2601" spans="1:17">
      <c r="A2601" s="336"/>
      <c r="B2601" s="336"/>
      <c r="C2601" s="336"/>
      <c r="D2601" s="117" t="s">
        <v>415</v>
      </c>
      <c r="E2601" t="s">
        <v>1190</v>
      </c>
      <c r="G2601" t="s">
        <v>428</v>
      </c>
      <c r="H2601" s="107">
        <v>44286</v>
      </c>
      <c r="I2601" s="240"/>
      <c r="J2601" s="256"/>
      <c r="L2601" s="256">
        <v>1542.8</v>
      </c>
      <c r="M2601" s="256">
        <v>1455.1</v>
      </c>
      <c r="N2601" s="277">
        <v>1352.5</v>
      </c>
      <c r="O2601" s="252"/>
    </row>
    <row r="2602" spans="1:17">
      <c r="A2602" s="336"/>
      <c r="B2602" s="336"/>
      <c r="C2602" s="336"/>
      <c r="D2602" s="117" t="s">
        <v>415</v>
      </c>
      <c r="E2602" t="s">
        <v>1191</v>
      </c>
      <c r="G2602" t="s">
        <v>428</v>
      </c>
      <c r="H2602" s="107">
        <v>44286</v>
      </c>
      <c r="I2602" s="240"/>
      <c r="J2602" s="256"/>
      <c r="L2602" s="256">
        <v>1074</v>
      </c>
      <c r="M2602" s="256">
        <v>1796.4</v>
      </c>
      <c r="N2602" s="277">
        <v>1497</v>
      </c>
      <c r="O2602" s="252"/>
    </row>
    <row r="2603" spans="1:17">
      <c r="A2603" s="336"/>
      <c r="B2603" s="336"/>
      <c r="C2603" s="336"/>
      <c r="D2603" s="117" t="s">
        <v>415</v>
      </c>
      <c r="E2603" t="s">
        <v>1192</v>
      </c>
      <c r="G2603" t="s">
        <v>428</v>
      </c>
      <c r="H2603" s="107">
        <v>44286</v>
      </c>
      <c r="I2603" s="240"/>
      <c r="J2603" s="256"/>
      <c r="L2603" s="256">
        <v>2136.6999999999998</v>
      </c>
      <c r="M2603" s="256">
        <v>1966.6</v>
      </c>
      <c r="N2603" s="277">
        <v>118.9</v>
      </c>
      <c r="O2603" s="252"/>
    </row>
    <row r="2604" spans="1:17">
      <c r="A2604" s="336"/>
      <c r="B2604" s="336"/>
      <c r="C2604" s="336"/>
      <c r="D2604" s="117" t="s">
        <v>415</v>
      </c>
      <c r="E2604" t="s">
        <v>1193</v>
      </c>
      <c r="G2604" t="s">
        <v>428</v>
      </c>
      <c r="H2604" s="107">
        <v>44286</v>
      </c>
      <c r="I2604" s="240"/>
      <c r="J2604" s="256"/>
      <c r="L2604" s="256">
        <v>120165</v>
      </c>
      <c r="M2604" s="256">
        <v>75417.8</v>
      </c>
      <c r="N2604" s="277">
        <v>20372.3</v>
      </c>
      <c r="O2604" s="252"/>
    </row>
    <row r="2605" spans="1:17">
      <c r="A2605" s="336"/>
      <c r="B2605" s="336"/>
      <c r="C2605" s="336"/>
      <c r="D2605" s="117" t="s">
        <v>415</v>
      </c>
      <c r="E2605" t="s">
        <v>1194</v>
      </c>
      <c r="G2605" t="s">
        <v>428</v>
      </c>
      <c r="H2605" s="107">
        <v>44286</v>
      </c>
      <c r="I2605" s="240"/>
      <c r="J2605" s="256"/>
      <c r="L2605" s="256">
        <v>10171.6</v>
      </c>
      <c r="M2605" s="256">
        <v>9653.5</v>
      </c>
      <c r="N2605" s="277">
        <v>9611.6</v>
      </c>
      <c r="O2605" s="252"/>
    </row>
    <row r="2606" spans="1:17">
      <c r="A2606" s="336"/>
      <c r="B2606" s="336"/>
      <c r="C2606" s="336"/>
      <c r="D2606" s="117" t="s">
        <v>415</v>
      </c>
      <c r="E2606" t="s">
        <v>1195</v>
      </c>
      <c r="G2606" t="s">
        <v>428</v>
      </c>
      <c r="H2606" s="107">
        <v>44286</v>
      </c>
      <c r="I2606" s="240"/>
      <c r="J2606" s="256"/>
      <c r="L2606" s="256">
        <v>18482</v>
      </c>
      <c r="M2606" s="256">
        <v>17997</v>
      </c>
      <c r="N2606" s="277">
        <v>17277</v>
      </c>
      <c r="O2606" s="252"/>
    </row>
    <row r="2607" spans="1:17">
      <c r="A2607" s="336"/>
      <c r="B2607" s="336"/>
      <c r="C2607" s="336"/>
      <c r="D2607" s="117" t="s">
        <v>415</v>
      </c>
      <c r="E2607" t="s">
        <v>1196</v>
      </c>
      <c r="G2607" t="s">
        <v>428</v>
      </c>
      <c r="H2607" s="107">
        <v>44286</v>
      </c>
      <c r="I2607" s="240"/>
      <c r="J2607" s="256"/>
      <c r="L2607" s="256">
        <v>5680.7</v>
      </c>
      <c r="M2607" s="256">
        <v>5248</v>
      </c>
      <c r="N2607" s="277">
        <v>4274.8999999999996</v>
      </c>
      <c r="O2607" s="252"/>
    </row>
    <row r="2608" spans="1:17" s="241" customFormat="1">
      <c r="A2608" s="336"/>
      <c r="B2608" s="336"/>
      <c r="C2608" s="336"/>
      <c r="D2608" s="117" t="s">
        <v>415</v>
      </c>
      <c r="E2608" s="241" t="s">
        <v>660</v>
      </c>
      <c r="G2608" s="241" t="s">
        <v>428</v>
      </c>
      <c r="H2608" s="107">
        <v>44286</v>
      </c>
      <c r="I2608" s="242"/>
      <c r="J2608" s="261"/>
      <c r="L2608" s="254">
        <f t="shared" ref="L2608:N2608" si="143">SUM(L2596:L2607)</f>
        <v>649987.29999999993</v>
      </c>
      <c r="M2608" s="254">
        <f t="shared" si="143"/>
        <v>585285.4</v>
      </c>
      <c r="N2608" s="278">
        <f t="shared" si="143"/>
        <v>389709.80000000005</v>
      </c>
      <c r="O2608" s="254"/>
      <c r="P2608" s="266"/>
      <c r="Q2608" s="71"/>
    </row>
    <row r="2609" spans="1:15">
      <c r="A2609" s="336"/>
      <c r="B2609" s="336"/>
      <c r="C2609" s="336"/>
      <c r="D2609" s="117" t="s">
        <v>417</v>
      </c>
      <c r="E2609" t="s">
        <v>661</v>
      </c>
      <c r="G2609" t="s">
        <v>817</v>
      </c>
      <c r="H2609" s="107">
        <v>44286</v>
      </c>
      <c r="I2609" s="65"/>
      <c r="J2609" s="207"/>
      <c r="L2609" s="264"/>
      <c r="M2609" s="252"/>
      <c r="N2609" s="277"/>
      <c r="O2609" s="255"/>
    </row>
    <row r="2610" spans="1:15">
      <c r="A2610" s="337"/>
      <c r="B2610" s="337"/>
      <c r="C2610" s="337"/>
      <c r="D2610" s="117" t="s">
        <v>418</v>
      </c>
      <c r="H2610" s="107">
        <v>44286</v>
      </c>
      <c r="I2610" s="65"/>
      <c r="J2610" s="109"/>
      <c r="L2610" s="93"/>
      <c r="M2610" s="93"/>
      <c r="N2610" s="274"/>
      <c r="O2610" s="93"/>
    </row>
  </sheetData>
  <mergeCells count="723">
    <mergeCell ref="B203:B209"/>
    <mergeCell ref="C203:C209"/>
    <mergeCell ref="B1081:B1088"/>
    <mergeCell ref="C1081:C1088"/>
    <mergeCell ref="A424:A436"/>
    <mergeCell ref="B424:B436"/>
    <mergeCell ref="C424:C436"/>
    <mergeCell ref="A1145:A1160"/>
    <mergeCell ref="B1145:B1160"/>
    <mergeCell ref="C1145:C1160"/>
    <mergeCell ref="A622:A631"/>
    <mergeCell ref="B622:B631"/>
    <mergeCell ref="C622:C631"/>
    <mergeCell ref="A453:A460"/>
    <mergeCell ref="B453:B460"/>
    <mergeCell ref="C453:C460"/>
    <mergeCell ref="A787:A795"/>
    <mergeCell ref="B787:B795"/>
    <mergeCell ref="C787:C795"/>
    <mergeCell ref="A796:A804"/>
    <mergeCell ref="B796:B804"/>
    <mergeCell ref="C796:C804"/>
    <mergeCell ref="C1007:C1013"/>
    <mergeCell ref="B503:B513"/>
    <mergeCell ref="A402:A410"/>
    <mergeCell ref="B402:B410"/>
    <mergeCell ref="C402:C410"/>
    <mergeCell ref="A437:A444"/>
    <mergeCell ref="B437:B444"/>
    <mergeCell ref="C437:C444"/>
    <mergeCell ref="A445:A452"/>
    <mergeCell ref="B445:B452"/>
    <mergeCell ref="C445:C452"/>
    <mergeCell ref="A2570:A2589"/>
    <mergeCell ref="B2570:B2589"/>
    <mergeCell ref="C2570:C2589"/>
    <mergeCell ref="A2591:A2610"/>
    <mergeCell ref="B2591:B2610"/>
    <mergeCell ref="C2591:C2610"/>
    <mergeCell ref="A2528:A2541"/>
    <mergeCell ref="B2528:B2541"/>
    <mergeCell ref="C2528:C2541"/>
    <mergeCell ref="A2543:A2555"/>
    <mergeCell ref="B2543:B2555"/>
    <mergeCell ref="C2543:C2555"/>
    <mergeCell ref="A2556:A2569"/>
    <mergeCell ref="B2556:B2569"/>
    <mergeCell ref="C2556:C2569"/>
    <mergeCell ref="A2480:A2494"/>
    <mergeCell ref="B2480:B2494"/>
    <mergeCell ref="C2480:C2494"/>
    <mergeCell ref="A2496:A2510"/>
    <mergeCell ref="B2496:B2510"/>
    <mergeCell ref="C2496:C2510"/>
    <mergeCell ref="A2511:A2526"/>
    <mergeCell ref="B2511:B2526"/>
    <mergeCell ref="C2511:C2526"/>
    <mergeCell ref="A2412:A2432"/>
    <mergeCell ref="B2412:B2432"/>
    <mergeCell ref="C2412:C2432"/>
    <mergeCell ref="A2434:A2463"/>
    <mergeCell ref="B2434:B2463"/>
    <mergeCell ref="C2434:C2463"/>
    <mergeCell ref="A2464:A2478"/>
    <mergeCell ref="B2464:B2478"/>
    <mergeCell ref="C2464:C2478"/>
    <mergeCell ref="A2355:A2369"/>
    <mergeCell ref="B2355:B2369"/>
    <mergeCell ref="C2355:C2369"/>
    <mergeCell ref="A2370:A2391"/>
    <mergeCell ref="B2370:B2391"/>
    <mergeCell ref="C2370:C2391"/>
    <mergeCell ref="A2393:A2411"/>
    <mergeCell ref="B2393:B2411"/>
    <mergeCell ref="C2393:C2411"/>
    <mergeCell ref="B190:B196"/>
    <mergeCell ref="C190:C196"/>
    <mergeCell ref="A295:A313"/>
    <mergeCell ref="A526:A528"/>
    <mergeCell ref="A319:A340"/>
    <mergeCell ref="B319:B340"/>
    <mergeCell ref="C319:C340"/>
    <mergeCell ref="A975:A980"/>
    <mergeCell ref="C295:C313"/>
    <mergeCell ref="C842:C857"/>
    <mergeCell ref="A717:A729"/>
    <mergeCell ref="A968:A974"/>
    <mergeCell ref="B968:B974"/>
    <mergeCell ref="C968:C974"/>
    <mergeCell ref="A730:A735"/>
    <mergeCell ref="A736:A742"/>
    <mergeCell ref="A749:A754"/>
    <mergeCell ref="A743:A748"/>
    <mergeCell ref="A912:A917"/>
    <mergeCell ref="A918:A923"/>
    <mergeCell ref="A956:A961"/>
    <mergeCell ref="A962:A967"/>
    <mergeCell ref="A805:A813"/>
    <mergeCell ref="B805:B813"/>
    <mergeCell ref="B44:B46"/>
    <mergeCell ref="C44:C46"/>
    <mergeCell ref="A105:A110"/>
    <mergeCell ref="B105:B110"/>
    <mergeCell ref="C105:C110"/>
    <mergeCell ref="A82:A101"/>
    <mergeCell ref="B82:B101"/>
    <mergeCell ref="C82:C101"/>
    <mergeCell ref="A47:A81"/>
    <mergeCell ref="B47:B81"/>
    <mergeCell ref="C47:C81"/>
    <mergeCell ref="C940:C955"/>
    <mergeCell ref="B485:B491"/>
    <mergeCell ref="C485:C491"/>
    <mergeCell ref="B492:B502"/>
    <mergeCell ref="C492:C502"/>
    <mergeCell ref="B479:B484"/>
    <mergeCell ref="C479:C484"/>
    <mergeCell ref="B461:B478"/>
    <mergeCell ref="C461:C478"/>
    <mergeCell ref="B583:B590"/>
    <mergeCell ref="B591:B596"/>
    <mergeCell ref="B597:B602"/>
    <mergeCell ref="B603:B608"/>
    <mergeCell ref="B616:B621"/>
    <mergeCell ref="B632:B637"/>
    <mergeCell ref="B544:B558"/>
    <mergeCell ref="C663:C667"/>
    <mergeCell ref="B858:B862"/>
    <mergeCell ref="C577:C582"/>
    <mergeCell ref="B526:B528"/>
    <mergeCell ref="B529:B543"/>
    <mergeCell ref="B517:B522"/>
    <mergeCell ref="B638:B642"/>
    <mergeCell ref="C503:C513"/>
    <mergeCell ref="C1042:C1050"/>
    <mergeCell ref="A643:A662"/>
    <mergeCell ref="A242:A247"/>
    <mergeCell ref="B242:B247"/>
    <mergeCell ref="C242:C247"/>
    <mergeCell ref="A197:A202"/>
    <mergeCell ref="B197:B202"/>
    <mergeCell ref="C197:C202"/>
    <mergeCell ref="A314:A318"/>
    <mergeCell ref="A292:A294"/>
    <mergeCell ref="B213:B235"/>
    <mergeCell ref="C213:C235"/>
    <mergeCell ref="A269:A291"/>
    <mergeCell ref="B269:B291"/>
    <mergeCell ref="C269:C291"/>
    <mergeCell ref="B341:B359"/>
    <mergeCell ref="C341:C359"/>
    <mergeCell ref="A248:A268"/>
    <mergeCell ref="B248:B268"/>
    <mergeCell ref="C248:C268"/>
    <mergeCell ref="A544:A558"/>
    <mergeCell ref="B565:B568"/>
    <mergeCell ref="B577:B582"/>
    <mergeCell ref="B940:B955"/>
    <mergeCell ref="C730:C735"/>
    <mergeCell ref="C736:C742"/>
    <mergeCell ref="C749:C754"/>
    <mergeCell ref="C776:C779"/>
    <mergeCell ref="C824:C829"/>
    <mergeCell ref="C830:C835"/>
    <mergeCell ref="C836:C841"/>
    <mergeCell ref="C743:C748"/>
    <mergeCell ref="C717:C729"/>
    <mergeCell ref="C769:C775"/>
    <mergeCell ref="C759:C768"/>
    <mergeCell ref="C755:C758"/>
    <mergeCell ref="C805:C813"/>
    <mergeCell ref="C814:C823"/>
    <mergeCell ref="A1127:A1132"/>
    <mergeCell ref="B1127:B1132"/>
    <mergeCell ref="C1127:C1132"/>
    <mergeCell ref="A529:A543"/>
    <mergeCell ref="A559:A564"/>
    <mergeCell ref="A565:A568"/>
    <mergeCell ref="A577:A582"/>
    <mergeCell ref="A583:A590"/>
    <mergeCell ref="A591:A596"/>
    <mergeCell ref="A597:A602"/>
    <mergeCell ref="A603:A608"/>
    <mergeCell ref="A616:A621"/>
    <mergeCell ref="A632:A637"/>
    <mergeCell ref="A638:A642"/>
    <mergeCell ref="A668:A688"/>
    <mergeCell ref="A695:A710"/>
    <mergeCell ref="A711:A716"/>
    <mergeCell ref="A689:A694"/>
    <mergeCell ref="A776:A779"/>
    <mergeCell ref="A824:A829"/>
    <mergeCell ref="C689:C694"/>
    <mergeCell ref="A663:A667"/>
    <mergeCell ref="B663:B667"/>
    <mergeCell ref="A1042:A1050"/>
    <mergeCell ref="A152:A164"/>
    <mergeCell ref="A31:A40"/>
    <mergeCell ref="A165:A170"/>
    <mergeCell ref="A171:A177"/>
    <mergeCell ref="A178:A183"/>
    <mergeCell ref="A210:A212"/>
    <mergeCell ref="A236:A241"/>
    <mergeCell ref="A184:A189"/>
    <mergeCell ref="A44:A46"/>
    <mergeCell ref="A190:A196"/>
    <mergeCell ref="A203:A209"/>
    <mergeCell ref="A485:A491"/>
    <mergeCell ref="A492:A502"/>
    <mergeCell ref="A479:A484"/>
    <mergeCell ref="A461:A478"/>
    <mergeCell ref="A759:A768"/>
    <mergeCell ref="A755:A758"/>
    <mergeCell ref="A213:A235"/>
    <mergeCell ref="A341:A359"/>
    <mergeCell ref="A940:A955"/>
    <mergeCell ref="A365:A389"/>
    <mergeCell ref="A411:A423"/>
    <mergeCell ref="A780:A786"/>
    <mergeCell ref="A887:A905"/>
    <mergeCell ref="A906:A911"/>
    <mergeCell ref="A881:A886"/>
    <mergeCell ref="A842:A857"/>
    <mergeCell ref="A869:A880"/>
    <mergeCell ref="A830:A835"/>
    <mergeCell ref="A836:A841"/>
    <mergeCell ref="A858:A862"/>
    <mergeCell ref="A863:A868"/>
    <mergeCell ref="A769:A775"/>
    <mergeCell ref="A814:A823"/>
    <mergeCell ref="A503:A513"/>
    <mergeCell ref="A1103:A1108"/>
    <mergeCell ref="A1109:A1114"/>
    <mergeCell ref="A1115:A1120"/>
    <mergeCell ref="A981:A986"/>
    <mergeCell ref="A987:A992"/>
    <mergeCell ref="A993:A1000"/>
    <mergeCell ref="A1001:A1006"/>
    <mergeCell ref="A1030:A1035"/>
    <mergeCell ref="A1036:A1041"/>
    <mergeCell ref="A1051:A1056"/>
    <mergeCell ref="A1014:A1029"/>
    <mergeCell ref="A1007:A1013"/>
    <mergeCell ref="A1081:A1088"/>
    <mergeCell ref="B360:B364"/>
    <mergeCell ref="B390:B395"/>
    <mergeCell ref="A1057:A1062"/>
    <mergeCell ref="B396:B401"/>
    <mergeCell ref="A1063:A1068"/>
    <mergeCell ref="A1069:A1074"/>
    <mergeCell ref="A1075:A1080"/>
    <mergeCell ref="A1089:A1096"/>
    <mergeCell ref="A1097:A1102"/>
    <mergeCell ref="A360:A364"/>
    <mergeCell ref="A390:A395"/>
    <mergeCell ref="A396:A401"/>
    <mergeCell ref="A514:A516"/>
    <mergeCell ref="A523:A525"/>
    <mergeCell ref="A517:A522"/>
    <mergeCell ref="B956:B961"/>
    <mergeCell ref="B881:B886"/>
    <mergeCell ref="B842:B857"/>
    <mergeCell ref="B736:B742"/>
    <mergeCell ref="B749:B754"/>
    <mergeCell ref="B776:B779"/>
    <mergeCell ref="B824:B829"/>
    <mergeCell ref="B743:B748"/>
    <mergeCell ref="B523:B525"/>
    <mergeCell ref="B295:B313"/>
    <mergeCell ref="B559:B564"/>
    <mergeCell ref="B365:B389"/>
    <mergeCell ref="B411:B423"/>
    <mergeCell ref="A1133:A1138"/>
    <mergeCell ref="A1139:A1144"/>
    <mergeCell ref="B21:B30"/>
    <mergeCell ref="B924:B939"/>
    <mergeCell ref="B41:B43"/>
    <mergeCell ref="B102:B104"/>
    <mergeCell ref="B111:B114"/>
    <mergeCell ref="B115:B119"/>
    <mergeCell ref="B120:B125"/>
    <mergeCell ref="B152:B164"/>
    <mergeCell ref="B165:B170"/>
    <mergeCell ref="B171:B177"/>
    <mergeCell ref="B178:B183"/>
    <mergeCell ref="B210:B212"/>
    <mergeCell ref="B236:B241"/>
    <mergeCell ref="B184:B189"/>
    <mergeCell ref="B314:B318"/>
    <mergeCell ref="B292:B294"/>
    <mergeCell ref="B514:B516"/>
    <mergeCell ref="B643:B662"/>
    <mergeCell ref="B780:B786"/>
    <mergeCell ref="B668:B688"/>
    <mergeCell ref="B695:B710"/>
    <mergeCell ref="B711:B716"/>
    <mergeCell ref="B730:B735"/>
    <mergeCell ref="B689:B694"/>
    <mergeCell ref="B717:B729"/>
    <mergeCell ref="B863:B868"/>
    <mergeCell ref="B830:B835"/>
    <mergeCell ref="B836:B841"/>
    <mergeCell ref="B769:B775"/>
    <mergeCell ref="B759:B768"/>
    <mergeCell ref="B755:B758"/>
    <mergeCell ref="B814:B823"/>
    <mergeCell ref="B1089:B1096"/>
    <mergeCell ref="B1097:B1102"/>
    <mergeCell ref="B869:B880"/>
    <mergeCell ref="B1103:B1108"/>
    <mergeCell ref="B1109:B1114"/>
    <mergeCell ref="B962:B967"/>
    <mergeCell ref="B975:B980"/>
    <mergeCell ref="B981:B986"/>
    <mergeCell ref="B987:B992"/>
    <mergeCell ref="B993:B1000"/>
    <mergeCell ref="B1001:B1006"/>
    <mergeCell ref="B1030:B1035"/>
    <mergeCell ref="B1036:B1041"/>
    <mergeCell ref="B1014:B1029"/>
    <mergeCell ref="B1057:B1062"/>
    <mergeCell ref="B1063:B1068"/>
    <mergeCell ref="B1069:B1074"/>
    <mergeCell ref="B1075:B1080"/>
    <mergeCell ref="B887:B905"/>
    <mergeCell ref="B906:B911"/>
    <mergeCell ref="B912:B917"/>
    <mergeCell ref="B918:B923"/>
    <mergeCell ref="B1007:B1013"/>
    <mergeCell ref="B1042:B1050"/>
    <mergeCell ref="B1115:B1120"/>
    <mergeCell ref="B1133:B1138"/>
    <mergeCell ref="B1139:B1144"/>
    <mergeCell ref="C21:C30"/>
    <mergeCell ref="C924:C939"/>
    <mergeCell ref="C41:C43"/>
    <mergeCell ref="C102:C104"/>
    <mergeCell ref="C111:C114"/>
    <mergeCell ref="C115:C119"/>
    <mergeCell ref="C120:C125"/>
    <mergeCell ref="C152:C164"/>
    <mergeCell ref="C165:C170"/>
    <mergeCell ref="C171:C177"/>
    <mergeCell ref="C178:C183"/>
    <mergeCell ref="C210:C212"/>
    <mergeCell ref="C236:C241"/>
    <mergeCell ref="C184:C189"/>
    <mergeCell ref="C314:C318"/>
    <mergeCell ref="C292:C294"/>
    <mergeCell ref="C360:C364"/>
    <mergeCell ref="B1051:B1056"/>
    <mergeCell ref="C390:C395"/>
    <mergeCell ref="C396:C401"/>
    <mergeCell ref="C514:C516"/>
    <mergeCell ref="C523:C525"/>
    <mergeCell ref="C526:C528"/>
    <mergeCell ref="C529:C543"/>
    <mergeCell ref="C559:C564"/>
    <mergeCell ref="C565:C568"/>
    <mergeCell ref="C517:C522"/>
    <mergeCell ref="C411:C423"/>
    <mergeCell ref="C544:C558"/>
    <mergeCell ref="C583:C590"/>
    <mergeCell ref="C591:C596"/>
    <mergeCell ref="C597:C602"/>
    <mergeCell ref="C603:C608"/>
    <mergeCell ref="C616:C621"/>
    <mergeCell ref="C632:C637"/>
    <mergeCell ref="C638:C642"/>
    <mergeCell ref="C668:C688"/>
    <mergeCell ref="C1057:C1062"/>
    <mergeCell ref="C858:C862"/>
    <mergeCell ref="C863:C868"/>
    <mergeCell ref="C887:C905"/>
    <mergeCell ref="C906:C911"/>
    <mergeCell ref="C912:C917"/>
    <mergeCell ref="C918:C923"/>
    <mergeCell ref="C956:C961"/>
    <mergeCell ref="C962:C967"/>
    <mergeCell ref="C975:C980"/>
    <mergeCell ref="C881:C886"/>
    <mergeCell ref="C869:C880"/>
    <mergeCell ref="C643:C662"/>
    <mergeCell ref="C780:C786"/>
    <mergeCell ref="C1014:C1029"/>
    <mergeCell ref="C695:C710"/>
    <mergeCell ref="C711:C716"/>
    <mergeCell ref="C1133:C1138"/>
    <mergeCell ref="C1139:C1144"/>
    <mergeCell ref="B31:B40"/>
    <mergeCell ref="C31:C40"/>
    <mergeCell ref="A11:A20"/>
    <mergeCell ref="B11:B20"/>
    <mergeCell ref="C11:C20"/>
    <mergeCell ref="A2:A10"/>
    <mergeCell ref="B2:B10"/>
    <mergeCell ref="C2:C10"/>
    <mergeCell ref="A139:A151"/>
    <mergeCell ref="B139:B151"/>
    <mergeCell ref="C139:C151"/>
    <mergeCell ref="A126:A138"/>
    <mergeCell ref="B126:B138"/>
    <mergeCell ref="C126:C138"/>
    <mergeCell ref="A21:A30"/>
    <mergeCell ref="A924:A939"/>
    <mergeCell ref="A41:A43"/>
    <mergeCell ref="A102:A104"/>
    <mergeCell ref="A111:A114"/>
    <mergeCell ref="A115:A119"/>
    <mergeCell ref="A120:A125"/>
    <mergeCell ref="C365:C389"/>
    <mergeCell ref="A1121:A1126"/>
    <mergeCell ref="B1121:B1126"/>
    <mergeCell ref="C1121:C1126"/>
    <mergeCell ref="A569:A576"/>
    <mergeCell ref="B569:B576"/>
    <mergeCell ref="C569:C576"/>
    <mergeCell ref="C1063:C1068"/>
    <mergeCell ref="C1069:C1074"/>
    <mergeCell ref="C1075:C1080"/>
    <mergeCell ref="C1089:C1096"/>
    <mergeCell ref="C1097:C1102"/>
    <mergeCell ref="C1103:C1108"/>
    <mergeCell ref="C1109:C1114"/>
    <mergeCell ref="C1115:C1120"/>
    <mergeCell ref="C981:C986"/>
    <mergeCell ref="C987:C992"/>
    <mergeCell ref="C993:C1000"/>
    <mergeCell ref="C1001:C1006"/>
    <mergeCell ref="C1030:C1035"/>
    <mergeCell ref="A609:A615"/>
    <mergeCell ref="B609:B615"/>
    <mergeCell ref="C609:C615"/>
    <mergeCell ref="C1036:C1041"/>
    <mergeCell ref="C1051:C1056"/>
    <mergeCell ref="A1161:A1176"/>
    <mergeCell ref="B1161:B1176"/>
    <mergeCell ref="C1161:C1176"/>
    <mergeCell ref="A1177:A1190"/>
    <mergeCell ref="B1177:B1190"/>
    <mergeCell ref="C1177:C1190"/>
    <mergeCell ref="A1191:A1204"/>
    <mergeCell ref="B1191:B1204"/>
    <mergeCell ref="C1191:C1204"/>
    <mergeCell ref="A1205:A1217"/>
    <mergeCell ref="B1205:B1217"/>
    <mergeCell ref="C1205:C1217"/>
    <mergeCell ref="A1218:A1230"/>
    <mergeCell ref="B1218:B1230"/>
    <mergeCell ref="C1218:C1230"/>
    <mergeCell ref="A1231:A1243"/>
    <mergeCell ref="B1231:B1243"/>
    <mergeCell ref="C1231:C1243"/>
    <mergeCell ref="A1244:A1265"/>
    <mergeCell ref="B1244:B1265"/>
    <mergeCell ref="C1244:C1265"/>
    <mergeCell ref="A1266:A1289"/>
    <mergeCell ref="B1266:B1289"/>
    <mergeCell ref="C1266:C1289"/>
    <mergeCell ref="A1290:A1313"/>
    <mergeCell ref="B1290:B1313"/>
    <mergeCell ref="C1290:C1313"/>
    <mergeCell ref="A1314:A1337"/>
    <mergeCell ref="B1314:B1337"/>
    <mergeCell ref="C1314:C1337"/>
    <mergeCell ref="A1338:A1359"/>
    <mergeCell ref="B1338:B1359"/>
    <mergeCell ref="C1338:C1359"/>
    <mergeCell ref="A1360:A1381"/>
    <mergeCell ref="B1360:B1381"/>
    <mergeCell ref="C1360:C1381"/>
    <mergeCell ref="A1382:A1407"/>
    <mergeCell ref="B1382:B1407"/>
    <mergeCell ref="C1382:C1407"/>
    <mergeCell ref="A1408:A1428"/>
    <mergeCell ref="B1408:B1428"/>
    <mergeCell ref="C1408:C1428"/>
    <mergeCell ref="A1429:A1448"/>
    <mergeCell ref="B1429:B1448"/>
    <mergeCell ref="C1429:C1448"/>
    <mergeCell ref="A1449:A1468"/>
    <mergeCell ref="B1449:B1468"/>
    <mergeCell ref="C1449:C1468"/>
    <mergeCell ref="A1469:A1489"/>
    <mergeCell ref="B1469:B1489"/>
    <mergeCell ref="C1469:C1489"/>
    <mergeCell ref="A1490:A1510"/>
    <mergeCell ref="B1490:B1510"/>
    <mergeCell ref="C1490:C1510"/>
    <mergeCell ref="A1511:A1538"/>
    <mergeCell ref="B1511:B1538"/>
    <mergeCell ref="C1511:C1538"/>
    <mergeCell ref="A1539:A1553"/>
    <mergeCell ref="B1539:B1553"/>
    <mergeCell ref="C1539:C1553"/>
    <mergeCell ref="A1554:A1566"/>
    <mergeCell ref="B1554:B1566"/>
    <mergeCell ref="C1554:C1566"/>
    <mergeCell ref="A1567:A1579"/>
    <mergeCell ref="B1567:B1579"/>
    <mergeCell ref="C1567:C1579"/>
    <mergeCell ref="A1580:A1597"/>
    <mergeCell ref="B1580:B1597"/>
    <mergeCell ref="C1580:C1597"/>
    <mergeCell ref="A1598:A1609"/>
    <mergeCell ref="B1598:B1609"/>
    <mergeCell ref="C1598:C1609"/>
    <mergeCell ref="A1610:A1616"/>
    <mergeCell ref="B1610:B1616"/>
    <mergeCell ref="C1610:C1616"/>
    <mergeCell ref="A1617:A1622"/>
    <mergeCell ref="B1617:B1622"/>
    <mergeCell ref="C1617:C1622"/>
    <mergeCell ref="A1623:A1628"/>
    <mergeCell ref="B1623:B1628"/>
    <mergeCell ref="C1623:C1628"/>
    <mergeCell ref="A1629:A1634"/>
    <mergeCell ref="B1629:B1634"/>
    <mergeCell ref="C1629:C1634"/>
    <mergeCell ref="A1635:A1640"/>
    <mergeCell ref="B1635:B1640"/>
    <mergeCell ref="C1635:C1640"/>
    <mergeCell ref="A1641:A1662"/>
    <mergeCell ref="B1641:B1662"/>
    <mergeCell ref="C1641:C1662"/>
    <mergeCell ref="A1664:A1671"/>
    <mergeCell ref="B1664:B1671"/>
    <mergeCell ref="C1664:C1671"/>
    <mergeCell ref="A1673:A1685"/>
    <mergeCell ref="B1673:B1685"/>
    <mergeCell ref="C1673:C1685"/>
    <mergeCell ref="A1687:A1695"/>
    <mergeCell ref="B1687:B1695"/>
    <mergeCell ref="C1687:C1695"/>
    <mergeCell ref="A1697:A1705"/>
    <mergeCell ref="B1697:B1705"/>
    <mergeCell ref="C1697:C1705"/>
    <mergeCell ref="A1707:A1716"/>
    <mergeCell ref="B1707:B1716"/>
    <mergeCell ref="C1707:C1716"/>
    <mergeCell ref="A1717:A1724"/>
    <mergeCell ref="B1717:B1724"/>
    <mergeCell ref="C1717:C1724"/>
    <mergeCell ref="A1725:A1732"/>
    <mergeCell ref="B1725:B1732"/>
    <mergeCell ref="C1725:C1732"/>
    <mergeCell ref="A1733:A1739"/>
    <mergeCell ref="B1733:B1739"/>
    <mergeCell ref="C1733:C1739"/>
    <mergeCell ref="A1740:A1746"/>
    <mergeCell ref="B1740:B1746"/>
    <mergeCell ref="C1740:C1746"/>
    <mergeCell ref="A1747:A1754"/>
    <mergeCell ref="B1747:B1754"/>
    <mergeCell ref="C1747:C1754"/>
    <mergeCell ref="A1756:A1771"/>
    <mergeCell ref="B1756:B1771"/>
    <mergeCell ref="C1756:C1771"/>
    <mergeCell ref="A1772:A1780"/>
    <mergeCell ref="B1772:B1780"/>
    <mergeCell ref="C1772:C1780"/>
    <mergeCell ref="A1781:A1789"/>
    <mergeCell ref="B1781:B1789"/>
    <mergeCell ref="C1781:C1789"/>
    <mergeCell ref="A1790:A1797"/>
    <mergeCell ref="B1790:B1797"/>
    <mergeCell ref="C1790:C1797"/>
    <mergeCell ref="A1798:A1806"/>
    <mergeCell ref="B1798:B1806"/>
    <mergeCell ref="C1798:C1806"/>
    <mergeCell ref="A1807:A1814"/>
    <mergeCell ref="B1807:B1814"/>
    <mergeCell ref="C1807:C1814"/>
    <mergeCell ref="A1815:A1854"/>
    <mergeCell ref="B1815:B1854"/>
    <mergeCell ref="C1815:C1854"/>
    <mergeCell ref="A1855:A1864"/>
    <mergeCell ref="B1855:B1864"/>
    <mergeCell ref="C1855:C1864"/>
    <mergeCell ref="A1865:A1874"/>
    <mergeCell ref="B1865:B1874"/>
    <mergeCell ref="C1865:C1874"/>
    <mergeCell ref="A1875:A1882"/>
    <mergeCell ref="B1875:B1882"/>
    <mergeCell ref="C1875:C1882"/>
    <mergeCell ref="A1883:A1889"/>
    <mergeCell ref="B1883:B1889"/>
    <mergeCell ref="C1883:C1889"/>
    <mergeCell ref="A1890:A1903"/>
    <mergeCell ref="B1890:B1903"/>
    <mergeCell ref="C1890:C1903"/>
    <mergeCell ref="A1904:A1917"/>
    <mergeCell ref="B1904:B1917"/>
    <mergeCell ref="C1904:C1917"/>
    <mergeCell ref="A1918:A1931"/>
    <mergeCell ref="B1918:B1931"/>
    <mergeCell ref="C1918:C1931"/>
    <mergeCell ref="A1932:A1943"/>
    <mergeCell ref="B1932:B1943"/>
    <mergeCell ref="C1932:C1943"/>
    <mergeCell ref="A1944:A1955"/>
    <mergeCell ref="B1944:B1955"/>
    <mergeCell ref="C1944:C1955"/>
    <mergeCell ref="A1956:A1961"/>
    <mergeCell ref="B1956:B1961"/>
    <mergeCell ref="C1956:C1961"/>
    <mergeCell ref="A1962:A1983"/>
    <mergeCell ref="B1962:B1983"/>
    <mergeCell ref="C1962:C1983"/>
    <mergeCell ref="A1984:A2006"/>
    <mergeCell ref="B1984:B2006"/>
    <mergeCell ref="C1984:C2006"/>
    <mergeCell ref="A2007:A2022"/>
    <mergeCell ref="B2007:B2022"/>
    <mergeCell ref="C2007:C2022"/>
    <mergeCell ref="A2055:A2064"/>
    <mergeCell ref="B2055:B2064"/>
    <mergeCell ref="C2055:C2064"/>
    <mergeCell ref="A2065:A2073"/>
    <mergeCell ref="B2065:B2073"/>
    <mergeCell ref="C2065:C2073"/>
    <mergeCell ref="A2023:A2033"/>
    <mergeCell ref="B2023:B2033"/>
    <mergeCell ref="C2023:C2033"/>
    <mergeCell ref="A2034:A2044"/>
    <mergeCell ref="B2034:B2044"/>
    <mergeCell ref="C2034:C2044"/>
    <mergeCell ref="A2045:A2054"/>
    <mergeCell ref="B2045:B2054"/>
    <mergeCell ref="C2045:C2054"/>
    <mergeCell ref="A2075:A2079"/>
    <mergeCell ref="B2075:B2079"/>
    <mergeCell ref="C2075:C2079"/>
    <mergeCell ref="A2081:A2087"/>
    <mergeCell ref="B2081:B2087"/>
    <mergeCell ref="C2081:C2087"/>
    <mergeCell ref="A2089:A2095"/>
    <mergeCell ref="B2089:B2095"/>
    <mergeCell ref="C2089:C2095"/>
    <mergeCell ref="A2097:A2103"/>
    <mergeCell ref="B2097:B2103"/>
    <mergeCell ref="C2097:C2103"/>
    <mergeCell ref="A2105:A2113"/>
    <mergeCell ref="B2105:B2113"/>
    <mergeCell ref="C2105:C2113"/>
    <mergeCell ref="A2115:A2123"/>
    <mergeCell ref="B2115:B2123"/>
    <mergeCell ref="C2115:C2123"/>
    <mergeCell ref="A2125:A2133"/>
    <mergeCell ref="B2125:B2133"/>
    <mergeCell ref="C2125:C2133"/>
    <mergeCell ref="A2134:A2143"/>
    <mergeCell ref="B2134:B2143"/>
    <mergeCell ref="C2134:C2143"/>
    <mergeCell ref="A2145:A2150"/>
    <mergeCell ref="B2145:B2150"/>
    <mergeCell ref="C2145:C2150"/>
    <mergeCell ref="A2151:A2156"/>
    <mergeCell ref="B2151:B2156"/>
    <mergeCell ref="C2151:C2156"/>
    <mergeCell ref="A2157:A2163"/>
    <mergeCell ref="B2157:B2163"/>
    <mergeCell ref="C2157:C2163"/>
    <mergeCell ref="A2164:A2170"/>
    <mergeCell ref="B2164:B2170"/>
    <mergeCell ref="C2164:C2170"/>
    <mergeCell ref="A2171:A2177"/>
    <mergeCell ref="B2171:B2177"/>
    <mergeCell ref="C2171:C2177"/>
    <mergeCell ref="A2178:A2184"/>
    <mergeCell ref="B2178:B2184"/>
    <mergeCell ref="C2178:C2184"/>
    <mergeCell ref="A2185:A2196"/>
    <mergeCell ref="B2185:B2196"/>
    <mergeCell ref="C2185:C2196"/>
    <mergeCell ref="A2197:A2203"/>
    <mergeCell ref="B2197:B2203"/>
    <mergeCell ref="C2197:C2203"/>
    <mergeCell ref="A2204:A2209"/>
    <mergeCell ref="B2204:B2209"/>
    <mergeCell ref="C2204:C2209"/>
    <mergeCell ref="A2210:A2221"/>
    <mergeCell ref="B2210:B2221"/>
    <mergeCell ref="C2210:C2221"/>
    <mergeCell ref="A2222:A2228"/>
    <mergeCell ref="B2222:B2228"/>
    <mergeCell ref="C2222:C2228"/>
    <mergeCell ref="A2229:A2237"/>
    <mergeCell ref="B2229:B2237"/>
    <mergeCell ref="C2229:C2237"/>
    <mergeCell ref="A2238:A2254"/>
    <mergeCell ref="B2238:B2254"/>
    <mergeCell ref="C2238:C2254"/>
    <mergeCell ref="A2255:A2271"/>
    <mergeCell ref="B2255:B2271"/>
    <mergeCell ref="C2255:C2271"/>
    <mergeCell ref="A2272:A2288"/>
    <mergeCell ref="B2272:B2288"/>
    <mergeCell ref="C2272:C2288"/>
    <mergeCell ref="A2289:A2302"/>
    <mergeCell ref="B2289:B2302"/>
    <mergeCell ref="C2289:C2302"/>
    <mergeCell ref="A2303:A2316"/>
    <mergeCell ref="B2303:B2316"/>
    <mergeCell ref="C2303:C2316"/>
    <mergeCell ref="A2317:A2323"/>
    <mergeCell ref="B2317:B2323"/>
    <mergeCell ref="C2317:C2323"/>
    <mergeCell ref="A2324:A2330"/>
    <mergeCell ref="B2324:B2330"/>
    <mergeCell ref="C2324:C2330"/>
    <mergeCell ref="A2349:A2354"/>
    <mergeCell ref="B2349:B2354"/>
    <mergeCell ref="C2349:C2354"/>
    <mergeCell ref="A2331:A2337"/>
    <mergeCell ref="B2331:B2337"/>
    <mergeCell ref="C2331:C2337"/>
    <mergeCell ref="A2338:A2343"/>
    <mergeCell ref="B2338:B2343"/>
    <mergeCell ref="C2338:C2343"/>
    <mergeCell ref="A2344:A2348"/>
    <mergeCell ref="B2344:B2348"/>
    <mergeCell ref="C2344:C2348"/>
  </mergeCells>
  <hyperlinks>
    <hyperlink ref="O30" r:id="rId1" xr:uid="{0B00E541-600E-124F-8530-7CF03623D698}"/>
    <hyperlink ref="P40" r:id="rId2" xr:uid="{819A42CE-2F85-DD47-B008-984E98BBD177}"/>
    <hyperlink ref="N20" r:id="rId3" xr:uid="{D807AC6B-367B-1444-BBB9-D28F438DBD19}"/>
    <hyperlink ref="M10" r:id="rId4" xr:uid="{6E71E545-2846-5B4B-AD5F-85DA7DD90255}"/>
    <hyperlink ref="P164" r:id="rId5" xr:uid="{F47DB3C8-5F49-8647-B2FF-AEBF5AC3C99B}"/>
    <hyperlink ref="O151" r:id="rId6" xr:uid="{0C8623CD-01FB-E540-9412-4CE8DBF09085}"/>
    <hyperlink ref="N138" r:id="rId7" xr:uid="{3D4F0DE7-F3C8-AF45-ABC1-12E91D3E6261}"/>
    <hyperlink ref="P955" r:id="rId8" xr:uid="{1E4E8135-CD07-B347-936C-A97039970762}"/>
    <hyperlink ref="O939" r:id="rId9" xr:uid="{67A225EC-845E-384E-813E-00C50E9AA5EB}"/>
    <hyperlink ref="P1050" r:id="rId10" xr:uid="{B14E613F-8EEB-394C-B524-0C447C0C89C9}"/>
    <hyperlink ref="P513" r:id="rId11" xr:uid="{C32CB2D0-8FE4-7B46-89EC-D6831E824C5D}"/>
    <hyperlink ref="P491" r:id="rId12" xr:uid="{496B576B-14BB-BB4B-B13F-3A36462A059E}"/>
    <hyperlink ref="P502" r:id="rId13" xr:uid="{70C013C1-07FF-3B4E-869A-6449E37D0901}"/>
    <hyperlink ref="P484" r:id="rId14" xr:uid="{92406056-3669-2F4F-8934-9EB4F1F0F119}"/>
    <hyperlink ref="P478" r:id="rId15" xr:uid="{1095AD88-B746-5E4F-8A20-FE58209CB880}"/>
    <hyperlink ref="P775" r:id="rId16" xr:uid="{B89B78E8-5E69-714E-98A9-2C65CC616825}"/>
    <hyperlink ref="P768" r:id="rId17" xr:uid="{F5F6453C-8565-F547-8E2D-7EE101607909}"/>
    <hyperlink ref="P758" r:id="rId18" xr:uid="{CCE35EEF-99FB-4249-95D3-0FDEBCA52D19}"/>
    <hyperlink ref="P81" r:id="rId19" xr:uid="{297B9F65-2EC3-2B49-941B-966FAFF4ABD2}"/>
    <hyperlink ref="P80" r:id="rId20" xr:uid="{BCAC2482-2752-5545-BE37-E58540B7F938}"/>
    <hyperlink ref="P235" r:id="rId21" xr:uid="{6D42367E-4780-2342-A6B2-96A6078E9955}"/>
    <hyperlink ref="P202" r:id="rId22" xr:uid="{949D7551-186B-564B-8C15-75BA32F46432}"/>
    <hyperlink ref="P170" r:id="rId23" xr:uid="{77224E61-47A9-AD47-963B-04BED6937E70}"/>
    <hyperlink ref="P247" r:id="rId24" xr:uid="{8BA9C9DB-4F3F-7644-A79F-B480BE323300}"/>
    <hyperlink ref="P196" r:id="rId25" xr:uid="{39737AEA-3485-4E4D-B31A-05266923F7BD}"/>
    <hyperlink ref="P291" r:id="rId26" xr:uid="{019288D0-23BE-8640-B736-82875AF12F4F}"/>
    <hyperlink ref="P290" r:id="rId27" xr:uid="{F0CE3D14-5CF9-ED4C-8316-93209DD435CF}"/>
    <hyperlink ref="P359" r:id="rId28" xr:uid="{F82BE3DD-720F-8142-B17B-819858181BBF}"/>
    <hyperlink ref="P358" r:id="rId29" xr:uid="{BDDDD90B-2D17-C84D-B796-B3DC35535A5D}"/>
    <hyperlink ref="P880" r:id="rId30" xr:uid="{05DD9759-86C7-DA4E-B450-85D1C6FF9DF3}"/>
    <hyperlink ref="P110" r:id="rId31" xr:uid="{2518E147-6FA0-FE48-9D84-074D7D403110}"/>
    <hyperlink ref="P389" r:id="rId32" xr:uid="{752FA483-595F-4149-BC0A-93E8BA844976}"/>
    <hyperlink ref="P388" r:id="rId33" xr:uid="{82019FA7-8256-DF41-BCBE-61DE1E54CB4C}"/>
    <hyperlink ref="P543" r:id="rId34" xr:uid="{5E453E6D-D1F6-1541-B9CA-46019B4D7695}"/>
    <hyperlink ref="P1125" r:id="rId35" xr:uid="{1A2E93F5-2AD5-8B48-A693-BFE3167ED272}"/>
    <hyperlink ref="P1126" r:id="rId36" xr:uid="{39C7D6C2-372C-8B4D-9996-19008799DDEC}"/>
    <hyperlink ref="P576" r:id="rId37" xr:uid="{1A08ADA0-410A-5246-B9D8-9AB29E69BAA3}"/>
    <hyperlink ref="P905" r:id="rId38" xr:uid="{E70585E8-EF5A-0843-A534-AB726228A489}"/>
    <hyperlink ref="P1175" r:id="rId39" xr:uid="{6F05FB63-4EA7-1C4A-9C9A-22BB27DCC960}"/>
    <hyperlink ref="P1189" r:id="rId40" xr:uid="{F6DAD53C-5B93-7847-990D-28271B5798EA}"/>
    <hyperlink ref="P1264" r:id="rId41" xr:uid="{6AE21579-83AE-D941-91E8-8570EFE82A47}"/>
    <hyperlink ref="P1288" r:id="rId42" xr:uid="{D35AE893-C9C1-6B40-866B-D8F59284448D}"/>
    <hyperlink ref="O1288" r:id="rId43" xr:uid="{704615E9-E54F-3D4C-85DE-477A4BDCE19B}"/>
    <hyperlink ref="P1552" r:id="rId44" xr:uid="{1D46A215-EB8F-5F43-B7F3-A5B99495AD6E}"/>
    <hyperlink ref="P1671" r:id="rId45" xr:uid="{BA18664A-178E-2E49-8544-976A72960CB1}"/>
    <hyperlink ref="P1722" r:id="rId46" xr:uid="{2C4B3E4B-D528-8341-84FD-DE242284F86A}"/>
    <hyperlink ref="O1730" r:id="rId47" xr:uid="{24AADA2B-A7EE-5E4B-9FA8-24B09EE4533A}"/>
    <hyperlink ref="N1738" r:id="rId48" xr:uid="{5B6CAA67-8B68-CD42-89E9-B85C47811E93}"/>
    <hyperlink ref="N1769" r:id="rId49" xr:uid="{91CAFA70-FB0B-9849-866D-F814B5EF00E9}"/>
    <hyperlink ref="M1769" r:id="rId50" xr:uid="{4062CE1C-A333-4340-A095-7A8931D78379}"/>
    <hyperlink ref="L1769" r:id="rId51" xr:uid="{DA9E098E-F977-E146-BA38-2BEE814E287B}"/>
    <hyperlink ref="K1769" r:id="rId52" xr:uid="{0EDD5EF4-C3C8-674D-AEBA-6D13E3304545}"/>
    <hyperlink ref="P1769" r:id="rId53" xr:uid="{412F43C6-AF0C-654B-B0D3-FE25FF78B7AF}"/>
    <hyperlink ref="P1852" r:id="rId54" xr:uid="{EC3A9EC3-BE28-D646-A3EE-108C6BF8D49F}"/>
    <hyperlink ref="O1862" r:id="rId55" xr:uid="{316DF2B7-312F-5343-B8AB-968D03340B1F}"/>
    <hyperlink ref="N1872" r:id="rId56" xr:uid="{9DF852EF-27EE-0C43-B15B-F1B367A8B96E}"/>
    <hyperlink ref="M1880" r:id="rId57" xr:uid="{C0EDA700-96F1-D04E-BCC4-7B8E0A568909}"/>
    <hyperlink ref="L1887" r:id="rId58" xr:uid="{4DBDDB04-D940-764E-AA40-3FD7705E7ABE}"/>
    <hyperlink ref="P1901" r:id="rId59" xr:uid="{35D1F4B2-5DAF-404B-A960-8E289F0FD979}"/>
    <hyperlink ref="P1902" r:id="rId60" display="https://www.symrise.com/newsroom/downloads/index.php/?eID=tx_securedownloads&amp;p=458&amp;u=0&amp;g=0&amp;t=1670676125&amp;hash=8d2e93483c44891f9cbf0739902653a6ca718bf1&amp;file=fileadmin/symrise/Downloads_reports/sustainability/GRI_Balances/EN/SYM_Sustainability_Record_2021.pdf" xr:uid="{1557BB5E-3A65-1C42-895F-7DBAA5C4A4B9}"/>
    <hyperlink ref="O1915" r:id="rId61" display="https://www.symrise.com/newsroom/downloads/index.php/?eID=tx_securedownloads&amp;p=458&amp;u=0&amp;g=0&amp;t=1670937682&amp;hash=0c0b05e6a5cb45916d8974a13ef8cdbaf5ff52da&amp;file=fileadmin/symrise/Downloads_reports/sustainability/GRI_Balances/EN/SYM_Sustainability_Record_2020.pdf" xr:uid="{40B8689A-9D89-C443-9790-BFF9BB38760A}"/>
    <hyperlink ref="N1929" r:id="rId62" display="https://www.symrise.com/newsroom/downloads/index.php/?eID=tx_securedownloads&amp;p=458&amp;u=0&amp;g=0&amp;t=1670937682&amp;hash=92bbb8d6aea3b870ef3efa45c04336a066b8341b&amp;file=fileadmin/symrise/Downloads_reports/sustainability/GRI_Balances/EN/SYM_Sustainability_Record_2019.pdf" xr:uid="{6AE2FB34-79EA-BA4F-8FB2-AFEB02C84E86}"/>
    <hyperlink ref="L1955" r:id="rId63" display="https://www.symrise.com/newsroom/downloads/index.php/?eID=tx_securedownloads&amp;p=458&amp;u=0&amp;g=0&amp;t=1670937708&amp;hash=e1996a9ec25e86036f552c68d0a322811a123097&amp;file=fileadmin/symrise/Downloads_reports/sustainability/GRI_Balances/EN/SYM_Sustainability_Record_2017.pdf" xr:uid="{7565B17A-CE6D-EB4B-8BE6-5780DE16F0A1}"/>
    <hyperlink ref="M1943" r:id="rId64" display="https://www.symrise.com/newsroom/downloads/index.php/?eID=tx_securedownloads&amp;p=458&amp;u=0&amp;g=0&amp;t=1670937708&amp;hash=5ed930ed38d73cd58dc0e7969c1d17e360a62731&amp;file=fileadmin/symrise/Downloads_reports/sustainability/GRI_Balances/EN/SYM_Sustainability_Record_2018.pdf" xr:uid="{A43F101E-6671-874A-87CC-FF7BF05809F5}"/>
    <hyperlink ref="P1961" r:id="rId65" xr:uid="{AF87EDF2-782E-B044-97AD-6E282F28D637}"/>
    <hyperlink ref="O1983" r:id="rId66" xr:uid="{81A3E0F6-4484-374C-A78C-7FB0D5896B1E}"/>
    <hyperlink ref="P2004" r:id="rId67" xr:uid="{CB2BBA4D-C080-0F41-885C-102DA68A79A7}"/>
    <hyperlink ref="P2021" r:id="rId68" xr:uid="{3FFAAE51-BC6C-6442-AFEA-1FDE84D8B7FD}"/>
    <hyperlink ref="O2032" r:id="rId69" xr:uid="{98D30EF0-6300-8C44-A23B-7638E0B678C0}"/>
    <hyperlink ref="N2043" r:id="rId70" xr:uid="{ABFD10E6-A1E5-3E45-9590-3943C6044114}"/>
    <hyperlink ref="P2053" r:id="rId71" xr:uid="{4346153C-EF05-DA46-AA8A-C7559EBB5AA7}"/>
    <hyperlink ref="N2063" r:id="rId72" xr:uid="{6CFB7024-D153-264C-B590-F9F033D08F0B}"/>
    <hyperlink ref="O1203" r:id="rId73" xr:uid="{1700626A-E561-FD43-A4B8-DF2C037EBA19}"/>
    <hyperlink ref="M1229" r:id="rId74" xr:uid="{CC3C0B89-0B69-624C-9E78-4B63579AF466}"/>
    <hyperlink ref="N1216" r:id="rId75" xr:uid="{3E9FD47D-E407-4148-B2FB-235B4986BD91}"/>
    <hyperlink ref="L1242" r:id="rId76" xr:uid="{3B1074F4-E5D0-184A-AF6E-5ABA22224F03}"/>
    <hyperlink ref="O1312" r:id="rId77" xr:uid="{8E28E495-F9BC-4148-A25B-855FF278518D}"/>
    <hyperlink ref="N1336" r:id="rId78" xr:uid="{E0F5065E-E1DC-D743-A0E3-98FA63EA625E}"/>
    <hyperlink ref="M1358" r:id="rId79" xr:uid="{0ED9229D-A7B0-6244-BAD2-E246D002362E}"/>
    <hyperlink ref="L1380" r:id="rId80" xr:uid="{51B05B1F-5BDA-0F4A-B23E-6899FE1591A8}"/>
    <hyperlink ref="O1447" r:id="rId81" xr:uid="{5593EDD1-F2E3-734B-903E-04617C37FEFF}"/>
    <hyperlink ref="P1406" r:id="rId82" xr:uid="{65284CD0-1D24-964B-A2DF-B3126FF2633F}"/>
    <hyperlink ref="P1427" r:id="rId83" xr:uid="{BBB9B85A-AD99-6E4E-8C74-6291B94D8607}"/>
    <hyperlink ref="N1467" r:id="rId84" xr:uid="{429D6ED3-AA20-F445-A9DA-CB5ACC0E6E9C}"/>
    <hyperlink ref="L1509" r:id="rId85" xr:uid="{0792E70E-2BFB-1D45-B8FB-D26A5B08795E}"/>
    <hyperlink ref="M1488" r:id="rId86" xr:uid="{B9ADAB26-8147-CC46-A9CE-44D7F5958A18}"/>
    <hyperlink ref="P1537" r:id="rId87" xr:uid="{59605868-BFCE-D740-894C-006E2C39A1B2}"/>
    <hyperlink ref="O1565" r:id="rId88" xr:uid="{54703985-6FBE-7447-BFE5-75D017128DBE}"/>
    <hyperlink ref="N1578" r:id="rId89" xr:uid="{D0F44250-1A39-0545-9D7F-773FFFB276A8}"/>
    <hyperlink ref="M1578" r:id="rId90" xr:uid="{B7313B8B-F6FB-7141-91AF-A8EED391A2B5}"/>
    <hyperlink ref="M1595" r:id="rId91" xr:uid="{244BD7E7-446B-394D-AEBE-0AEA14D1D8F9}"/>
    <hyperlink ref="M1596" r:id="rId92" xr:uid="{2096B326-CE04-1348-BC98-A7B185B1E88B}"/>
    <hyperlink ref="L1607" r:id="rId93" xr:uid="{BA1D59D8-61E5-7948-9B13-E32F2BC233A2}"/>
    <hyperlink ref="O1621" r:id="rId94" xr:uid="{08B7B936-B7EE-224E-91D6-11CEBE2288A0}"/>
    <hyperlink ref="P1615" r:id="rId95" xr:uid="{9BF697A0-2DF7-A247-A85B-DF720ACDA746}"/>
    <hyperlink ref="N1627" r:id="rId96" xr:uid="{0E346871-4A0C-8846-B94E-5460CA157870}"/>
    <hyperlink ref="M1633" r:id="rId97" xr:uid="{C881857C-90A6-5A4C-8FD0-4B4DA8F104AA}"/>
    <hyperlink ref="L1639" r:id="rId98" xr:uid="{74B50787-516B-4048-BF56-47D710E3C263}"/>
    <hyperlink ref="P1661" r:id="rId99" xr:uid="{1F0ED371-4B95-E04D-94C8-42B64879B897}"/>
    <hyperlink ref="O1685" r:id="rId100" xr:uid="{64C27714-103F-AE42-B16C-409104D2C69D}"/>
    <hyperlink ref="N1695" r:id="rId101" xr:uid="{FC46EB99-8045-A543-94F1-F2B232C58D22}"/>
    <hyperlink ref="L1715" r:id="rId102" xr:uid="{35789EC5-E656-1F48-A997-4540679D2E7C}"/>
    <hyperlink ref="M1745" r:id="rId103" xr:uid="{F8AA2214-8BB2-9A49-BE39-8217D7BCC66F}"/>
    <hyperlink ref="L1753" r:id="rId104" xr:uid="{0D5D31BF-1AA1-3248-A12A-733EAB0EE905}"/>
    <hyperlink ref="M1795" r:id="rId105" xr:uid="{F46706EE-2F02-1945-AEFA-4FF65C394BCC}"/>
    <hyperlink ref="N1787" r:id="rId106" xr:uid="{277A327D-D3C3-1D4F-B751-993C11D2FC30}"/>
    <hyperlink ref="L1804" r:id="rId107" xr:uid="{43961E11-B98A-A440-98F2-2B24A30D5EFD}"/>
    <hyperlink ref="O1778" r:id="rId108" xr:uid="{E31DFB75-1E9B-EC4C-897C-CDE5AB0A4462}"/>
    <hyperlink ref="P2073" r:id="rId109" xr:uid="{4F9098BE-B8E0-2444-8198-EB171027C4EA}"/>
    <hyperlink ref="P2142" r:id="rId110" xr:uid="{1BC995B8-9980-3542-9778-C2898DE192E1}"/>
    <hyperlink ref="P2162" r:id="rId111" xr:uid="{C01BCE55-B2E8-3E4D-88B8-FCAA412FD507}"/>
    <hyperlink ref="O2169" r:id="rId112" xr:uid="{5E5D4E7B-2240-B447-8454-550C4C494491}"/>
    <hyperlink ref="P2219" r:id="rId113" xr:uid="{28C4272A-6A66-0B4C-A3A9-F6C01DD9519B}"/>
    <hyperlink ref="P2220" r:id="rId114" xr:uid="{711F9DE8-3635-0A47-A8F7-036C1F21BCEB}"/>
    <hyperlink ref="P2237" r:id="rId115" xr:uid="{8EFFA299-062D-3845-9D5D-6124FE9B717E}"/>
    <hyperlink ref="P2253" r:id="rId116" xr:uid="{28338DA8-1FB7-4748-98A0-94E8149226F2}"/>
    <hyperlink ref="P2254" r:id="rId117" xr:uid="{B9D2AB5D-F9E2-F946-806E-03591CD20974}"/>
    <hyperlink ref="L2103" r:id="rId118" xr:uid="{6D207942-331A-6A4A-9412-2915F6C49C50}"/>
    <hyperlink ref="M2095" r:id="rId119" xr:uid="{7B9419F1-DF11-B34E-960D-384B53879776}"/>
    <hyperlink ref="N2087" r:id="rId120" xr:uid="{AAA0A866-03AB-D043-96C5-39B27224A053}"/>
    <hyperlink ref="O2079" r:id="rId121" xr:uid="{2DAD4769-0667-6649-8765-CC2675ED9116}"/>
    <hyperlink ref="P2113" r:id="rId122" xr:uid="{5897555B-3858-B449-B3F6-BCB35071CE35}"/>
    <hyperlink ref="P2112" r:id="rId123" xr:uid="{8BA9EFA1-A1E4-D248-8FEF-CBD3B1CA83A0}"/>
    <hyperlink ref="O2122" r:id="rId124" xr:uid="{C196A80F-30D9-0345-8CB1-1A67805B917A}"/>
    <hyperlink ref="N2132" r:id="rId125" xr:uid="{D39B976C-AD44-5546-B7D4-2F51F79E7654}"/>
    <hyperlink ref="O2149" r:id="rId126" xr:uid="{9D0118CB-C913-944C-9F41-081B6FDCF9F7}"/>
    <hyperlink ref="N2155" r:id="rId127" xr:uid="{136CF18E-86E3-3C43-9661-EBB66247E25A}"/>
    <hyperlink ref="P2163" r:id="rId128" xr:uid="{AFB80559-6B1A-3942-9F53-DB4A4DD32550}"/>
    <hyperlink ref="M2183" r:id="rId129" xr:uid="{B91BC1CC-EDCB-8640-9A76-EE861615040C}"/>
    <hyperlink ref="N2176" r:id="rId130" xr:uid="{193C27F4-ACE3-674D-8FAC-6D19488D6BAD}"/>
    <hyperlink ref="P2302" r:id="rId131" xr:uid="{D19EF16A-360F-D741-8783-3AD1E58ADCF2}"/>
    <hyperlink ref="O2302" r:id="rId132" xr:uid="{1FD440AF-AAD1-9B48-9FD7-8F089E629D08}"/>
    <hyperlink ref="N2302" r:id="rId133" xr:uid="{92C248BF-46EE-0E44-A1EE-8CE5899CC67B}"/>
    <hyperlink ref="M2302" r:id="rId134" xr:uid="{8FB30397-4AD7-BD47-91FE-5235D93A6056}"/>
    <hyperlink ref="M2301" r:id="rId135" xr:uid="{16258CC5-45A6-1448-9D7F-CC20D86BFDF2}"/>
    <hyperlink ref="N2287" r:id="rId136" xr:uid="{2D937445-7088-E74A-9521-B0CB8EC78AD9}"/>
    <hyperlink ref="N2288" r:id="rId137" xr:uid="{6F00FA27-8D09-DA44-A16F-396223F7A976}"/>
    <hyperlink ref="O2270" r:id="rId138" xr:uid="{A1A2323A-86FC-7A4A-A248-5ECF2BAEAE3F}"/>
    <hyperlink ref="O2271" r:id="rId139" xr:uid="{A017F6B4-66AF-8F4E-9020-8D921A5E1059}"/>
    <hyperlink ref="L2315" r:id="rId140" xr:uid="{E1AF2F4A-FC84-204E-923C-79D24C9F42E5}"/>
    <hyperlink ref="M2343" r:id="rId141" xr:uid="{3BFF5A9B-3FF7-584F-9E06-3547CFB86D30}"/>
    <hyperlink ref="L2348" r:id="rId142" xr:uid="{020EC47F-D27F-F94E-A7C6-72B91AAAFCD6}"/>
    <hyperlink ref="N2337" r:id="rId143" xr:uid="{38634344-8B56-DF45-BE60-AADC2A34B48A}"/>
    <hyperlink ref="O2330" r:id="rId144" xr:uid="{26A876FA-3FB8-9F48-9A8F-5DB98C1D8C50}"/>
    <hyperlink ref="P2323" r:id="rId145" xr:uid="{3F9BCD54-6527-6547-BF95-EC2F29358183}"/>
    <hyperlink ref="P2203" r:id="rId146" xr:uid="{77AEDC0B-771C-274A-9D70-2B061178D4FF}"/>
    <hyperlink ref="O2209" r:id="rId147" xr:uid="{63BD6AA5-990E-4E4C-8136-EFE6C107C69E}"/>
    <hyperlink ref="Q2354" r:id="rId148" xr:uid="{5207437D-C1BB-B648-AAD7-27C4C267E35E}"/>
    <hyperlink ref="O395" r:id="rId149" xr:uid="{42464021-0D6D-FD40-9F5B-ADA06D9BF69A}"/>
    <hyperlink ref="M395" r:id="rId150" xr:uid="{C87CE1BC-2AF7-7643-B7EE-A07919BB2A00}"/>
    <hyperlink ref="P395" r:id="rId151" xr:uid="{05359A8E-4727-1744-AD01-9B62E3658F0E}"/>
    <hyperlink ref="P687" r:id="rId152" xr:uid="{18AA66CF-3909-B844-8827-0D5B9E96F35F}"/>
    <hyperlink ref="P688" r:id="rId153" xr:uid="{BDD90644-2C04-5647-99D8-C6532F6E0E02}"/>
    <hyperlink ref="P1265" r:id="rId154" xr:uid="{2F8E024E-16DD-6F41-9106-86B538B278D7}"/>
    <hyperlink ref="P558" r:id="rId155" xr:uid="{C6DF2CB4-DE6B-3A40-97EB-CFF5BA958E33}"/>
    <hyperlink ref="P340" r:id="rId156" xr:uid="{30E5A2F3-3AD4-B74D-94E4-757D1530D77C}"/>
    <hyperlink ref="P101" r:id="rId157" xr:uid="{EFF7AFF5-9713-8A43-A566-5DC375AD0BDC}"/>
    <hyperlink ref="P615" r:id="rId158" xr:uid="{CC04555B-31ED-4A45-B9FC-E01B8BD70588}"/>
    <hyperlink ref="P662" r:id="rId159" xr:uid="{8B509ADA-B80F-2749-97DA-ECA51AEE0DCE}"/>
    <hyperlink ref="P786" r:id="rId160" xr:uid="{6656D0B9-4607-2340-93A8-EA62A8601F76}"/>
    <hyperlink ref="P542" r:id="rId161" xr:uid="{5F50E9DA-15BE-4D4A-B47B-ABAE262DD70F}"/>
    <hyperlink ref="P268" r:id="rId162" xr:uid="{121BFCD1-178A-0E4C-9205-20C36D78D4C6}"/>
    <hyperlink ref="P177" r:id="rId163" xr:uid="{95235B1C-5FC7-754B-B347-DCAD23F624A5}"/>
    <hyperlink ref="P590" r:id="rId164" xr:uid="{15E0729A-9E19-B345-BCA9-5F5004C190C7}"/>
    <hyperlink ref="P742" r:id="rId165" xr:uid="{DED4C338-777E-D94B-8935-A2225C73A345}"/>
    <hyperlink ref="P862" r:id="rId166" xr:uid="{9F963A40-73BD-C847-8419-B31E47F72CA2}"/>
    <hyperlink ref="P1000" r:id="rId167" xr:uid="{524B1E84-20B1-3A41-8D85-076CCAA4D3B3}"/>
    <hyperlink ref="P999" r:id="rId168" xr:uid="{4831FC46-71BA-3142-BDD6-355FB160500B}"/>
    <hyperlink ref="P1013" r:id="rId169" xr:uid="{7C6F32B7-C804-174E-BE60-0CC07E76CD43}"/>
    <hyperlink ref="P1035" r:id="rId170" xr:uid="{381BFC19-24F2-E24F-9FF9-4C08E100A7E1}"/>
    <hyperlink ref="P1056" r:id="rId171" xr:uid="{4093A5BB-1214-4743-B0BF-16F8E3A36A36}"/>
    <hyperlink ref="P1080" r:id="rId172" xr:uid="{57E3C2E6-F8FF-B54E-963F-BB9B760314F5}"/>
    <hyperlink ref="N2368" r:id="rId173" display="https://www.astellas.com/en/sustainability/esg-environment" xr:uid="{8C21F76B-DDB7-844E-BE5B-997B8EAE1A3B}"/>
    <hyperlink ref="N2391" r:id="rId174" display="https://www.astrazeneca.com/content/dam/az/Sustainability/2022/pdf/Sustainability_Data_Summary_2021.pdf" xr:uid="{55103A33-CA5C-2A44-A96E-16E4ED1EBF62}"/>
    <hyperlink ref="M2411" r:id="rId175" display="https://www.astrazeneca.com/content/dam/az/Sustainability/2021/pdf/Sustainability_Data_Summary_2020.pdf" xr:uid="{54155B33-5231-D049-8A46-11D62625345E}"/>
    <hyperlink ref="L2431" r:id="rId176" display="https://www.astrazeneca.com/content/dam/az/Sustainability/2021/pdf/Sustainability_Data_Summary_2020.pdf" xr:uid="{7BA30401-F092-634A-8CC5-422570665248}"/>
    <hyperlink ref="N2478" r:id="rId177" display="https://www.azbil.com/ir/library/annual/__icsFiles/afieldfile/2022/10/20/report2022_e_A3.pdf" xr:uid="{28C089EA-4160-E145-9060-DFDF0C3504D7}"/>
    <hyperlink ref="M2494" r:id="rId178" display="https://www.azbil.com/ir/library/annual/__icsFiles/afieldfile/2021/10/28/report2021_e.pdf" xr:uid="{60671009-B78D-3D40-814B-7F09439449F0}"/>
    <hyperlink ref="L2510" r:id="rId179" display="https://www.azbil.com/ir/library/annual/__icsFiles/afieldfile/2020/10/07/report2020_e.pdf" xr:uid="{A175A59A-FDD4-9249-9253-41CA0BC41EB7}"/>
    <hyperlink ref="K2526" r:id="rId180" display="https://www.azbil.com/ir/library/annual/__icsFiles/afieldfile/2019/09/19/report2019_e.pdf" xr:uid="{6CA6B105-3C98-654D-B016-AAB91A26EFF9}"/>
    <hyperlink ref="N2541" r:id="rId181" display="https://www.bayer.com/sites/default/files/2022-03/Bayer-Sustainability-Report-2021.pdf" xr:uid="{ADBDD042-74FB-FA46-AF8B-119AEE0E577E}"/>
    <hyperlink ref="M2555" r:id="rId182" display="https://www.bayer.com/sites/default/files/2021-02/Bayer-Sustainability-Report-2020.pdf" xr:uid="{22C5BCAA-5D1E-A542-A5BF-ED2B074C0D8C}"/>
    <hyperlink ref="L2569" r:id="rId183" display="https://www.bayer.com/sites/default/files/2020-12/bayer-ag-sustainability-report-2019_5.pdf" xr:uid="{7CB86958-C61D-DB46-A260-8C5EC8BDEE4E}"/>
    <hyperlink ref="O2589" r:id="rId184" display="https://world.casio.com/content/dam/casio/global/corporate/en/csr/report/2022/SustainabilityReport2022_en_all.pdf" xr:uid="{4C7C4DA3-229A-B341-9B1C-0A3FAFBA4B67}"/>
    <hyperlink ref="M1705" r:id="rId185" xr:uid="{05ECB6C6-9FE4-7F47-970D-E94DC2595293}"/>
    <hyperlink ref="P1029" r:id="rId186" xr:uid="{1831BF0D-EA76-D347-9EF7-CA12193AB94B}"/>
    <hyperlink ref="Q1159" r:id="rId187" xr:uid="{254949B1-04D3-2549-9FF8-65EBCDC0277E}"/>
    <hyperlink ref="P631" r:id="rId188" xr:uid="{7DC22673-FE2F-F444-8A16-9F9EEB039E5B}"/>
    <hyperlink ref="P410" r:id="rId189" xr:uid="{47EEB203-D602-3F45-87D1-69725C8DAA42}"/>
    <hyperlink ref="P452" r:id="rId190" xr:uid="{D5D3EDD9-76DC-3A4E-BA03-6251FC5B2292}"/>
    <hyperlink ref="Q444" r:id="rId191" xr:uid="{82BA4EC1-B00A-3D45-903C-36A7CE9C8CE1}"/>
    <hyperlink ref="O460" r:id="rId192" xr:uid="{25594E1C-CA3F-FA4F-9B93-BD4215D04C6F}"/>
    <hyperlink ref="N795" r:id="rId193" xr:uid="{8B4503B5-9967-064D-9DA5-56B9FBD81423}"/>
    <hyperlink ref="O804" r:id="rId194" xr:uid="{BE7252FC-70D0-B443-9ED3-BF62B056A13E}"/>
    <hyperlink ref="Q823" r:id="rId195" xr:uid="{5CBF8FA7-100B-0A44-A3FA-881E9B2D55CD}"/>
    <hyperlink ref="P1096" r:id="rId196" xr:uid="{AFC72C70-AF55-A945-9A92-0FBD774D3354}"/>
    <hyperlink ref="Q1088" r:id="rId197" xr:uid="{DD2B061A-442F-1149-8C10-F3F85D52655A}"/>
    <hyperlink ref="P423" r:id="rId198" xr:uid="{70088B83-8952-E94B-979F-E0F21FFA0DBC}"/>
    <hyperlink ref="N436" r:id="rId199" xr:uid="{3AA81F80-1B09-9C4D-AEC3-66BAA02D3C35}"/>
    <hyperlink ref="P813" r:id="rId200" xr:uid="{014A7AEB-CCB5-1841-9E97-CA650C2BBD46}"/>
    <hyperlink ref="Q209" r:id="rId201" xr:uid="{34B2E70D-0226-7948-BFA2-0D00E4B40E0D}"/>
  </hyperlinks>
  <pageMargins left="0.75" right="0.75" top="1" bottom="1" header="0.5" footer="0.5"/>
  <pageSetup orientation="portrait" horizontalDpi="0" verticalDpi="0"/>
  <legacyDrawing r:id="rId2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FB00D-47B8-E345-A62C-EF7464AE3B33}">
  <dimension ref="A1:P47"/>
  <sheetViews>
    <sheetView zoomScale="150" zoomScaleNormal="150" workbookViewId="0">
      <selection activeCell="J19" sqref="J19"/>
    </sheetView>
  </sheetViews>
  <sheetFormatPr baseColWidth="10" defaultRowHeight="15"/>
  <cols>
    <col min="4" max="4" width="17.1640625" customWidth="1"/>
  </cols>
  <sheetData>
    <row r="1" spans="1:16">
      <c r="A1" s="60" t="s">
        <v>0</v>
      </c>
      <c r="B1" s="60" t="s">
        <v>1</v>
      </c>
      <c r="C1" s="60" t="s">
        <v>2</v>
      </c>
      <c r="D1" s="66" t="s">
        <v>409</v>
      </c>
      <c r="E1" s="66" t="s">
        <v>604</v>
      </c>
      <c r="F1" s="66" t="s">
        <v>592</v>
      </c>
      <c r="G1" s="67" t="s">
        <v>410</v>
      </c>
      <c r="H1" s="68" t="s">
        <v>8</v>
      </c>
      <c r="I1" s="89" t="s">
        <v>534</v>
      </c>
      <c r="J1" s="69">
        <v>2016</v>
      </c>
      <c r="K1" s="70">
        <v>2017</v>
      </c>
      <c r="L1" s="69">
        <v>2018</v>
      </c>
      <c r="M1" s="70">
        <v>2019</v>
      </c>
      <c r="N1" s="69">
        <v>2020</v>
      </c>
      <c r="O1" s="70">
        <v>2021</v>
      </c>
      <c r="P1" s="101">
        <v>2022</v>
      </c>
    </row>
    <row r="2" spans="1:16">
      <c r="A2" s="296" t="s">
        <v>492</v>
      </c>
      <c r="B2" s="296" t="s">
        <v>306</v>
      </c>
      <c r="C2" s="296" t="s">
        <v>307</v>
      </c>
      <c r="D2" s="66" t="s">
        <v>645</v>
      </c>
      <c r="E2" t="s">
        <v>449</v>
      </c>
      <c r="F2" t="s">
        <v>576</v>
      </c>
      <c r="G2" t="s">
        <v>429</v>
      </c>
      <c r="H2" s="65">
        <v>44825</v>
      </c>
      <c r="I2" s="90"/>
      <c r="J2" s="71"/>
      <c r="K2" s="72"/>
      <c r="L2" s="71"/>
      <c r="M2" s="72"/>
      <c r="N2" s="71"/>
      <c r="O2" s="72">
        <v>35.51</v>
      </c>
    </row>
    <row r="3" spans="1:16">
      <c r="A3" s="296"/>
      <c r="B3" s="296"/>
      <c r="C3" s="296"/>
      <c r="D3" s="66" t="s">
        <v>640</v>
      </c>
      <c r="E3" t="s">
        <v>480</v>
      </c>
      <c r="G3" t="s">
        <v>429</v>
      </c>
      <c r="H3" s="65">
        <v>44825</v>
      </c>
      <c r="I3" s="90"/>
      <c r="J3" s="71"/>
      <c r="K3" s="72"/>
      <c r="L3" s="71"/>
      <c r="M3" s="72"/>
      <c r="N3" s="71"/>
      <c r="O3" s="72">
        <v>3.49</v>
      </c>
    </row>
    <row r="4" spans="1:16">
      <c r="A4" s="296"/>
      <c r="B4" s="296"/>
      <c r="C4" s="296"/>
      <c r="D4" s="66" t="s">
        <v>641</v>
      </c>
      <c r="E4" t="s">
        <v>463</v>
      </c>
      <c r="G4" t="s">
        <v>429</v>
      </c>
      <c r="H4" s="65">
        <v>44825</v>
      </c>
      <c r="I4" s="90"/>
      <c r="J4" s="71"/>
      <c r="K4" s="72"/>
      <c r="L4" s="71"/>
      <c r="M4" s="72"/>
      <c r="N4" s="71"/>
      <c r="O4" s="72">
        <v>0.32</v>
      </c>
    </row>
    <row r="5" spans="1:16">
      <c r="A5" s="296"/>
      <c r="B5" s="296"/>
      <c r="C5" s="296"/>
      <c r="D5" s="66" t="s">
        <v>642</v>
      </c>
      <c r="E5" t="s">
        <v>450</v>
      </c>
      <c r="G5" t="s">
        <v>429</v>
      </c>
      <c r="H5" s="65">
        <v>44825</v>
      </c>
      <c r="I5" s="90"/>
      <c r="J5" s="71"/>
      <c r="K5" s="72"/>
      <c r="L5" s="71"/>
      <c r="M5" s="72"/>
      <c r="N5" s="71"/>
      <c r="O5" s="72">
        <v>0.08</v>
      </c>
    </row>
    <row r="6" spans="1:16">
      <c r="A6" s="296"/>
      <c r="B6" s="296"/>
      <c r="C6" s="296"/>
      <c r="D6" s="66" t="s">
        <v>643</v>
      </c>
      <c r="E6" t="s">
        <v>481</v>
      </c>
      <c r="G6" t="s">
        <v>429</v>
      </c>
      <c r="H6" s="65">
        <v>44825</v>
      </c>
      <c r="I6" s="90"/>
      <c r="J6" s="71"/>
      <c r="K6" s="72"/>
      <c r="L6" s="71"/>
      <c r="M6" s="72"/>
      <c r="N6" s="71"/>
      <c r="O6" s="72">
        <v>7.0000000000000007E-2</v>
      </c>
    </row>
    <row r="7" spans="1:16">
      <c r="A7" s="296"/>
      <c r="B7" s="296"/>
      <c r="C7" s="296"/>
      <c r="D7" s="66" t="s">
        <v>644</v>
      </c>
      <c r="E7" t="s">
        <v>470</v>
      </c>
      <c r="G7" t="s">
        <v>429</v>
      </c>
      <c r="H7" s="65">
        <v>44825</v>
      </c>
      <c r="I7" s="90"/>
      <c r="J7" s="71"/>
      <c r="K7" s="72"/>
      <c r="L7" s="71"/>
      <c r="M7" s="72"/>
      <c r="N7" s="71"/>
      <c r="O7" s="72">
        <v>0.03</v>
      </c>
    </row>
    <row r="8" spans="1:16">
      <c r="A8" s="296"/>
      <c r="B8" s="296"/>
      <c r="C8" s="296"/>
      <c r="D8" s="66" t="s">
        <v>411</v>
      </c>
      <c r="E8" t="s">
        <v>443</v>
      </c>
      <c r="G8" t="s">
        <v>429</v>
      </c>
      <c r="H8" s="65">
        <v>44825</v>
      </c>
      <c r="I8" s="90"/>
      <c r="J8" s="71"/>
      <c r="K8" s="72"/>
      <c r="L8" s="71"/>
      <c r="M8" s="72"/>
      <c r="N8" s="71"/>
      <c r="O8" s="72">
        <v>39.5</v>
      </c>
    </row>
    <row r="9" spans="1:16">
      <c r="A9" s="296"/>
      <c r="B9" s="296"/>
      <c r="C9" s="296"/>
      <c r="D9" s="66" t="s">
        <v>646</v>
      </c>
      <c r="E9" t="s">
        <v>482</v>
      </c>
      <c r="G9" t="s">
        <v>429</v>
      </c>
      <c r="H9" s="65">
        <v>44825</v>
      </c>
      <c r="I9" s="90"/>
      <c r="J9" s="71"/>
      <c r="K9" s="72"/>
      <c r="L9" s="71"/>
      <c r="M9" s="72"/>
      <c r="N9" s="71"/>
      <c r="O9" s="72">
        <v>0.02</v>
      </c>
    </row>
    <row r="10" spans="1:16">
      <c r="A10" s="296"/>
      <c r="B10" s="296"/>
      <c r="C10" s="296"/>
      <c r="D10" s="66" t="s">
        <v>647</v>
      </c>
      <c r="E10" t="s">
        <v>483</v>
      </c>
      <c r="G10" t="s">
        <v>429</v>
      </c>
      <c r="H10" s="65">
        <v>44825</v>
      </c>
      <c r="I10" s="90"/>
      <c r="J10" s="71"/>
      <c r="K10" s="72"/>
      <c r="L10" s="71"/>
      <c r="M10" s="72"/>
      <c r="N10" s="71"/>
      <c r="O10" s="72">
        <v>0.68</v>
      </c>
    </row>
    <row r="11" spans="1:16">
      <c r="A11" s="296"/>
      <c r="B11" s="296"/>
      <c r="C11" s="296"/>
      <c r="D11" s="66" t="s">
        <v>412</v>
      </c>
      <c r="E11" t="s">
        <v>443</v>
      </c>
      <c r="G11" t="s">
        <v>429</v>
      </c>
      <c r="H11" s="65">
        <v>44825</v>
      </c>
      <c r="I11" s="90"/>
      <c r="J11" s="71"/>
      <c r="K11" s="72"/>
      <c r="L11" s="71"/>
      <c r="M11" s="72"/>
      <c r="N11" s="71"/>
      <c r="O11" s="72">
        <v>0.7</v>
      </c>
    </row>
    <row r="12" spans="1:16">
      <c r="A12" s="296"/>
      <c r="B12" s="296"/>
      <c r="C12" s="296"/>
      <c r="D12" s="66" t="s">
        <v>414</v>
      </c>
      <c r="E12" t="s">
        <v>413</v>
      </c>
      <c r="G12" t="s">
        <v>428</v>
      </c>
      <c r="H12" s="65">
        <v>44825</v>
      </c>
      <c r="I12" s="90"/>
      <c r="J12" s="71"/>
      <c r="K12" s="72"/>
      <c r="L12" s="71"/>
      <c r="M12" s="72"/>
      <c r="N12" s="102">
        <v>38217000</v>
      </c>
      <c r="O12" s="103">
        <v>39166000</v>
      </c>
    </row>
    <row r="13" spans="1:16">
      <c r="A13" s="296"/>
      <c r="B13" s="296"/>
      <c r="C13" s="296"/>
      <c r="D13" s="66" t="s">
        <v>415</v>
      </c>
      <c r="E13" t="s">
        <v>484</v>
      </c>
      <c r="G13" t="s">
        <v>429</v>
      </c>
      <c r="H13" s="65">
        <v>44825</v>
      </c>
      <c r="I13" s="90"/>
      <c r="J13" s="71"/>
      <c r="K13" s="72"/>
      <c r="L13" s="71"/>
      <c r="M13" s="72"/>
      <c r="N13" s="71"/>
      <c r="O13" s="72">
        <v>4.12</v>
      </c>
    </row>
    <row r="14" spans="1:16">
      <c r="A14" s="296"/>
      <c r="B14" s="296"/>
      <c r="C14" s="296"/>
      <c r="D14" s="66" t="s">
        <v>415</v>
      </c>
      <c r="E14" t="s">
        <v>480</v>
      </c>
      <c r="G14" t="s">
        <v>429</v>
      </c>
      <c r="H14" s="65">
        <v>44825</v>
      </c>
      <c r="I14" s="90"/>
      <c r="J14" s="71"/>
      <c r="K14" s="72"/>
      <c r="L14" s="71"/>
      <c r="M14" s="72"/>
      <c r="N14" s="71"/>
      <c r="O14" s="72">
        <v>1.7</v>
      </c>
    </row>
    <row r="15" spans="1:16">
      <c r="A15" s="296"/>
      <c r="B15" s="296"/>
      <c r="C15" s="296"/>
      <c r="D15" s="66" t="s">
        <v>415</v>
      </c>
      <c r="E15" t="s">
        <v>485</v>
      </c>
      <c r="G15" t="s">
        <v>429</v>
      </c>
      <c r="H15" s="65">
        <v>44825</v>
      </c>
      <c r="I15" s="90"/>
      <c r="J15" s="71"/>
      <c r="K15" s="72"/>
      <c r="L15" s="71"/>
      <c r="M15" s="72"/>
      <c r="N15" s="71"/>
      <c r="O15" s="72">
        <v>0.28000000000000003</v>
      </c>
    </row>
    <row r="16" spans="1:16">
      <c r="A16" s="296"/>
      <c r="B16" s="296"/>
      <c r="C16" s="296"/>
      <c r="D16" s="66" t="s">
        <v>415</v>
      </c>
      <c r="E16" t="s">
        <v>459</v>
      </c>
      <c r="G16" t="s">
        <v>429</v>
      </c>
      <c r="H16" s="65">
        <v>44825</v>
      </c>
      <c r="I16" s="90"/>
      <c r="J16" s="71"/>
      <c r="K16" s="72"/>
      <c r="L16" s="71"/>
      <c r="M16" s="72"/>
      <c r="N16" s="71"/>
      <c r="O16" s="72">
        <v>0.01</v>
      </c>
    </row>
    <row r="17" spans="1:16">
      <c r="A17" s="296"/>
      <c r="B17" s="296"/>
      <c r="C17" s="296"/>
      <c r="D17" s="66" t="s">
        <v>415</v>
      </c>
      <c r="E17" t="s">
        <v>458</v>
      </c>
      <c r="G17" t="s">
        <v>429</v>
      </c>
      <c r="H17" s="65">
        <v>44825</v>
      </c>
      <c r="I17" s="90"/>
      <c r="J17" s="71"/>
      <c r="K17" s="72"/>
      <c r="L17" s="71"/>
      <c r="M17" s="72"/>
      <c r="N17" s="71"/>
      <c r="O17" s="72">
        <v>0.01</v>
      </c>
    </row>
    <row r="18" spans="1:16">
      <c r="A18" s="296"/>
      <c r="B18" s="296"/>
      <c r="C18" s="296"/>
      <c r="D18" s="66" t="s">
        <v>415</v>
      </c>
      <c r="E18" t="s">
        <v>443</v>
      </c>
      <c r="G18" t="s">
        <v>429</v>
      </c>
      <c r="H18" s="65">
        <v>44825</v>
      </c>
      <c r="I18" s="90"/>
      <c r="J18" s="71"/>
      <c r="K18" s="72"/>
      <c r="L18" s="71"/>
      <c r="M18" s="72"/>
      <c r="N18" s="71"/>
      <c r="O18" s="72">
        <v>6.1</v>
      </c>
    </row>
    <row r="19" spans="1:16">
      <c r="A19" s="296"/>
      <c r="B19" s="296"/>
      <c r="C19" s="296"/>
      <c r="D19" s="66" t="s">
        <v>487</v>
      </c>
      <c r="G19" t="s">
        <v>429</v>
      </c>
      <c r="H19" s="65">
        <v>44825</v>
      </c>
      <c r="I19" s="90"/>
      <c r="J19" s="71"/>
      <c r="K19" s="72"/>
      <c r="L19" s="71"/>
      <c r="M19" s="72"/>
      <c r="N19" s="71"/>
      <c r="O19" s="72">
        <v>64</v>
      </c>
    </row>
    <row r="20" spans="1:16">
      <c r="A20" s="296"/>
      <c r="B20" s="296"/>
      <c r="C20" s="296"/>
      <c r="D20" s="66" t="s">
        <v>417</v>
      </c>
      <c r="E20" t="s">
        <v>443</v>
      </c>
      <c r="G20" t="s">
        <v>79</v>
      </c>
      <c r="H20" s="65">
        <v>44825</v>
      </c>
      <c r="I20" s="90"/>
      <c r="J20" s="71"/>
      <c r="K20" s="72"/>
      <c r="L20" s="71"/>
      <c r="M20" s="72"/>
      <c r="N20" s="71">
        <f>SUM(N21:N25)+SUM(N31)</f>
        <v>97951000</v>
      </c>
      <c r="O20" s="72">
        <f>SUM(O21:O25)+SUM(O31)</f>
        <v>99339000</v>
      </c>
    </row>
    <row r="21" spans="1:16">
      <c r="A21" s="296"/>
      <c r="B21" s="296"/>
      <c r="C21" s="296"/>
      <c r="D21" s="66" t="s">
        <v>449</v>
      </c>
      <c r="E21" t="s">
        <v>462</v>
      </c>
      <c r="G21" t="s">
        <v>79</v>
      </c>
      <c r="H21" s="65">
        <v>44825</v>
      </c>
      <c r="I21" s="90"/>
      <c r="J21" s="71"/>
      <c r="K21" s="72"/>
      <c r="L21" s="71"/>
      <c r="M21" s="72"/>
      <c r="N21" s="71">
        <f>20364000</f>
        <v>20364000</v>
      </c>
      <c r="O21" s="72">
        <v>24537000</v>
      </c>
      <c r="P21" s="56"/>
    </row>
    <row r="22" spans="1:16">
      <c r="A22" s="296"/>
      <c r="B22" s="296"/>
      <c r="C22" s="296"/>
      <c r="D22" s="66" t="s">
        <v>449</v>
      </c>
      <c r="E22" t="s">
        <v>463</v>
      </c>
      <c r="G22" t="s">
        <v>79</v>
      </c>
      <c r="H22" s="65">
        <v>44825</v>
      </c>
      <c r="I22" s="90"/>
      <c r="J22" s="71"/>
      <c r="K22" s="72"/>
      <c r="L22" s="71"/>
      <c r="M22" s="72"/>
      <c r="N22" s="71">
        <f>31363000</f>
        <v>31363000</v>
      </c>
      <c r="O22" s="72">
        <v>25828000</v>
      </c>
      <c r="P22" s="56"/>
    </row>
    <row r="23" spans="1:16">
      <c r="A23" s="296"/>
      <c r="B23" s="296"/>
      <c r="C23" s="296"/>
      <c r="D23" s="66" t="s">
        <v>449</v>
      </c>
      <c r="E23" t="s">
        <v>464</v>
      </c>
      <c r="G23" t="s">
        <v>79</v>
      </c>
      <c r="H23" s="65">
        <v>44825</v>
      </c>
      <c r="I23" s="90"/>
      <c r="J23" s="71"/>
      <c r="K23" s="72"/>
      <c r="L23" s="71"/>
      <c r="M23" s="72"/>
      <c r="N23" s="71">
        <f>13107000</f>
        <v>13107000</v>
      </c>
      <c r="O23" s="72">
        <v>12517000</v>
      </c>
      <c r="P23" s="56"/>
    </row>
    <row r="24" spans="1:16">
      <c r="A24" s="296"/>
      <c r="B24" s="296"/>
      <c r="C24" s="296"/>
      <c r="D24" s="66" t="s">
        <v>449</v>
      </c>
      <c r="E24" t="s">
        <v>488</v>
      </c>
      <c r="G24" t="s">
        <v>79</v>
      </c>
      <c r="H24" s="65">
        <v>44825</v>
      </c>
      <c r="I24" s="90"/>
      <c r="J24" s="71"/>
      <c r="K24" s="72"/>
      <c r="L24" s="71"/>
      <c r="M24" s="72"/>
      <c r="N24" s="71">
        <v>30000</v>
      </c>
      <c r="O24" s="72">
        <v>99000</v>
      </c>
    </row>
    <row r="25" spans="1:16">
      <c r="A25" s="296"/>
      <c r="B25" s="296"/>
      <c r="C25" s="296"/>
      <c r="D25" s="66" t="s">
        <v>449</v>
      </c>
      <c r="E25" t="s">
        <v>471</v>
      </c>
      <c r="G25" t="s">
        <v>79</v>
      </c>
      <c r="H25" s="65">
        <v>44825</v>
      </c>
      <c r="I25" s="90"/>
      <c r="J25" s="71"/>
      <c r="K25" s="72"/>
      <c r="L25" s="71"/>
      <c r="M25" s="72"/>
      <c r="N25" s="71">
        <v>32905000</v>
      </c>
      <c r="O25" s="72">
        <v>36159000</v>
      </c>
      <c r="P25" s="56"/>
    </row>
    <row r="26" spans="1:16">
      <c r="A26" s="296"/>
      <c r="B26" s="296"/>
      <c r="C26" s="296"/>
      <c r="D26" s="66" t="s">
        <v>449</v>
      </c>
      <c r="E26" t="s">
        <v>489</v>
      </c>
      <c r="G26" t="s">
        <v>79</v>
      </c>
      <c r="H26" s="65">
        <v>44825</v>
      </c>
      <c r="I26" s="90"/>
      <c r="J26" s="71"/>
      <c r="K26" s="72"/>
      <c r="L26" s="71"/>
      <c r="M26" s="72"/>
      <c r="N26" s="71">
        <v>610000</v>
      </c>
      <c r="O26" s="72">
        <v>497000</v>
      </c>
    </row>
    <row r="27" spans="1:16">
      <c r="A27" s="296"/>
      <c r="B27" s="296"/>
      <c r="C27" s="296"/>
      <c r="D27" s="66" t="s">
        <v>449</v>
      </c>
      <c r="E27" t="s">
        <v>490</v>
      </c>
      <c r="G27" t="s">
        <v>79</v>
      </c>
      <c r="H27" s="65">
        <v>44825</v>
      </c>
      <c r="I27" s="90"/>
      <c r="J27" s="71"/>
      <c r="K27" s="72"/>
      <c r="L27" s="71"/>
      <c r="M27" s="72"/>
      <c r="N27" s="71">
        <v>0</v>
      </c>
      <c r="O27" s="72">
        <v>0</v>
      </c>
    </row>
    <row r="28" spans="1:16">
      <c r="A28" s="296"/>
      <c r="B28" s="296"/>
      <c r="C28" s="296"/>
      <c r="D28" s="66" t="s">
        <v>449</v>
      </c>
      <c r="E28" t="s">
        <v>466</v>
      </c>
      <c r="G28" t="s">
        <v>79</v>
      </c>
      <c r="H28" s="65">
        <v>44825</v>
      </c>
      <c r="I28" s="90"/>
      <c r="J28" s="71"/>
      <c r="K28" s="72"/>
      <c r="L28" s="71"/>
      <c r="M28" s="72"/>
      <c r="N28" s="71">
        <f>2925000</f>
        <v>2925000</v>
      </c>
      <c r="O28" s="72">
        <v>2483000</v>
      </c>
    </row>
    <row r="29" spans="1:16">
      <c r="A29" s="296"/>
      <c r="B29" s="296"/>
      <c r="C29" s="296"/>
      <c r="D29" s="66" t="s">
        <v>449</v>
      </c>
      <c r="E29" t="s">
        <v>468</v>
      </c>
      <c r="G29" t="s">
        <v>79</v>
      </c>
      <c r="H29" s="65">
        <v>44825</v>
      </c>
      <c r="I29" s="90"/>
      <c r="J29" s="71"/>
      <c r="K29" s="72"/>
      <c r="L29" s="71"/>
      <c r="M29" s="72"/>
      <c r="N29" s="71">
        <f>3361000</f>
        <v>3361000</v>
      </c>
      <c r="O29" s="72">
        <v>3676000</v>
      </c>
    </row>
    <row r="30" spans="1:16">
      <c r="A30" s="296"/>
      <c r="B30" s="296"/>
      <c r="C30" s="296"/>
      <c r="D30" s="66" t="s">
        <v>449</v>
      </c>
      <c r="E30" t="s">
        <v>469</v>
      </c>
      <c r="G30" t="s">
        <v>79</v>
      </c>
      <c r="H30" s="65">
        <v>44825</v>
      </c>
      <c r="I30" s="90"/>
      <c r="J30" s="71"/>
      <c r="K30" s="72"/>
      <c r="L30" s="71"/>
      <c r="M30" s="72"/>
      <c r="N30" s="71">
        <f>26010000</f>
        <v>26010000</v>
      </c>
      <c r="O30" s="72">
        <v>29503000</v>
      </c>
    </row>
    <row r="31" spans="1:16">
      <c r="A31" s="296"/>
      <c r="B31" s="296"/>
      <c r="C31" s="296"/>
      <c r="D31" s="66" t="s">
        <v>449</v>
      </c>
      <c r="E31" t="s">
        <v>470</v>
      </c>
      <c r="G31" t="s">
        <v>79</v>
      </c>
      <c r="H31" s="65">
        <v>44825</v>
      </c>
      <c r="I31" s="90"/>
      <c r="J31" s="71"/>
      <c r="K31" s="72"/>
      <c r="L31" s="71"/>
      <c r="M31" s="72"/>
      <c r="N31" s="71">
        <v>182000</v>
      </c>
      <c r="O31" s="72">
        <v>199000</v>
      </c>
    </row>
    <row r="32" spans="1:16">
      <c r="A32" s="296"/>
      <c r="B32" s="296"/>
      <c r="C32" s="296"/>
      <c r="D32" s="66" t="s">
        <v>418</v>
      </c>
      <c r="H32" s="65"/>
      <c r="I32" s="90"/>
      <c r="J32" s="71"/>
      <c r="K32" s="72"/>
      <c r="L32" s="71"/>
      <c r="M32" s="72"/>
      <c r="N32" s="71"/>
      <c r="O32" s="72" t="s">
        <v>479</v>
      </c>
    </row>
    <row r="33" spans="1:15">
      <c r="A33" s="296" t="s">
        <v>491</v>
      </c>
      <c r="B33" s="296" t="s">
        <v>306</v>
      </c>
      <c r="C33" s="296" t="s">
        <v>307</v>
      </c>
      <c r="D33" s="66" t="s">
        <v>411</v>
      </c>
      <c r="E33" t="s">
        <v>493</v>
      </c>
      <c r="G33" t="s">
        <v>428</v>
      </c>
      <c r="H33" s="65">
        <v>44726</v>
      </c>
      <c r="I33" s="90"/>
      <c r="J33" s="71"/>
      <c r="K33" s="72"/>
      <c r="L33" s="71"/>
      <c r="M33" s="72">
        <v>240200</v>
      </c>
      <c r="N33" s="71">
        <v>246700</v>
      </c>
      <c r="O33" s="72">
        <v>249460</v>
      </c>
    </row>
    <row r="34" spans="1:15">
      <c r="A34" s="296"/>
      <c r="B34" s="296"/>
      <c r="C34" s="296"/>
      <c r="D34" s="66" t="s">
        <v>412</v>
      </c>
      <c r="E34" t="s">
        <v>443</v>
      </c>
      <c r="G34" t="s">
        <v>429</v>
      </c>
      <c r="H34" s="65">
        <v>44726</v>
      </c>
      <c r="I34" s="90"/>
      <c r="J34" s="71"/>
      <c r="K34" s="72"/>
      <c r="L34" s="71"/>
      <c r="M34" s="72"/>
      <c r="N34" s="71"/>
      <c r="O34" s="72"/>
    </row>
    <row r="35" spans="1:15">
      <c r="A35" s="296"/>
      <c r="B35" s="296"/>
      <c r="C35" s="296"/>
      <c r="D35" s="66" t="s">
        <v>414</v>
      </c>
      <c r="E35" t="s">
        <v>413</v>
      </c>
      <c r="G35" t="s">
        <v>429</v>
      </c>
      <c r="H35" s="65">
        <v>44726</v>
      </c>
      <c r="I35" s="90"/>
      <c r="J35" s="71"/>
      <c r="K35" s="72"/>
      <c r="L35" s="71"/>
      <c r="M35" s="72"/>
      <c r="N35" s="71"/>
      <c r="O35" s="72"/>
    </row>
    <row r="36" spans="1:15">
      <c r="A36" s="296"/>
      <c r="B36" s="296"/>
      <c r="C36" s="296"/>
      <c r="D36" s="66" t="s">
        <v>415</v>
      </c>
      <c r="E36" t="s">
        <v>598</v>
      </c>
      <c r="G36" t="s">
        <v>429</v>
      </c>
      <c r="H36" s="65">
        <v>44825</v>
      </c>
      <c r="I36" s="90"/>
      <c r="J36" s="71"/>
      <c r="K36" s="72"/>
      <c r="L36" s="71"/>
      <c r="M36" s="72"/>
      <c r="N36" s="71"/>
      <c r="O36" s="72">
        <v>3</v>
      </c>
    </row>
    <row r="37" spans="1:15">
      <c r="A37" s="296"/>
      <c r="B37" s="296"/>
      <c r="C37" s="296"/>
      <c r="D37" s="66" t="s">
        <v>415</v>
      </c>
      <c r="E37" t="s">
        <v>486</v>
      </c>
      <c r="G37" t="s">
        <v>429</v>
      </c>
      <c r="H37" s="65">
        <v>44825</v>
      </c>
      <c r="I37" s="90"/>
      <c r="J37" s="71"/>
      <c r="K37" s="72"/>
      <c r="L37" s="71"/>
      <c r="M37" s="72"/>
      <c r="N37" s="71"/>
      <c r="O37" s="72">
        <v>14.65</v>
      </c>
    </row>
    <row r="38" spans="1:15">
      <c r="A38" s="296"/>
      <c r="B38" s="296"/>
      <c r="C38" s="296"/>
      <c r="D38" s="66" t="s">
        <v>415</v>
      </c>
      <c r="E38" t="s">
        <v>443</v>
      </c>
      <c r="G38" t="s">
        <v>429</v>
      </c>
      <c r="H38" s="65">
        <v>44825</v>
      </c>
      <c r="I38" s="90"/>
      <c r="J38" s="71"/>
      <c r="K38" s="72"/>
      <c r="L38" s="71"/>
      <c r="M38" s="72"/>
      <c r="N38" s="71"/>
      <c r="O38" s="72">
        <v>17.7</v>
      </c>
    </row>
    <row r="39" spans="1:15">
      <c r="A39" s="296"/>
      <c r="B39" s="296"/>
      <c r="C39" s="296"/>
      <c r="D39" s="66" t="s">
        <v>587</v>
      </c>
      <c r="G39" t="s">
        <v>617</v>
      </c>
      <c r="H39" s="65">
        <v>44726</v>
      </c>
      <c r="I39" s="90"/>
      <c r="J39" s="71"/>
      <c r="K39" s="72"/>
      <c r="L39" s="71"/>
      <c r="M39" s="72">
        <v>346500</v>
      </c>
      <c r="N39" s="71">
        <v>352300</v>
      </c>
      <c r="O39" s="72">
        <v>319798</v>
      </c>
    </row>
    <row r="40" spans="1:15">
      <c r="A40" s="296"/>
      <c r="B40" s="296"/>
      <c r="C40" s="296"/>
      <c r="D40" s="66" t="s">
        <v>418</v>
      </c>
      <c r="H40" s="65"/>
      <c r="I40" s="90"/>
      <c r="J40" s="71"/>
      <c r="K40" s="72"/>
      <c r="L40" s="71"/>
      <c r="M40" s="72"/>
      <c r="N40" s="71"/>
      <c r="O40" s="72" t="s">
        <v>479</v>
      </c>
    </row>
    <row r="41" spans="1:15">
      <c r="A41" s="296" t="s">
        <v>92</v>
      </c>
      <c r="B41" s="296" t="s">
        <v>93</v>
      </c>
      <c r="C41" s="296" t="s">
        <v>94</v>
      </c>
      <c r="D41" s="66" t="s">
        <v>411</v>
      </c>
      <c r="E41" t="s">
        <v>618</v>
      </c>
      <c r="G41" t="s">
        <v>427</v>
      </c>
      <c r="H41" s="65">
        <v>44561</v>
      </c>
      <c r="I41" s="90"/>
      <c r="J41" s="71"/>
      <c r="K41" s="72"/>
      <c r="L41" s="71"/>
      <c r="M41" s="72">
        <v>299</v>
      </c>
      <c r="N41" s="71">
        <v>236</v>
      </c>
      <c r="O41" s="72">
        <v>288</v>
      </c>
    </row>
    <row r="42" spans="1:15">
      <c r="A42" s="296"/>
      <c r="B42" s="296"/>
      <c r="C42" s="296"/>
      <c r="D42" s="66" t="s">
        <v>412</v>
      </c>
      <c r="E42" t="s">
        <v>413</v>
      </c>
      <c r="G42" t="s">
        <v>427</v>
      </c>
      <c r="H42" s="65">
        <v>44561</v>
      </c>
      <c r="I42" s="90"/>
      <c r="J42" s="71"/>
      <c r="K42" s="72"/>
      <c r="L42" s="71"/>
      <c r="M42" s="72">
        <v>51</v>
      </c>
      <c r="N42" s="71">
        <v>27</v>
      </c>
      <c r="O42" s="72">
        <v>31</v>
      </c>
    </row>
    <row r="43" spans="1:15">
      <c r="A43" s="296"/>
      <c r="B43" s="296"/>
      <c r="C43" s="296"/>
      <c r="D43" s="66" t="s">
        <v>414</v>
      </c>
      <c r="E43" t="s">
        <v>413</v>
      </c>
      <c r="G43" t="s">
        <v>427</v>
      </c>
      <c r="H43" s="65">
        <v>44561</v>
      </c>
      <c r="I43" s="90"/>
      <c r="J43" s="71"/>
      <c r="K43" s="72"/>
      <c r="L43" s="71"/>
      <c r="M43" s="72">
        <v>350</v>
      </c>
      <c r="N43" s="71">
        <v>263</v>
      </c>
      <c r="O43" s="72">
        <v>319</v>
      </c>
    </row>
    <row r="44" spans="1:15">
      <c r="A44" s="296"/>
      <c r="B44" s="296"/>
      <c r="C44" s="296"/>
      <c r="D44" s="66" t="s">
        <v>415</v>
      </c>
      <c r="E44" t="s">
        <v>416</v>
      </c>
      <c r="G44" t="s">
        <v>427</v>
      </c>
      <c r="H44" s="65">
        <v>44561</v>
      </c>
      <c r="I44" s="90"/>
      <c r="J44" s="71"/>
      <c r="K44" s="72"/>
      <c r="L44" s="71"/>
      <c r="M44" s="72"/>
      <c r="N44" s="71"/>
      <c r="O44" s="72"/>
    </row>
    <row r="45" spans="1:15">
      <c r="A45" s="296"/>
      <c r="B45" s="296"/>
      <c r="C45" s="296"/>
      <c r="D45" s="66" t="s">
        <v>417</v>
      </c>
      <c r="E45" t="s">
        <v>613</v>
      </c>
      <c r="G45" t="s">
        <v>614</v>
      </c>
      <c r="H45" s="65">
        <v>44561</v>
      </c>
      <c r="I45" s="90"/>
      <c r="J45" s="71"/>
      <c r="K45" s="72"/>
      <c r="L45" s="71"/>
      <c r="M45" s="72">
        <f>M43/2.93</f>
        <v>119.45392491467577</v>
      </c>
      <c r="N45" s="71">
        <f>N43/2.82</f>
        <v>93.262411347517741</v>
      </c>
      <c r="O45" s="72">
        <f>O43/3.98</f>
        <v>80.150753768844226</v>
      </c>
    </row>
    <row r="46" spans="1:15">
      <c r="A46" s="296"/>
      <c r="B46" s="296"/>
      <c r="C46" s="296"/>
      <c r="D46" s="66" t="s">
        <v>417</v>
      </c>
      <c r="E46" t="s">
        <v>612</v>
      </c>
      <c r="G46" t="s">
        <v>505</v>
      </c>
      <c r="H46" s="65">
        <v>44561</v>
      </c>
      <c r="I46" s="90"/>
      <c r="J46" s="71"/>
      <c r="K46" s="72"/>
      <c r="L46" s="71"/>
      <c r="M46" s="72">
        <f>M43/0.24</f>
        <v>1458.3333333333335</v>
      </c>
      <c r="N46" s="71">
        <f>N43/0.21</f>
        <v>1252.3809523809525</v>
      </c>
      <c r="O46" s="72">
        <f>O43/0.2</f>
        <v>1595</v>
      </c>
    </row>
    <row r="47" spans="1:15">
      <c r="A47" s="296"/>
      <c r="B47" s="296"/>
      <c r="C47" s="296"/>
      <c r="D47" s="66" t="s">
        <v>418</v>
      </c>
      <c r="H47" s="65"/>
      <c r="I47" s="90"/>
      <c r="J47" s="71"/>
      <c r="K47" s="72"/>
      <c r="L47" s="71"/>
      <c r="M47" s="72"/>
      <c r="N47" s="71"/>
      <c r="O47" s="74" t="s">
        <v>580</v>
      </c>
    </row>
  </sheetData>
  <mergeCells count="9">
    <mergeCell ref="A41:A47"/>
    <mergeCell ref="B41:B47"/>
    <mergeCell ref="C41:C47"/>
    <mergeCell ref="A2:A32"/>
    <mergeCell ref="B2:B32"/>
    <mergeCell ref="C2:C32"/>
    <mergeCell ref="A33:A40"/>
    <mergeCell ref="B33:B40"/>
    <mergeCell ref="C33:C40"/>
  </mergeCells>
  <hyperlinks>
    <hyperlink ref="O47" r:id="rId1" xr:uid="{35CC0069-BFDD-394A-BB7A-B9331455CD30}"/>
  </hyperlink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49"/>
  <sheetViews>
    <sheetView tabSelected="1" zoomScale="150" zoomScaleNormal="150" workbookViewId="0">
      <pane xSplit="1" ySplit="1" topLeftCell="B130" activePane="bottomRight" state="frozen"/>
      <selection pane="topRight" activeCell="B1" sqref="B1"/>
      <selection pane="bottomLeft" activeCell="A54" sqref="A54"/>
      <selection pane="bottomRight" activeCell="C133" sqref="C133"/>
    </sheetView>
  </sheetViews>
  <sheetFormatPr baseColWidth="10" defaultColWidth="8.6640625" defaultRowHeight="15"/>
  <cols>
    <col min="1" max="1" width="37.5" customWidth="1"/>
    <col min="2" max="2" width="25.5" style="1" customWidth="1"/>
    <col min="3" max="3" width="28.33203125" customWidth="1"/>
    <col min="4" max="4" width="7.6640625" customWidth="1"/>
    <col min="5" max="5" width="11.33203125" style="54" customWidth="1"/>
    <col min="6" max="6" width="10.33203125" style="54" customWidth="1"/>
    <col min="7" max="7" width="12" customWidth="1"/>
    <col min="8" max="8" width="14.6640625" customWidth="1"/>
    <col min="9" max="9" width="14.5" style="55" customWidth="1"/>
    <col min="10" max="10" width="18.5" customWidth="1"/>
    <col min="11" max="11" width="18.83203125" customWidth="1"/>
    <col min="12" max="12" width="10.33203125" customWidth="1"/>
    <col min="13" max="13" width="21.5" customWidth="1"/>
  </cols>
  <sheetData>
    <row r="1" spans="1:15">
      <c r="A1" s="2" t="s">
        <v>0</v>
      </c>
      <c r="B1" s="2" t="s">
        <v>1</v>
      </c>
      <c r="C1" s="2" t="s">
        <v>2</v>
      </c>
      <c r="D1" s="2" t="s">
        <v>3</v>
      </c>
      <c r="E1" s="5" t="s">
        <v>317</v>
      </c>
      <c r="F1" s="6" t="s">
        <v>318</v>
      </c>
      <c r="G1" s="6" t="s">
        <v>319</v>
      </c>
      <c r="H1" s="7" t="s">
        <v>320</v>
      </c>
      <c r="I1" s="6" t="s">
        <v>321</v>
      </c>
      <c r="J1" s="6" t="s">
        <v>322</v>
      </c>
      <c r="K1" s="6" t="s">
        <v>323</v>
      </c>
      <c r="L1" s="8" t="s">
        <v>324</v>
      </c>
      <c r="M1" s="8" t="s">
        <v>325</v>
      </c>
      <c r="N1" s="92" t="s">
        <v>418</v>
      </c>
      <c r="O1" s="92" t="s">
        <v>570</v>
      </c>
    </row>
    <row r="2" spans="1:15">
      <c r="A2" t="s">
        <v>49</v>
      </c>
      <c r="B2" s="9" t="s">
        <v>50</v>
      </c>
      <c r="C2" s="37" t="s">
        <v>51</v>
      </c>
      <c r="D2" t="s">
        <v>52</v>
      </c>
      <c r="E2" s="37">
        <v>2050</v>
      </c>
      <c r="F2" s="37" t="s">
        <v>326</v>
      </c>
      <c r="G2" s="37" t="s">
        <v>327</v>
      </c>
      <c r="H2" s="37">
        <v>2019</v>
      </c>
      <c r="I2">
        <v>2016</v>
      </c>
      <c r="J2" s="10">
        <v>0.67400000000000004</v>
      </c>
      <c r="K2" s="37" t="s">
        <v>430</v>
      </c>
      <c r="L2" s="37">
        <v>2040</v>
      </c>
      <c r="M2" s="11">
        <v>1</v>
      </c>
    </row>
    <row r="3" spans="1:15">
      <c r="A3" t="s">
        <v>49</v>
      </c>
      <c r="B3" s="1" t="s">
        <v>50</v>
      </c>
      <c r="C3" t="s">
        <v>51</v>
      </c>
      <c r="D3" t="s">
        <v>52</v>
      </c>
      <c r="E3" s="37">
        <v>2050</v>
      </c>
      <c r="F3" t="s">
        <v>328</v>
      </c>
      <c r="G3" t="s">
        <v>329</v>
      </c>
      <c r="H3" s="37">
        <v>2019</v>
      </c>
      <c r="I3">
        <v>2016</v>
      </c>
      <c r="J3" s="56">
        <v>70457</v>
      </c>
      <c r="K3" t="s">
        <v>427</v>
      </c>
      <c r="L3">
        <v>2050</v>
      </c>
      <c r="M3" s="57">
        <v>1</v>
      </c>
    </row>
    <row r="4" spans="1:15">
      <c r="A4" t="s">
        <v>49</v>
      </c>
      <c r="B4" s="1" t="s">
        <v>50</v>
      </c>
      <c r="C4" t="s">
        <v>51</v>
      </c>
      <c r="D4" t="s">
        <v>52</v>
      </c>
      <c r="E4" s="37">
        <v>2050</v>
      </c>
      <c r="F4" s="54" t="s">
        <v>326</v>
      </c>
      <c r="G4" t="s">
        <v>327</v>
      </c>
      <c r="H4" s="37">
        <v>2019</v>
      </c>
      <c r="I4">
        <v>2016</v>
      </c>
      <c r="J4">
        <v>0.67400000000000004</v>
      </c>
      <c r="K4" t="s">
        <v>430</v>
      </c>
      <c r="L4">
        <v>2030</v>
      </c>
      <c r="M4" s="57">
        <v>0.7</v>
      </c>
    </row>
    <row r="5" spans="1:15">
      <c r="A5" t="s">
        <v>58</v>
      </c>
      <c r="B5" s="1" t="s">
        <v>59</v>
      </c>
      <c r="C5" t="s">
        <v>60</v>
      </c>
      <c r="D5" t="s">
        <v>52</v>
      </c>
      <c r="E5" s="3">
        <v>2050</v>
      </c>
      <c r="F5" s="37" t="s">
        <v>328</v>
      </c>
      <c r="G5" s="37" t="s">
        <v>327</v>
      </c>
      <c r="H5" s="3"/>
      <c r="I5" s="3">
        <v>2005</v>
      </c>
      <c r="J5" s="10">
        <v>10178945</v>
      </c>
      <c r="K5" s="37" t="s">
        <v>428</v>
      </c>
      <c r="L5" s="3">
        <v>2050</v>
      </c>
      <c r="M5" s="12">
        <v>1</v>
      </c>
    </row>
    <row r="6" spans="1:15">
      <c r="A6" t="s">
        <v>63</v>
      </c>
      <c r="B6" s="1" t="s">
        <v>330</v>
      </c>
      <c r="C6" t="s">
        <v>65</v>
      </c>
      <c r="D6" t="s">
        <v>52</v>
      </c>
      <c r="E6" s="54">
        <v>2050</v>
      </c>
      <c r="F6" s="37" t="s">
        <v>326</v>
      </c>
      <c r="G6" t="s">
        <v>327</v>
      </c>
      <c r="I6" s="55">
        <v>2005</v>
      </c>
      <c r="J6">
        <f>(16*0.4+9*0.5)/(16+9)</f>
        <v>0.436</v>
      </c>
      <c r="K6" t="s">
        <v>430</v>
      </c>
      <c r="L6">
        <v>2030</v>
      </c>
      <c r="M6" s="57">
        <v>0.5</v>
      </c>
    </row>
    <row r="7" spans="1:15">
      <c r="A7" t="s">
        <v>66</v>
      </c>
      <c r="B7" s="1" t="s">
        <v>67</v>
      </c>
      <c r="C7" t="s">
        <v>1082</v>
      </c>
      <c r="D7" t="s">
        <v>52</v>
      </c>
      <c r="E7" s="54">
        <v>2050</v>
      </c>
      <c r="F7" s="37" t="s">
        <v>326</v>
      </c>
      <c r="G7" t="s">
        <v>327</v>
      </c>
      <c r="H7" s="37">
        <v>2021</v>
      </c>
      <c r="I7" s="55">
        <v>2021</v>
      </c>
      <c r="J7" s="87">
        <v>0.77</v>
      </c>
      <c r="K7" t="s">
        <v>430</v>
      </c>
      <c r="L7">
        <v>2030</v>
      </c>
      <c r="M7" s="57">
        <f>(0.77-0.46)/0.77</f>
        <v>0.40259740259740256</v>
      </c>
    </row>
    <row r="8" spans="1:15">
      <c r="A8" t="s">
        <v>1084</v>
      </c>
      <c r="B8" s="1" t="s">
        <v>67</v>
      </c>
      <c r="C8" t="s">
        <v>1082</v>
      </c>
      <c r="D8" t="s">
        <v>52</v>
      </c>
      <c r="E8" s="54">
        <v>2050</v>
      </c>
      <c r="F8" s="37" t="s">
        <v>326</v>
      </c>
      <c r="G8" t="s">
        <v>327</v>
      </c>
      <c r="H8" s="37">
        <v>2021</v>
      </c>
      <c r="I8" s="55">
        <v>2021</v>
      </c>
      <c r="J8" s="87">
        <v>0.77</v>
      </c>
      <c r="K8" t="s">
        <v>430</v>
      </c>
      <c r="L8">
        <v>2040</v>
      </c>
      <c r="M8" s="57">
        <f>(0.77-0.18)/0.77</f>
        <v>0.76623376623376627</v>
      </c>
    </row>
    <row r="9" spans="1:15" s="45" customFormat="1">
      <c r="A9" s="45" t="s">
        <v>1084</v>
      </c>
      <c r="B9" s="46" t="s">
        <v>67</v>
      </c>
      <c r="C9" s="238" t="s">
        <v>1082</v>
      </c>
      <c r="D9" s="45" t="s">
        <v>52</v>
      </c>
      <c r="E9" s="47">
        <v>2050</v>
      </c>
      <c r="F9" s="50" t="s">
        <v>328</v>
      </c>
      <c r="G9" s="45" t="s">
        <v>332</v>
      </c>
      <c r="H9" s="50">
        <v>2021</v>
      </c>
      <c r="I9" s="48">
        <v>2021</v>
      </c>
      <c r="J9" s="49">
        <v>5443846</v>
      </c>
      <c r="K9" s="45" t="s">
        <v>428</v>
      </c>
      <c r="L9" s="45">
        <v>2040</v>
      </c>
      <c r="M9" s="51">
        <v>0.01</v>
      </c>
    </row>
    <row r="10" spans="1:15" s="45" customFormat="1">
      <c r="A10" s="45" t="s">
        <v>1085</v>
      </c>
      <c r="B10" s="46" t="s">
        <v>67</v>
      </c>
      <c r="C10" s="45" t="s">
        <v>1083</v>
      </c>
      <c r="D10" s="45" t="s">
        <v>52</v>
      </c>
      <c r="E10" s="47">
        <v>2050</v>
      </c>
      <c r="F10" s="50" t="s">
        <v>328</v>
      </c>
      <c r="G10" s="45" t="s">
        <v>329</v>
      </c>
      <c r="H10" s="50">
        <v>2021</v>
      </c>
      <c r="I10" s="48">
        <v>2021</v>
      </c>
      <c r="J10" s="162">
        <v>10</v>
      </c>
      <c r="K10" s="45" t="s">
        <v>429</v>
      </c>
      <c r="L10" s="45">
        <v>2050</v>
      </c>
      <c r="M10" s="51">
        <v>1</v>
      </c>
    </row>
    <row r="11" spans="1:15">
      <c r="A11" t="s">
        <v>69</v>
      </c>
      <c r="B11" s="1" t="s">
        <v>70</v>
      </c>
      <c r="C11" t="s">
        <v>71</v>
      </c>
      <c r="D11" t="s">
        <v>52</v>
      </c>
      <c r="E11" s="54">
        <v>2050</v>
      </c>
      <c r="F11" s="54" t="s">
        <v>328</v>
      </c>
      <c r="G11" t="s">
        <v>331</v>
      </c>
      <c r="I11" s="55">
        <v>2000</v>
      </c>
      <c r="J11" s="54">
        <v>167000000</v>
      </c>
      <c r="K11" s="37" t="s">
        <v>428</v>
      </c>
      <c r="L11">
        <v>2030</v>
      </c>
      <c r="M11" s="57">
        <v>0.8</v>
      </c>
    </row>
    <row r="12" spans="1:15">
      <c r="A12" t="s">
        <v>72</v>
      </c>
      <c r="B12" s="1" t="s">
        <v>73</v>
      </c>
      <c r="C12" t="s">
        <v>74</v>
      </c>
      <c r="D12" t="s">
        <v>52</v>
      </c>
      <c r="E12" s="54">
        <v>2035</v>
      </c>
      <c r="F12" s="54" t="s">
        <v>328</v>
      </c>
      <c r="G12" t="s">
        <v>331</v>
      </c>
      <c r="I12" s="55">
        <v>2015</v>
      </c>
      <c r="J12" s="10">
        <v>31.587793000000001</v>
      </c>
      <c r="K12" s="37" t="s">
        <v>429</v>
      </c>
      <c r="L12">
        <v>2025</v>
      </c>
      <c r="M12" s="57">
        <v>0.35</v>
      </c>
    </row>
    <row r="13" spans="1:15">
      <c r="A13" t="s">
        <v>1206</v>
      </c>
      <c r="B13" s="1" t="s">
        <v>73</v>
      </c>
      <c r="C13" t="s">
        <v>1207</v>
      </c>
      <c r="D13" t="s">
        <v>52</v>
      </c>
      <c r="E13" s="54">
        <v>2035</v>
      </c>
      <c r="F13" s="54" t="s">
        <v>328</v>
      </c>
      <c r="G13" t="s">
        <v>331</v>
      </c>
      <c r="I13" s="55">
        <v>2015</v>
      </c>
      <c r="J13" s="10">
        <v>1</v>
      </c>
      <c r="K13" s="37" t="s">
        <v>429</v>
      </c>
      <c r="L13">
        <v>2025</v>
      </c>
      <c r="M13" s="57">
        <v>0.35</v>
      </c>
    </row>
    <row r="14" spans="1:15">
      <c r="A14" t="s">
        <v>76</v>
      </c>
      <c r="B14" s="1" t="s">
        <v>77</v>
      </c>
      <c r="C14" t="s">
        <v>78</v>
      </c>
      <c r="D14" t="s">
        <v>52</v>
      </c>
      <c r="E14" s="54">
        <v>2035</v>
      </c>
      <c r="F14" s="54" t="s">
        <v>328</v>
      </c>
      <c r="G14" t="s">
        <v>331</v>
      </c>
      <c r="I14" s="48">
        <v>2020</v>
      </c>
      <c r="J14" s="45">
        <f>'ITR V2 esg data'!O120</f>
        <v>4036591</v>
      </c>
      <c r="K14" s="37" t="s">
        <v>428</v>
      </c>
      <c r="L14">
        <v>2035</v>
      </c>
      <c r="M14" s="57">
        <v>1</v>
      </c>
    </row>
    <row r="15" spans="1:15">
      <c r="A15" t="s">
        <v>80</v>
      </c>
      <c r="B15" s="1" t="s">
        <v>81</v>
      </c>
      <c r="C15" t="s">
        <v>82</v>
      </c>
      <c r="D15" t="s">
        <v>83</v>
      </c>
      <c r="E15" s="54">
        <v>2050</v>
      </c>
      <c r="F15" s="54" t="s">
        <v>326</v>
      </c>
      <c r="G15" t="s">
        <v>332</v>
      </c>
      <c r="H15">
        <v>2021</v>
      </c>
      <c r="I15" s="55">
        <v>2019</v>
      </c>
      <c r="J15">
        <v>127</v>
      </c>
      <c r="K15" t="s">
        <v>431</v>
      </c>
      <c r="L15">
        <v>2030</v>
      </c>
      <c r="M15" s="57">
        <v>0.5</v>
      </c>
    </row>
    <row r="16" spans="1:15">
      <c r="A16" t="s">
        <v>80</v>
      </c>
      <c r="B16" s="1" t="s">
        <v>81</v>
      </c>
      <c r="C16" t="s">
        <v>82</v>
      </c>
      <c r="D16" t="s">
        <v>83</v>
      </c>
      <c r="E16" s="54">
        <v>2050</v>
      </c>
      <c r="F16" s="54" t="s">
        <v>328</v>
      </c>
      <c r="G16" t="s">
        <v>327</v>
      </c>
      <c r="H16">
        <v>2021</v>
      </c>
      <c r="I16" s="55">
        <v>2019</v>
      </c>
      <c r="J16">
        <v>834562</v>
      </c>
      <c r="K16" s="37" t="s">
        <v>428</v>
      </c>
      <c r="L16">
        <v>2030</v>
      </c>
      <c r="M16" s="57">
        <v>0.8</v>
      </c>
    </row>
    <row r="17" spans="1:13">
      <c r="A17" t="s">
        <v>86</v>
      </c>
      <c r="B17" s="1" t="s">
        <v>87</v>
      </c>
      <c r="C17" t="s">
        <v>88</v>
      </c>
      <c r="D17" t="s">
        <v>89</v>
      </c>
      <c r="E17" s="54">
        <v>2050</v>
      </c>
      <c r="F17" s="54" t="s">
        <v>328</v>
      </c>
      <c r="G17" t="s">
        <v>327</v>
      </c>
      <c r="H17">
        <v>2021</v>
      </c>
      <c r="I17" s="55">
        <v>2019</v>
      </c>
      <c r="J17">
        <f>'ITR V2 esg data'!N167+'ITR V2 esg data'!N168</f>
        <v>1000.6710084033614</v>
      </c>
      <c r="K17" s="37" t="s">
        <v>429</v>
      </c>
      <c r="L17">
        <v>2030</v>
      </c>
      <c r="M17" s="57">
        <v>0.5</v>
      </c>
    </row>
    <row r="18" spans="1:13">
      <c r="A18" t="s">
        <v>92</v>
      </c>
      <c r="B18" s="1" t="s">
        <v>93</v>
      </c>
      <c r="C18" t="s">
        <v>94</v>
      </c>
      <c r="D18" t="s">
        <v>52</v>
      </c>
      <c r="F18" s="54" t="s">
        <v>326</v>
      </c>
      <c r="G18" t="s">
        <v>327</v>
      </c>
      <c r="H18">
        <v>2021</v>
      </c>
      <c r="I18" s="55">
        <v>2019</v>
      </c>
      <c r="J18">
        <v>2.93</v>
      </c>
      <c r="K18" s="37" t="s">
        <v>608</v>
      </c>
      <c r="L18">
        <v>2035</v>
      </c>
      <c r="M18" s="57">
        <v>0.3</v>
      </c>
    </row>
    <row r="19" spans="1:13">
      <c r="A19" t="s">
        <v>97</v>
      </c>
      <c r="B19" s="1" t="s">
        <v>98</v>
      </c>
      <c r="C19" t="s">
        <v>99</v>
      </c>
      <c r="D19" t="s">
        <v>52</v>
      </c>
      <c r="F19" s="54" t="s">
        <v>326</v>
      </c>
      <c r="G19" t="s">
        <v>327</v>
      </c>
      <c r="H19">
        <v>2021</v>
      </c>
      <c r="I19" s="55">
        <v>2017</v>
      </c>
      <c r="J19">
        <v>73.8</v>
      </c>
      <c r="K19" s="37" t="s">
        <v>433</v>
      </c>
      <c r="L19">
        <v>2028</v>
      </c>
      <c r="M19" s="57">
        <f>73.8/71-1</f>
        <v>3.9436619718309807E-2</v>
      </c>
    </row>
    <row r="20" spans="1:13">
      <c r="A20" t="s">
        <v>100</v>
      </c>
      <c r="B20" s="1" t="s">
        <v>101</v>
      </c>
      <c r="C20" t="s">
        <v>102</v>
      </c>
      <c r="D20" t="s">
        <v>52</v>
      </c>
      <c r="F20" s="54" t="s">
        <v>326</v>
      </c>
      <c r="G20" t="s">
        <v>327</v>
      </c>
      <c r="H20">
        <v>2021</v>
      </c>
      <c r="I20" s="55">
        <v>2017</v>
      </c>
      <c r="J20">
        <f>36830868.09/90796200</f>
        <v>0.40564327681114409</v>
      </c>
      <c r="K20" s="37" t="s">
        <v>432</v>
      </c>
      <c r="L20">
        <v>2030</v>
      </c>
      <c r="M20" s="57">
        <v>0.25</v>
      </c>
    </row>
    <row r="21" spans="1:13">
      <c r="A21" t="s">
        <v>103</v>
      </c>
      <c r="B21" s="1" t="s">
        <v>104</v>
      </c>
      <c r="C21" t="s">
        <v>105</v>
      </c>
      <c r="D21" t="s">
        <v>52</v>
      </c>
      <c r="F21" t="s">
        <v>328</v>
      </c>
      <c r="G21" t="s">
        <v>327</v>
      </c>
      <c r="H21">
        <v>2020</v>
      </c>
      <c r="I21" s="55">
        <v>2005</v>
      </c>
      <c r="J21">
        <v>25218000</v>
      </c>
      <c r="K21" t="s">
        <v>428</v>
      </c>
      <c r="L21">
        <v>2040</v>
      </c>
      <c r="M21" s="57">
        <v>1</v>
      </c>
    </row>
    <row r="22" spans="1:13">
      <c r="A22" t="s">
        <v>106</v>
      </c>
      <c r="B22" s="1" t="s">
        <v>107</v>
      </c>
      <c r="C22" t="s">
        <v>108</v>
      </c>
      <c r="D22" t="s">
        <v>52</v>
      </c>
      <c r="F22" s="54" t="s">
        <v>326</v>
      </c>
      <c r="G22" t="s">
        <v>327</v>
      </c>
      <c r="H22">
        <v>2021</v>
      </c>
      <c r="I22" s="55">
        <v>2019</v>
      </c>
      <c r="J22">
        <v>0.48099999999999998</v>
      </c>
      <c r="K22" s="37" t="s">
        <v>432</v>
      </c>
      <c r="L22">
        <v>2030</v>
      </c>
      <c r="M22" s="57">
        <v>0.2</v>
      </c>
    </row>
    <row r="23" spans="1:13">
      <c r="A23" t="s">
        <v>109</v>
      </c>
      <c r="B23" s="1" t="s">
        <v>110</v>
      </c>
      <c r="C23" t="s">
        <v>111</v>
      </c>
      <c r="D23" t="s">
        <v>52</v>
      </c>
      <c r="E23" s="54">
        <v>2050</v>
      </c>
      <c r="F23" s="54" t="s">
        <v>328</v>
      </c>
      <c r="G23" t="s">
        <v>331</v>
      </c>
      <c r="I23" s="55">
        <v>2011</v>
      </c>
      <c r="J23">
        <v>24000000</v>
      </c>
      <c r="K23" s="37" t="s">
        <v>428</v>
      </c>
      <c r="L23">
        <v>2030</v>
      </c>
      <c r="M23" s="57">
        <v>0.6</v>
      </c>
    </row>
    <row r="24" spans="1:13">
      <c r="A24" t="s">
        <v>112</v>
      </c>
      <c r="B24" s="1" t="s">
        <v>113</v>
      </c>
      <c r="C24" t="s">
        <v>114</v>
      </c>
      <c r="D24" t="s">
        <v>52</v>
      </c>
      <c r="E24" s="54">
        <v>2040</v>
      </c>
      <c r="F24" s="54" t="s">
        <v>328</v>
      </c>
      <c r="G24" t="s">
        <v>331</v>
      </c>
      <c r="H24">
        <v>2021</v>
      </c>
      <c r="I24" s="55">
        <v>2020</v>
      </c>
      <c r="J24">
        <v>1.32787923872953</v>
      </c>
      <c r="K24" t="s">
        <v>429</v>
      </c>
      <c r="L24">
        <v>2040</v>
      </c>
      <c r="M24" s="57">
        <v>1</v>
      </c>
    </row>
    <row r="25" spans="1:13">
      <c r="A25" t="s">
        <v>118</v>
      </c>
      <c r="B25" s="1" t="s">
        <v>119</v>
      </c>
      <c r="C25" t="s">
        <v>120</v>
      </c>
      <c r="D25" t="s">
        <v>52</v>
      </c>
      <c r="E25" s="54">
        <v>2050</v>
      </c>
      <c r="F25" s="54" t="s">
        <v>328</v>
      </c>
      <c r="G25" t="s">
        <v>331</v>
      </c>
      <c r="H25">
        <v>2021</v>
      </c>
      <c r="I25" s="55">
        <v>2005</v>
      </c>
      <c r="J25">
        <v>59.347999999999999</v>
      </c>
      <c r="K25" s="37" t="s">
        <v>429</v>
      </c>
      <c r="L25">
        <v>2030</v>
      </c>
      <c r="M25" s="57">
        <v>0.55000000000000004</v>
      </c>
    </row>
    <row r="26" spans="1:13">
      <c r="A26" t="s">
        <v>1079</v>
      </c>
      <c r="B26" s="1" t="s">
        <v>116</v>
      </c>
      <c r="C26" t="s">
        <v>1077</v>
      </c>
      <c r="D26" t="s">
        <v>52</v>
      </c>
      <c r="E26" s="54">
        <v>2050</v>
      </c>
      <c r="F26" s="54" t="s">
        <v>328</v>
      </c>
      <c r="G26" t="s">
        <v>331</v>
      </c>
      <c r="H26">
        <v>2017</v>
      </c>
      <c r="I26" s="55">
        <v>2005</v>
      </c>
      <c r="J26">
        <v>37150000</v>
      </c>
      <c r="K26" s="37" t="s">
        <v>428</v>
      </c>
      <c r="L26">
        <v>2023</v>
      </c>
      <c r="M26" s="57">
        <v>0.32</v>
      </c>
    </row>
    <row r="27" spans="1:13">
      <c r="A27" t="s">
        <v>1079</v>
      </c>
      <c r="B27" s="1" t="s">
        <v>116</v>
      </c>
      <c r="C27" t="s">
        <v>1077</v>
      </c>
      <c r="D27" t="s">
        <v>52</v>
      </c>
      <c r="E27" s="54">
        <v>2050</v>
      </c>
      <c r="F27" s="54" t="s">
        <v>328</v>
      </c>
      <c r="G27" t="s">
        <v>331</v>
      </c>
      <c r="H27">
        <v>2017</v>
      </c>
      <c r="I27" s="55">
        <v>2005</v>
      </c>
      <c r="J27">
        <v>37150000</v>
      </c>
      <c r="K27" s="37" t="s">
        <v>428</v>
      </c>
      <c r="L27">
        <v>2028</v>
      </c>
      <c r="M27" s="57">
        <v>0.65</v>
      </c>
    </row>
    <row r="28" spans="1:13">
      <c r="A28" t="s">
        <v>1079</v>
      </c>
      <c r="B28" s="1" t="s">
        <v>116</v>
      </c>
      <c r="C28" t="s">
        <v>1077</v>
      </c>
      <c r="D28" t="s">
        <v>52</v>
      </c>
      <c r="E28" s="54">
        <v>2050</v>
      </c>
      <c r="F28" s="54" t="s">
        <v>328</v>
      </c>
      <c r="G28" t="s">
        <v>331</v>
      </c>
      <c r="H28">
        <v>2017</v>
      </c>
      <c r="I28" s="55">
        <v>2005</v>
      </c>
      <c r="J28">
        <v>37150000</v>
      </c>
      <c r="K28" s="37" t="s">
        <v>428</v>
      </c>
      <c r="L28">
        <v>2035</v>
      </c>
      <c r="M28" s="57">
        <v>0.85</v>
      </c>
    </row>
    <row r="29" spans="1:13">
      <c r="A29" t="s">
        <v>1079</v>
      </c>
      <c r="B29" s="1" t="s">
        <v>116</v>
      </c>
      <c r="C29" t="s">
        <v>1077</v>
      </c>
      <c r="D29" t="s">
        <v>52</v>
      </c>
      <c r="E29" s="54">
        <v>2050</v>
      </c>
      <c r="F29" s="54" t="s">
        <v>328</v>
      </c>
      <c r="G29" t="s">
        <v>331</v>
      </c>
      <c r="H29">
        <v>2017</v>
      </c>
      <c r="I29" s="55">
        <v>2005</v>
      </c>
      <c r="J29">
        <v>37150000</v>
      </c>
      <c r="K29" s="37" t="s">
        <v>428</v>
      </c>
      <c r="L29">
        <v>2040</v>
      </c>
      <c r="M29" s="57">
        <v>0.9</v>
      </c>
    </row>
    <row r="30" spans="1:13">
      <c r="A30" t="s">
        <v>1079</v>
      </c>
      <c r="B30" s="1" t="s">
        <v>116</v>
      </c>
      <c r="C30" t="s">
        <v>1077</v>
      </c>
      <c r="D30" t="s">
        <v>52</v>
      </c>
      <c r="E30" s="54">
        <v>2050</v>
      </c>
      <c r="F30" s="54" t="s">
        <v>328</v>
      </c>
      <c r="G30" t="s">
        <v>331</v>
      </c>
      <c r="H30">
        <v>2017</v>
      </c>
      <c r="I30" s="55">
        <v>2005</v>
      </c>
      <c r="J30">
        <v>37150000</v>
      </c>
      <c r="K30" s="37" t="s">
        <v>428</v>
      </c>
      <c r="L30">
        <v>2050</v>
      </c>
      <c r="M30" s="57">
        <v>1</v>
      </c>
    </row>
    <row r="31" spans="1:13">
      <c r="A31" t="s">
        <v>1080</v>
      </c>
      <c r="B31" s="1" t="s">
        <v>116</v>
      </c>
      <c r="C31" t="s">
        <v>1078</v>
      </c>
      <c r="D31" t="s">
        <v>52</v>
      </c>
      <c r="E31" s="54">
        <v>2050</v>
      </c>
      <c r="F31" s="54" t="s">
        <v>328</v>
      </c>
      <c r="G31" t="s">
        <v>332</v>
      </c>
      <c r="H31">
        <v>2017</v>
      </c>
      <c r="I31" s="55">
        <v>2005</v>
      </c>
      <c r="J31" s="55">
        <v>770000</v>
      </c>
      <c r="K31" s="37" t="s">
        <v>428</v>
      </c>
      <c r="L31">
        <v>2050</v>
      </c>
      <c r="M31" s="57">
        <v>1</v>
      </c>
    </row>
    <row r="32" spans="1:13">
      <c r="A32" t="s">
        <v>1080</v>
      </c>
      <c r="B32" s="1" t="s">
        <v>116</v>
      </c>
      <c r="C32" t="s">
        <v>1078</v>
      </c>
      <c r="D32" t="s">
        <v>52</v>
      </c>
      <c r="E32" s="54">
        <v>2050</v>
      </c>
      <c r="F32" s="54" t="s">
        <v>328</v>
      </c>
      <c r="G32" t="s">
        <v>331</v>
      </c>
      <c r="H32">
        <v>2017</v>
      </c>
      <c r="I32" s="55">
        <v>2005</v>
      </c>
      <c r="J32">
        <v>770000</v>
      </c>
      <c r="K32" s="37" t="s">
        <v>428</v>
      </c>
      <c r="L32">
        <v>2050</v>
      </c>
      <c r="M32" s="57">
        <v>1</v>
      </c>
    </row>
    <row r="33" spans="1:15">
      <c r="A33" t="s">
        <v>1080</v>
      </c>
      <c r="B33" s="1" t="s">
        <v>116</v>
      </c>
      <c r="C33" t="s">
        <v>1078</v>
      </c>
      <c r="D33" t="s">
        <v>52</v>
      </c>
      <c r="E33" s="54">
        <v>2050</v>
      </c>
      <c r="F33" s="54" t="s">
        <v>328</v>
      </c>
      <c r="G33" t="s">
        <v>332</v>
      </c>
      <c r="H33">
        <v>2017</v>
      </c>
      <c r="I33" s="55">
        <v>2020</v>
      </c>
      <c r="J33" s="55">
        <f>279687*54.87</f>
        <v>15346425.689999999</v>
      </c>
      <c r="K33" s="37" t="s">
        <v>428</v>
      </c>
      <c r="L33">
        <v>2040</v>
      </c>
      <c r="M33" s="57">
        <v>0.35</v>
      </c>
    </row>
    <row r="34" spans="1:15">
      <c r="A34" t="s">
        <v>121</v>
      </c>
      <c r="B34" s="1" t="s">
        <v>122</v>
      </c>
      <c r="C34" t="s">
        <v>1271</v>
      </c>
      <c r="D34" t="s">
        <v>52</v>
      </c>
      <c r="E34" s="54">
        <v>2050</v>
      </c>
      <c r="F34" s="54" t="s">
        <v>328</v>
      </c>
      <c r="G34" t="s">
        <v>331</v>
      </c>
      <c r="H34">
        <v>2021</v>
      </c>
      <c r="I34" s="55">
        <v>2005</v>
      </c>
      <c r="J34">
        <v>139000000</v>
      </c>
      <c r="K34" s="37" t="s">
        <v>428</v>
      </c>
      <c r="L34">
        <v>2030</v>
      </c>
      <c r="M34" s="57">
        <v>0.5</v>
      </c>
    </row>
    <row r="35" spans="1:15">
      <c r="A35" t="s">
        <v>121</v>
      </c>
      <c r="B35" s="1" t="s">
        <v>122</v>
      </c>
      <c r="C35" t="s">
        <v>1271</v>
      </c>
      <c r="D35" t="s">
        <v>52</v>
      </c>
      <c r="E35" s="54">
        <v>2050</v>
      </c>
      <c r="F35" s="54" t="s">
        <v>328</v>
      </c>
      <c r="G35" t="s">
        <v>331</v>
      </c>
      <c r="H35">
        <v>2021</v>
      </c>
      <c r="I35" s="55">
        <v>2005</v>
      </c>
      <c r="J35">
        <v>139000000</v>
      </c>
      <c r="K35" s="37" t="s">
        <v>428</v>
      </c>
      <c r="L35">
        <v>2040</v>
      </c>
      <c r="M35" s="57">
        <v>0.8</v>
      </c>
    </row>
    <row r="36" spans="1:15">
      <c r="A36" t="s">
        <v>121</v>
      </c>
      <c r="B36" s="1" t="s">
        <v>122</v>
      </c>
      <c r="C36" t="s">
        <v>1271</v>
      </c>
      <c r="D36" t="s">
        <v>52</v>
      </c>
      <c r="E36" s="54">
        <v>2050</v>
      </c>
      <c r="F36" s="54" t="s">
        <v>328</v>
      </c>
      <c r="G36" t="s">
        <v>333</v>
      </c>
      <c r="H36">
        <v>2021</v>
      </c>
      <c r="I36" s="55">
        <v>2005</v>
      </c>
      <c r="J36">
        <v>428</v>
      </c>
      <c r="K36" s="37" t="s">
        <v>427</v>
      </c>
      <c r="L36">
        <v>2030</v>
      </c>
      <c r="M36" s="57">
        <v>0.5</v>
      </c>
    </row>
    <row r="37" spans="1:15">
      <c r="A37" t="s">
        <v>121</v>
      </c>
      <c r="B37" s="1" t="s">
        <v>122</v>
      </c>
      <c r="C37" t="s">
        <v>1272</v>
      </c>
      <c r="D37" t="s">
        <v>52</v>
      </c>
      <c r="E37" s="54">
        <v>2050</v>
      </c>
      <c r="F37" s="54" t="s">
        <v>328</v>
      </c>
      <c r="G37" t="s">
        <v>332</v>
      </c>
      <c r="H37">
        <v>2021</v>
      </c>
      <c r="I37" s="48">
        <v>2019</v>
      </c>
      <c r="J37">
        <v>26428</v>
      </c>
      <c r="K37" s="37" t="s">
        <v>428</v>
      </c>
      <c r="L37">
        <v>2050</v>
      </c>
      <c r="M37" s="57">
        <v>1</v>
      </c>
    </row>
    <row r="38" spans="1:15">
      <c r="A38" t="s">
        <v>124</v>
      </c>
      <c r="B38" s="1" t="s">
        <v>125</v>
      </c>
      <c r="C38" t="s">
        <v>126</v>
      </c>
      <c r="D38" t="s">
        <v>127</v>
      </c>
      <c r="E38" s="54">
        <v>2050</v>
      </c>
      <c r="F38" s="54" t="s">
        <v>328</v>
      </c>
      <c r="G38" t="s">
        <v>327</v>
      </c>
      <c r="H38">
        <v>2020</v>
      </c>
      <c r="I38" s="55">
        <v>2017</v>
      </c>
      <c r="J38">
        <v>51</v>
      </c>
      <c r="K38" s="37" t="s">
        <v>429</v>
      </c>
      <c r="L38">
        <v>2023</v>
      </c>
      <c r="M38" s="57">
        <v>0.4</v>
      </c>
    </row>
    <row r="39" spans="1:15">
      <c r="A39" t="s">
        <v>124</v>
      </c>
      <c r="B39" s="1" t="s">
        <v>125</v>
      </c>
      <c r="C39" t="s">
        <v>126</v>
      </c>
      <c r="D39" t="s">
        <v>127</v>
      </c>
      <c r="E39" s="54">
        <v>2050</v>
      </c>
      <c r="F39" s="54" t="s">
        <v>328</v>
      </c>
      <c r="G39" t="s">
        <v>332</v>
      </c>
      <c r="H39">
        <v>2020</v>
      </c>
      <c r="I39" s="55">
        <v>2019</v>
      </c>
      <c r="J39">
        <v>119</v>
      </c>
      <c r="K39" s="37" t="s">
        <v>429</v>
      </c>
      <c r="L39">
        <v>2023</v>
      </c>
      <c r="M39" s="57">
        <v>0.08</v>
      </c>
    </row>
    <row r="40" spans="1:15">
      <c r="A40" t="s">
        <v>124</v>
      </c>
      <c r="B40" s="1" t="s">
        <v>125</v>
      </c>
      <c r="C40" t="s">
        <v>126</v>
      </c>
      <c r="D40" t="s">
        <v>127</v>
      </c>
      <c r="E40" s="54">
        <v>2050</v>
      </c>
      <c r="F40" s="54" t="s">
        <v>328</v>
      </c>
      <c r="G40" t="s">
        <v>327</v>
      </c>
      <c r="H40">
        <v>2020</v>
      </c>
      <c r="I40" s="55">
        <v>2017</v>
      </c>
      <c r="J40">
        <v>51</v>
      </c>
      <c r="K40" s="37" t="s">
        <v>429</v>
      </c>
      <c r="L40">
        <v>2030</v>
      </c>
      <c r="M40" s="57">
        <v>0.5</v>
      </c>
    </row>
    <row r="41" spans="1:15">
      <c r="A41" t="s">
        <v>124</v>
      </c>
      <c r="B41" s="1" t="s">
        <v>125</v>
      </c>
      <c r="C41" t="s">
        <v>126</v>
      </c>
      <c r="D41" t="s">
        <v>127</v>
      </c>
      <c r="E41" s="54">
        <v>2050</v>
      </c>
      <c r="F41" s="54" t="s">
        <v>328</v>
      </c>
      <c r="G41" t="s">
        <v>332</v>
      </c>
      <c r="H41">
        <v>2020</v>
      </c>
      <c r="I41" s="55">
        <v>2019</v>
      </c>
      <c r="J41">
        <v>119</v>
      </c>
      <c r="K41" s="37" t="s">
        <v>429</v>
      </c>
      <c r="L41">
        <v>2030</v>
      </c>
      <c r="M41" s="57">
        <v>0.28000000000000003</v>
      </c>
    </row>
    <row r="42" spans="1:15" s="45" customFormat="1">
      <c r="A42" s="45" t="s">
        <v>128</v>
      </c>
      <c r="B42" s="46" t="s">
        <v>129</v>
      </c>
      <c r="C42" s="45" t="s">
        <v>130</v>
      </c>
      <c r="D42" s="45" t="s">
        <v>52</v>
      </c>
      <c r="E42" s="47">
        <v>2045</v>
      </c>
      <c r="F42" s="47" t="s">
        <v>326</v>
      </c>
      <c r="G42" s="45" t="s">
        <v>331</v>
      </c>
      <c r="H42" s="45">
        <v>2021</v>
      </c>
      <c r="I42" s="48">
        <v>2018</v>
      </c>
      <c r="J42" s="45">
        <f>'ITR V2 esg data'!M396/'ITR V2 esg data'!M400</f>
        <v>1.3977900552486188E-2</v>
      </c>
      <c r="K42" s="45" t="s">
        <v>430</v>
      </c>
      <c r="L42" s="45">
        <v>2030</v>
      </c>
      <c r="M42" s="51">
        <v>0.5</v>
      </c>
    </row>
    <row r="43" spans="1:15">
      <c r="A43" t="s">
        <v>128</v>
      </c>
      <c r="B43" s="1" t="s">
        <v>129</v>
      </c>
      <c r="C43" t="s">
        <v>130</v>
      </c>
      <c r="D43" t="s">
        <v>52</v>
      </c>
      <c r="E43" s="54">
        <v>2045</v>
      </c>
      <c r="F43" s="54" t="s">
        <v>326</v>
      </c>
      <c r="G43" t="s">
        <v>329</v>
      </c>
      <c r="H43">
        <v>2021</v>
      </c>
      <c r="I43" s="55">
        <v>2018</v>
      </c>
      <c r="J43">
        <v>0.23</v>
      </c>
      <c r="K43" t="s">
        <v>430</v>
      </c>
      <c r="L43">
        <v>2030</v>
      </c>
      <c r="M43" s="57">
        <v>0.5</v>
      </c>
    </row>
    <row r="44" spans="1:15">
      <c r="A44" t="s">
        <v>1254</v>
      </c>
      <c r="B44" s="1" t="s">
        <v>1232</v>
      </c>
      <c r="C44" t="s">
        <v>1252</v>
      </c>
      <c r="D44" t="s">
        <v>83</v>
      </c>
      <c r="E44" s="37">
        <v>2050</v>
      </c>
      <c r="F44" s="54" t="s">
        <v>326</v>
      </c>
      <c r="G44" t="s">
        <v>327</v>
      </c>
      <c r="H44" s="37">
        <v>2021</v>
      </c>
      <c r="I44">
        <v>2021</v>
      </c>
      <c r="J44" s="45">
        <v>395</v>
      </c>
      <c r="K44" t="s">
        <v>434</v>
      </c>
      <c r="L44">
        <v>2035</v>
      </c>
      <c r="M44" s="57">
        <v>1</v>
      </c>
    </row>
    <row r="45" spans="1:15">
      <c r="A45" t="s">
        <v>1255</v>
      </c>
      <c r="B45" s="1" t="s">
        <v>1232</v>
      </c>
      <c r="C45" t="s">
        <v>1253</v>
      </c>
      <c r="D45" t="s">
        <v>83</v>
      </c>
      <c r="E45" s="37">
        <v>2050</v>
      </c>
      <c r="F45" s="54" t="s">
        <v>326</v>
      </c>
      <c r="G45" t="s">
        <v>327</v>
      </c>
      <c r="H45" s="37">
        <v>2021</v>
      </c>
      <c r="I45">
        <v>2021</v>
      </c>
      <c r="J45" s="45">
        <v>395</v>
      </c>
      <c r="K45" t="s">
        <v>434</v>
      </c>
      <c r="L45">
        <v>2035</v>
      </c>
      <c r="M45" s="57">
        <v>1</v>
      </c>
    </row>
    <row r="46" spans="1:15">
      <c r="A46" t="s">
        <v>131</v>
      </c>
      <c r="B46" s="1" t="s">
        <v>132</v>
      </c>
      <c r="C46" t="s">
        <v>1273</v>
      </c>
      <c r="D46" t="s">
        <v>134</v>
      </c>
      <c r="E46" s="54">
        <v>2040</v>
      </c>
      <c r="F46" s="54" t="s">
        <v>326</v>
      </c>
      <c r="G46" t="s">
        <v>331</v>
      </c>
      <c r="H46">
        <v>2021</v>
      </c>
      <c r="I46" s="55">
        <v>2017</v>
      </c>
      <c r="J46">
        <v>414</v>
      </c>
      <c r="K46" s="37" t="s">
        <v>434</v>
      </c>
      <c r="L46">
        <v>2024</v>
      </c>
      <c r="M46" s="57">
        <f>1-(140/414)</f>
        <v>0.66183574879227058</v>
      </c>
      <c r="N46" t="s">
        <v>1274</v>
      </c>
      <c r="O46">
        <v>23</v>
      </c>
    </row>
    <row r="47" spans="1:15">
      <c r="A47" t="s">
        <v>131</v>
      </c>
      <c r="B47" s="1" t="s">
        <v>132</v>
      </c>
      <c r="C47" t="s">
        <v>1273</v>
      </c>
      <c r="D47" t="s">
        <v>134</v>
      </c>
      <c r="E47" s="54">
        <v>2040</v>
      </c>
      <c r="F47" s="54" t="s">
        <v>326</v>
      </c>
      <c r="G47" t="s">
        <v>331</v>
      </c>
      <c r="H47">
        <v>2021</v>
      </c>
      <c r="I47" s="55">
        <v>2017</v>
      </c>
      <c r="J47">
        <v>414</v>
      </c>
      <c r="K47" s="37" t="s">
        <v>434</v>
      </c>
      <c r="L47">
        <v>2030</v>
      </c>
      <c r="M47" s="57">
        <f>1-(82/414)</f>
        <v>0.80193236714975846</v>
      </c>
      <c r="N47" t="s">
        <v>537</v>
      </c>
      <c r="O47">
        <v>23</v>
      </c>
    </row>
    <row r="48" spans="1:15">
      <c r="A48" t="s">
        <v>131</v>
      </c>
      <c r="B48" s="1" t="s">
        <v>132</v>
      </c>
      <c r="C48" t="s">
        <v>1273</v>
      </c>
      <c r="D48" t="s">
        <v>134</v>
      </c>
      <c r="E48" s="54">
        <v>2040</v>
      </c>
      <c r="F48" s="54" t="s">
        <v>326</v>
      </c>
      <c r="G48" t="s">
        <v>329</v>
      </c>
      <c r="H48">
        <v>2021</v>
      </c>
      <c r="I48" s="55">
        <v>2017</v>
      </c>
      <c r="J48">
        <v>332</v>
      </c>
      <c r="K48" s="37" t="s">
        <v>434</v>
      </c>
      <c r="L48">
        <v>2025</v>
      </c>
      <c r="M48" s="57">
        <f>1-(135/332)</f>
        <v>0.59337349397590367</v>
      </c>
      <c r="N48" t="s">
        <v>537</v>
      </c>
      <c r="O48">
        <v>25</v>
      </c>
    </row>
    <row r="49" spans="1:15">
      <c r="A49" t="s">
        <v>131</v>
      </c>
      <c r="B49" s="1" t="s">
        <v>132</v>
      </c>
      <c r="C49" t="s">
        <v>1273</v>
      </c>
      <c r="D49" t="s">
        <v>134</v>
      </c>
      <c r="E49" s="54">
        <v>2040</v>
      </c>
      <c r="F49" s="54" t="s">
        <v>326</v>
      </c>
      <c r="G49" t="s">
        <v>329</v>
      </c>
      <c r="H49">
        <v>2021</v>
      </c>
      <c r="I49" s="55">
        <v>2017</v>
      </c>
      <c r="J49">
        <v>332</v>
      </c>
      <c r="K49" s="37" t="s">
        <v>434</v>
      </c>
      <c r="L49">
        <v>2030</v>
      </c>
      <c r="M49" s="57">
        <f>1-(73/332)</f>
        <v>0.78012048192771088</v>
      </c>
      <c r="N49" t="s">
        <v>537</v>
      </c>
      <c r="O49">
        <v>25</v>
      </c>
    </row>
    <row r="50" spans="1:15">
      <c r="A50" t="s">
        <v>131</v>
      </c>
      <c r="B50" s="1" t="s">
        <v>132</v>
      </c>
      <c r="C50" t="s">
        <v>1275</v>
      </c>
      <c r="D50" t="s">
        <v>134</v>
      </c>
      <c r="E50" s="54">
        <v>2040</v>
      </c>
      <c r="F50" s="54" t="s">
        <v>328</v>
      </c>
      <c r="G50" t="s">
        <v>332</v>
      </c>
      <c r="H50">
        <v>2021</v>
      </c>
      <c r="I50" s="55">
        <v>2017</v>
      </c>
      <c r="J50">
        <v>25.3</v>
      </c>
      <c r="K50" s="37" t="s">
        <v>429</v>
      </c>
      <c r="L50">
        <v>2025</v>
      </c>
      <c r="M50" s="57">
        <f>1-(20.9/25.3)</f>
        <v>0.17391304347826098</v>
      </c>
      <c r="N50" t="s">
        <v>537</v>
      </c>
      <c r="O50">
        <v>27</v>
      </c>
    </row>
    <row r="51" spans="1:15">
      <c r="A51" t="s">
        <v>131</v>
      </c>
      <c r="B51" s="1" t="s">
        <v>132</v>
      </c>
      <c r="C51" t="s">
        <v>1275</v>
      </c>
      <c r="D51" t="s">
        <v>134</v>
      </c>
      <c r="E51" s="54">
        <v>2040</v>
      </c>
      <c r="F51" s="54" t="s">
        <v>328</v>
      </c>
      <c r="G51" t="s">
        <v>332</v>
      </c>
      <c r="H51">
        <v>2021</v>
      </c>
      <c r="I51" s="55">
        <v>2017</v>
      </c>
      <c r="J51">
        <v>25.3</v>
      </c>
      <c r="K51" s="37" t="s">
        <v>429</v>
      </c>
      <c r="L51">
        <v>2030</v>
      </c>
      <c r="M51" s="57">
        <f>1-(11.4/25.3)</f>
        <v>0.54940711462450587</v>
      </c>
      <c r="N51" t="s">
        <v>537</v>
      </c>
      <c r="O51">
        <v>27</v>
      </c>
    </row>
    <row r="52" spans="1:15">
      <c r="A52" t="s">
        <v>1248</v>
      </c>
      <c r="B52" s="1" t="s">
        <v>1224</v>
      </c>
      <c r="C52" t="s">
        <v>1250</v>
      </c>
      <c r="D52" t="s">
        <v>127</v>
      </c>
      <c r="E52" s="37">
        <v>2050</v>
      </c>
      <c r="F52" s="54" t="s">
        <v>326</v>
      </c>
      <c r="G52" t="s">
        <v>327</v>
      </c>
      <c r="H52" s="37">
        <v>2020</v>
      </c>
      <c r="I52">
        <v>2020</v>
      </c>
      <c r="J52">
        <v>212</v>
      </c>
      <c r="K52" t="s">
        <v>434</v>
      </c>
      <c r="L52">
        <v>2030</v>
      </c>
      <c r="M52" s="57">
        <f>(212-110)/212</f>
        <v>0.48113207547169812</v>
      </c>
    </row>
    <row r="53" spans="1:15">
      <c r="A53" t="s">
        <v>1249</v>
      </c>
      <c r="B53" s="1" t="s">
        <v>1224</v>
      </c>
      <c r="C53" t="s">
        <v>1251</v>
      </c>
      <c r="D53" t="s">
        <v>127</v>
      </c>
      <c r="E53" s="37">
        <v>2050</v>
      </c>
      <c r="F53" s="54" t="s">
        <v>328</v>
      </c>
      <c r="G53" t="s">
        <v>332</v>
      </c>
      <c r="H53" s="37">
        <v>2020</v>
      </c>
      <c r="I53">
        <v>2020</v>
      </c>
      <c r="J53">
        <v>62</v>
      </c>
      <c r="K53" t="s">
        <v>429</v>
      </c>
      <c r="L53">
        <v>2030</v>
      </c>
      <c r="M53" s="57">
        <f>(62-52)/62</f>
        <v>0.16129032258064516</v>
      </c>
    </row>
    <row r="54" spans="1:15">
      <c r="A54" t="s">
        <v>551</v>
      </c>
      <c r="B54" s="1" t="s">
        <v>526</v>
      </c>
      <c r="C54" t="s">
        <v>527</v>
      </c>
      <c r="D54" t="s">
        <v>530</v>
      </c>
      <c r="E54" s="37">
        <v>2050</v>
      </c>
      <c r="F54" s="54" t="s">
        <v>328</v>
      </c>
      <c r="G54" t="s">
        <v>327</v>
      </c>
      <c r="H54" s="37">
        <v>2021</v>
      </c>
      <c r="I54">
        <v>2018</v>
      </c>
      <c r="J54">
        <v>37.200000000000003</v>
      </c>
      <c r="K54" t="s">
        <v>429</v>
      </c>
      <c r="L54">
        <v>2025</v>
      </c>
      <c r="M54" s="57">
        <v>0.4</v>
      </c>
      <c r="N54" s="93" t="s">
        <v>571</v>
      </c>
      <c r="O54">
        <v>1</v>
      </c>
    </row>
    <row r="55" spans="1:15">
      <c r="A55" t="s">
        <v>551</v>
      </c>
      <c r="B55" s="1" t="s">
        <v>526</v>
      </c>
      <c r="C55" t="s">
        <v>527</v>
      </c>
      <c r="D55" t="s">
        <v>530</v>
      </c>
      <c r="E55" s="37">
        <v>2050</v>
      </c>
      <c r="F55" s="54" t="s">
        <v>326</v>
      </c>
      <c r="G55" t="s">
        <v>329</v>
      </c>
      <c r="H55" s="37">
        <v>2021</v>
      </c>
      <c r="I55">
        <v>2018</v>
      </c>
      <c r="J55">
        <v>68</v>
      </c>
      <c r="K55" t="s">
        <v>433</v>
      </c>
      <c r="L55">
        <v>2030</v>
      </c>
      <c r="M55" s="57">
        <v>0.15</v>
      </c>
      <c r="N55" s="93" t="s">
        <v>571</v>
      </c>
      <c r="O55">
        <v>2</v>
      </c>
    </row>
    <row r="56" spans="1:15">
      <c r="A56" t="s">
        <v>551</v>
      </c>
      <c r="B56" s="1" t="s">
        <v>526</v>
      </c>
      <c r="C56" t="s">
        <v>527</v>
      </c>
      <c r="D56" t="s">
        <v>530</v>
      </c>
      <c r="E56" s="37">
        <v>2050</v>
      </c>
      <c r="F56" s="54" t="s">
        <v>326</v>
      </c>
      <c r="G56" t="s">
        <v>329</v>
      </c>
      <c r="H56" s="37">
        <v>2021</v>
      </c>
      <c r="I56">
        <v>2018</v>
      </c>
      <c r="J56">
        <v>68</v>
      </c>
      <c r="K56" t="s">
        <v>433</v>
      </c>
      <c r="L56">
        <v>2040</v>
      </c>
      <c r="M56" s="57">
        <v>0.5</v>
      </c>
      <c r="N56" s="93" t="s">
        <v>571</v>
      </c>
      <c r="O56">
        <v>3</v>
      </c>
    </row>
    <row r="57" spans="1:15">
      <c r="A57" t="s">
        <v>551</v>
      </c>
      <c r="B57" s="1" t="s">
        <v>526</v>
      </c>
      <c r="C57" t="s">
        <v>527</v>
      </c>
      <c r="D57" t="s">
        <v>530</v>
      </c>
      <c r="E57" s="37">
        <v>2050</v>
      </c>
      <c r="F57" s="54" t="s">
        <v>326</v>
      </c>
      <c r="G57" t="s">
        <v>329</v>
      </c>
      <c r="H57" s="37">
        <v>2021</v>
      </c>
      <c r="I57">
        <v>2018</v>
      </c>
      <c r="J57">
        <v>68</v>
      </c>
      <c r="K57" t="s">
        <v>433</v>
      </c>
      <c r="L57">
        <v>2050</v>
      </c>
      <c r="M57" s="57">
        <v>1</v>
      </c>
      <c r="N57" s="93" t="s">
        <v>571</v>
      </c>
      <c r="O57">
        <v>4</v>
      </c>
    </row>
    <row r="58" spans="1:15">
      <c r="A58" t="s">
        <v>136</v>
      </c>
      <c r="B58" s="1" t="s">
        <v>137</v>
      </c>
      <c r="C58" t="s">
        <v>138</v>
      </c>
      <c r="D58" t="s">
        <v>52</v>
      </c>
      <c r="E58" s="54">
        <v>2050</v>
      </c>
      <c r="F58" s="54" t="s">
        <v>328</v>
      </c>
      <c r="G58" t="s">
        <v>327</v>
      </c>
      <c r="H58">
        <v>2020</v>
      </c>
      <c r="I58" s="55">
        <v>2000</v>
      </c>
      <c r="J58">
        <v>49960899</v>
      </c>
      <c r="K58" s="37" t="s">
        <v>428</v>
      </c>
      <c r="L58">
        <v>2050</v>
      </c>
      <c r="M58" s="57">
        <v>1</v>
      </c>
    </row>
    <row r="59" spans="1:15">
      <c r="A59" t="s">
        <v>136</v>
      </c>
      <c r="B59" s="1" t="s">
        <v>137</v>
      </c>
      <c r="C59" t="s">
        <v>138</v>
      </c>
      <c r="D59" t="s">
        <v>52</v>
      </c>
      <c r="E59" s="54">
        <v>2050</v>
      </c>
      <c r="F59" s="54" t="s">
        <v>326</v>
      </c>
      <c r="G59" t="s">
        <v>331</v>
      </c>
      <c r="H59">
        <v>2030</v>
      </c>
      <c r="I59" s="55">
        <v>2000</v>
      </c>
      <c r="J59">
        <v>0.4826223</v>
      </c>
      <c r="K59" s="37" t="s">
        <v>430</v>
      </c>
      <c r="L59">
        <v>2030</v>
      </c>
      <c r="M59" s="57">
        <v>0.5</v>
      </c>
    </row>
    <row r="60" spans="1:15">
      <c r="A60" t="s">
        <v>139</v>
      </c>
      <c r="B60" s="1" t="s">
        <v>140</v>
      </c>
      <c r="C60" t="s">
        <v>141</v>
      </c>
      <c r="D60" t="s">
        <v>52</v>
      </c>
      <c r="E60" s="54">
        <v>2045</v>
      </c>
      <c r="F60" s="54" t="s">
        <v>328</v>
      </c>
      <c r="G60" t="s">
        <v>331</v>
      </c>
      <c r="I60" s="55">
        <v>2005</v>
      </c>
      <c r="J60" s="56">
        <v>48455198</v>
      </c>
      <c r="K60" s="37" t="s">
        <v>428</v>
      </c>
      <c r="L60">
        <v>2030</v>
      </c>
      <c r="M60" s="57">
        <v>0.7</v>
      </c>
    </row>
    <row r="61" spans="1:15">
      <c r="A61" t="s">
        <v>142</v>
      </c>
      <c r="B61" s="1" t="s">
        <v>143</v>
      </c>
      <c r="C61" t="s">
        <v>144</v>
      </c>
      <c r="D61" t="s">
        <v>52</v>
      </c>
      <c r="E61" s="54">
        <v>2030</v>
      </c>
      <c r="F61" s="54" t="s">
        <v>328</v>
      </c>
      <c r="G61" t="s">
        <v>327</v>
      </c>
      <c r="H61">
        <v>2019</v>
      </c>
      <c r="I61" s="55">
        <v>2018</v>
      </c>
      <c r="J61">
        <v>828107</v>
      </c>
      <c r="K61" s="37" t="s">
        <v>428</v>
      </c>
      <c r="L61">
        <v>2030</v>
      </c>
      <c r="M61" s="57">
        <v>1</v>
      </c>
    </row>
    <row r="62" spans="1:15">
      <c r="A62" t="s">
        <v>145</v>
      </c>
      <c r="B62" s="1" t="s">
        <v>146</v>
      </c>
      <c r="C62" t="s">
        <v>147</v>
      </c>
      <c r="D62" t="s">
        <v>52</v>
      </c>
      <c r="E62" s="54">
        <v>2050</v>
      </c>
      <c r="F62" s="54" t="s">
        <v>328</v>
      </c>
      <c r="G62" t="s">
        <v>327</v>
      </c>
      <c r="H62">
        <v>2021</v>
      </c>
      <c r="I62" s="55">
        <v>2015</v>
      </c>
      <c r="J62">
        <v>1100</v>
      </c>
      <c r="K62" s="37" t="s">
        <v>427</v>
      </c>
      <c r="L62">
        <v>2030</v>
      </c>
      <c r="M62" s="57">
        <v>0.5</v>
      </c>
    </row>
    <row r="63" spans="1:15">
      <c r="A63" t="s">
        <v>148</v>
      </c>
      <c r="B63" s="1" t="s">
        <v>149</v>
      </c>
      <c r="C63" t="s">
        <v>150</v>
      </c>
      <c r="D63" t="s">
        <v>52</v>
      </c>
      <c r="E63" s="54">
        <v>2050</v>
      </c>
      <c r="F63" s="54" t="s">
        <v>328</v>
      </c>
      <c r="G63" t="s">
        <v>327</v>
      </c>
      <c r="H63">
        <v>2021</v>
      </c>
      <c r="I63" s="55">
        <v>2016</v>
      </c>
      <c r="J63">
        <v>125</v>
      </c>
      <c r="K63" s="37" t="s">
        <v>429</v>
      </c>
      <c r="L63">
        <v>2025</v>
      </c>
      <c r="M63" s="57">
        <v>0.2</v>
      </c>
    </row>
    <row r="64" spans="1:15">
      <c r="A64" t="s">
        <v>152</v>
      </c>
      <c r="B64" s="1" t="s">
        <v>153</v>
      </c>
      <c r="C64" t="s">
        <v>154</v>
      </c>
      <c r="D64" t="s">
        <v>52</v>
      </c>
      <c r="E64" s="54">
        <v>2050</v>
      </c>
      <c r="F64" s="54" t="s">
        <v>328</v>
      </c>
      <c r="G64" t="s">
        <v>331</v>
      </c>
      <c r="H64">
        <v>2022</v>
      </c>
      <c r="I64" s="55">
        <v>2019</v>
      </c>
      <c r="J64">
        <v>17935528</v>
      </c>
      <c r="K64" s="37" t="s">
        <v>428</v>
      </c>
      <c r="L64">
        <v>2030</v>
      </c>
      <c r="M64" s="57">
        <v>0.3</v>
      </c>
    </row>
    <row r="65" spans="1:13" s="45" customFormat="1">
      <c r="A65" s="45" t="s">
        <v>152</v>
      </c>
      <c r="B65" s="46" t="s">
        <v>153</v>
      </c>
      <c r="C65" s="45" t="s">
        <v>154</v>
      </c>
      <c r="D65" s="45" t="s">
        <v>52</v>
      </c>
      <c r="E65" s="47">
        <v>2050</v>
      </c>
      <c r="F65" s="47" t="s">
        <v>326</v>
      </c>
      <c r="G65" s="45" t="s">
        <v>332</v>
      </c>
      <c r="H65" s="45">
        <v>2022</v>
      </c>
      <c r="I65" s="48">
        <v>2020</v>
      </c>
      <c r="J65" s="45">
        <f>28230946/45634720</f>
        <v>0.61862866694481744</v>
      </c>
      <c r="K65" s="50" t="s">
        <v>1221</v>
      </c>
      <c r="L65" s="45">
        <v>2030</v>
      </c>
      <c r="M65" s="51">
        <v>0.5</v>
      </c>
    </row>
    <row r="66" spans="1:13">
      <c r="A66" t="s">
        <v>155</v>
      </c>
      <c r="B66" s="1" t="s">
        <v>156</v>
      </c>
      <c r="C66" t="s">
        <v>157</v>
      </c>
      <c r="D66" t="s">
        <v>52</v>
      </c>
      <c r="F66" s="54" t="s">
        <v>326</v>
      </c>
      <c r="G66" t="s">
        <v>332</v>
      </c>
      <c r="H66">
        <v>2021</v>
      </c>
      <c r="I66" s="55">
        <v>2019</v>
      </c>
      <c r="J66">
        <v>309</v>
      </c>
      <c r="K66" s="37" t="s">
        <v>435</v>
      </c>
      <c r="L66">
        <v>2035</v>
      </c>
      <c r="M66" s="57">
        <v>0.5</v>
      </c>
    </row>
    <row r="67" spans="1:13">
      <c r="A67" t="s">
        <v>155</v>
      </c>
      <c r="B67" s="1" t="s">
        <v>156</v>
      </c>
      <c r="C67" t="s">
        <v>157</v>
      </c>
      <c r="D67" t="s">
        <v>52</v>
      </c>
      <c r="F67" s="54" t="s">
        <v>328</v>
      </c>
      <c r="G67" t="s">
        <v>327</v>
      </c>
      <c r="H67">
        <v>2021</v>
      </c>
      <c r="I67" s="55">
        <v>2019</v>
      </c>
      <c r="J67">
        <v>3480</v>
      </c>
      <c r="K67" s="37" t="s">
        <v>428</v>
      </c>
      <c r="L67">
        <v>2035</v>
      </c>
      <c r="M67" s="57">
        <v>0.76</v>
      </c>
    </row>
    <row r="68" spans="1:13">
      <c r="A68" t="s">
        <v>1110</v>
      </c>
      <c r="B68" s="1" t="s">
        <v>160</v>
      </c>
      <c r="C68" t="s">
        <v>1266</v>
      </c>
      <c r="D68" t="s">
        <v>162</v>
      </c>
      <c r="F68" s="54" t="s">
        <v>328</v>
      </c>
      <c r="G68" t="s">
        <v>331</v>
      </c>
      <c r="H68">
        <v>2020</v>
      </c>
      <c r="I68" s="55">
        <v>2019</v>
      </c>
      <c r="J68" s="56">
        <f>'ITR V2 esg data'!P583</f>
        <v>9417</v>
      </c>
      <c r="K68" s="37" t="s">
        <v>427</v>
      </c>
      <c r="L68">
        <v>2035</v>
      </c>
      <c r="M68" s="57">
        <v>0.75</v>
      </c>
    </row>
    <row r="69" spans="1:13">
      <c r="A69" t="s">
        <v>1111</v>
      </c>
      <c r="B69" s="1" t="s">
        <v>160</v>
      </c>
      <c r="C69" t="s">
        <v>1267</v>
      </c>
      <c r="D69" t="s">
        <v>162</v>
      </c>
      <c r="F69" s="54" t="s">
        <v>328</v>
      </c>
      <c r="G69" t="s">
        <v>331</v>
      </c>
      <c r="H69">
        <v>2020</v>
      </c>
      <c r="I69" s="55">
        <v>2019</v>
      </c>
      <c r="J69" s="56">
        <f>'ITR V2 esg data'!P584</f>
        <v>141</v>
      </c>
      <c r="K69" s="37" t="s">
        <v>427</v>
      </c>
      <c r="L69">
        <v>2030</v>
      </c>
      <c r="M69" s="57">
        <v>0.15</v>
      </c>
    </row>
    <row r="70" spans="1:13">
      <c r="A70" s="45" t="s">
        <v>163</v>
      </c>
      <c r="B70" s="46" t="s">
        <v>164</v>
      </c>
      <c r="C70" s="45" t="s">
        <v>165</v>
      </c>
      <c r="D70" s="45" t="s">
        <v>52</v>
      </c>
      <c r="E70" s="47">
        <v>2040</v>
      </c>
      <c r="F70" s="47" t="s">
        <v>326</v>
      </c>
      <c r="G70" s="45" t="s">
        <v>332</v>
      </c>
      <c r="H70" s="45">
        <v>2021</v>
      </c>
      <c r="I70" s="48">
        <v>2020</v>
      </c>
      <c r="J70" s="49">
        <v>309</v>
      </c>
      <c r="K70" s="50" t="s">
        <v>435</v>
      </c>
      <c r="L70" s="45">
        <v>2040</v>
      </c>
      <c r="M70" s="51">
        <v>0.2</v>
      </c>
    </row>
    <row r="71" spans="1:13">
      <c r="A71" t="s">
        <v>163</v>
      </c>
      <c r="B71" s="1" t="s">
        <v>164</v>
      </c>
      <c r="C71" t="s">
        <v>165</v>
      </c>
      <c r="D71" t="s">
        <v>52</v>
      </c>
      <c r="E71" s="54">
        <v>2040</v>
      </c>
      <c r="F71" s="54" t="s">
        <v>328</v>
      </c>
      <c r="G71" t="s">
        <v>327</v>
      </c>
      <c r="H71">
        <v>2021</v>
      </c>
      <c r="I71" s="55">
        <v>2020</v>
      </c>
      <c r="J71" s="56">
        <v>3813946</v>
      </c>
      <c r="K71" s="37" t="s">
        <v>428</v>
      </c>
      <c r="L71">
        <v>2040</v>
      </c>
      <c r="M71" s="57">
        <v>1</v>
      </c>
    </row>
    <row r="72" spans="1:13">
      <c r="A72" t="s">
        <v>167</v>
      </c>
      <c r="B72" s="1" t="s">
        <v>168</v>
      </c>
      <c r="C72" t="s">
        <v>169</v>
      </c>
      <c r="D72" t="s">
        <v>170</v>
      </c>
      <c r="E72" s="54">
        <v>2050</v>
      </c>
      <c r="F72" s="54" t="s">
        <v>326</v>
      </c>
      <c r="G72" t="s">
        <v>327</v>
      </c>
      <c r="H72">
        <v>2022</v>
      </c>
      <c r="I72" s="55">
        <v>2020</v>
      </c>
      <c r="J72">
        <v>0.93</v>
      </c>
      <c r="K72" s="37" t="s">
        <v>432</v>
      </c>
      <c r="L72">
        <v>2031</v>
      </c>
      <c r="M72" s="57">
        <v>0.108</v>
      </c>
    </row>
    <row r="73" spans="1:13">
      <c r="A73" t="s">
        <v>171</v>
      </c>
      <c r="B73" s="1" t="s">
        <v>172</v>
      </c>
      <c r="C73" t="s">
        <v>173</v>
      </c>
      <c r="D73" t="s">
        <v>52</v>
      </c>
      <c r="E73" s="54">
        <v>2045</v>
      </c>
      <c r="F73" s="54" t="s">
        <v>326</v>
      </c>
      <c r="G73" t="s">
        <v>329</v>
      </c>
      <c r="H73">
        <v>2021</v>
      </c>
      <c r="I73" s="55">
        <v>2010</v>
      </c>
      <c r="J73">
        <v>0.76300000000000001</v>
      </c>
      <c r="K73" s="37" t="s">
        <v>430</v>
      </c>
      <c r="L73">
        <v>2030</v>
      </c>
      <c r="M73" s="57">
        <v>0.7</v>
      </c>
    </row>
    <row r="74" spans="1:13">
      <c r="A74" t="s">
        <v>174</v>
      </c>
      <c r="B74" s="1" t="s">
        <v>175</v>
      </c>
      <c r="C74" t="s">
        <v>176</v>
      </c>
      <c r="D74" t="s">
        <v>177</v>
      </c>
      <c r="E74" s="54">
        <v>2050</v>
      </c>
      <c r="F74" s="54" t="s">
        <v>326</v>
      </c>
      <c r="G74" t="s">
        <v>331</v>
      </c>
      <c r="H74">
        <v>2022</v>
      </c>
      <c r="I74" s="55">
        <v>2021</v>
      </c>
      <c r="J74">
        <v>96</v>
      </c>
      <c r="K74" s="37" t="s">
        <v>434</v>
      </c>
      <c r="L74">
        <v>2030</v>
      </c>
      <c r="M74" s="57">
        <f>50/96</f>
        <v>0.52083333333333337</v>
      </c>
    </row>
    <row r="75" spans="1:13">
      <c r="A75" t="s">
        <v>1234</v>
      </c>
      <c r="B75" s="1" t="s">
        <v>1235</v>
      </c>
      <c r="C75" t="s">
        <v>1236</v>
      </c>
      <c r="D75" t="s">
        <v>194</v>
      </c>
      <c r="E75" s="37">
        <v>2050</v>
      </c>
      <c r="F75" s="54" t="s">
        <v>326</v>
      </c>
      <c r="G75" t="s">
        <v>329</v>
      </c>
      <c r="H75" s="37">
        <v>2019</v>
      </c>
      <c r="I75">
        <v>2013</v>
      </c>
      <c r="J75">
        <v>0.42699999999999999</v>
      </c>
      <c r="K75" t="s">
        <v>440</v>
      </c>
      <c r="L75">
        <v>2025</v>
      </c>
      <c r="M75" s="57">
        <v>0.5</v>
      </c>
    </row>
    <row r="76" spans="1:13">
      <c r="A76" t="s">
        <v>178</v>
      </c>
      <c r="B76" s="1" t="s">
        <v>179</v>
      </c>
      <c r="C76" t="s">
        <v>180</v>
      </c>
      <c r="D76" t="s">
        <v>52</v>
      </c>
      <c r="F76" s="54" t="s">
        <v>326</v>
      </c>
      <c r="G76" t="s">
        <v>327</v>
      </c>
      <c r="H76">
        <v>2020</v>
      </c>
      <c r="I76" s="55">
        <v>2014</v>
      </c>
      <c r="J76">
        <v>30</v>
      </c>
      <c r="K76" s="37" t="s">
        <v>436</v>
      </c>
      <c r="L76">
        <v>2030</v>
      </c>
      <c r="M76" s="57">
        <v>0.3</v>
      </c>
    </row>
    <row r="77" spans="1:13">
      <c r="A77" t="s">
        <v>178</v>
      </c>
      <c r="B77" s="1" t="s">
        <v>179</v>
      </c>
      <c r="C77" t="s">
        <v>180</v>
      </c>
      <c r="D77" t="s">
        <v>52</v>
      </c>
      <c r="F77" s="54" t="s">
        <v>328</v>
      </c>
      <c r="G77" t="s">
        <v>332</v>
      </c>
      <c r="H77">
        <v>2020</v>
      </c>
      <c r="I77" s="55">
        <v>2019</v>
      </c>
      <c r="J77">
        <v>425</v>
      </c>
      <c r="K77" s="37" t="s">
        <v>429</v>
      </c>
      <c r="L77">
        <v>2030</v>
      </c>
      <c r="M77" s="57">
        <v>0.15</v>
      </c>
    </row>
    <row r="78" spans="1:13">
      <c r="A78" t="s">
        <v>182</v>
      </c>
      <c r="B78" s="1" t="s">
        <v>183</v>
      </c>
      <c r="C78" t="s">
        <v>1090</v>
      </c>
      <c r="D78" t="s">
        <v>52</v>
      </c>
      <c r="F78" s="54" t="s">
        <v>326</v>
      </c>
      <c r="G78" t="s">
        <v>327</v>
      </c>
      <c r="H78">
        <v>2020</v>
      </c>
      <c r="I78" s="55">
        <v>2005</v>
      </c>
      <c r="J78">
        <f>2650/2000</f>
        <v>1.325</v>
      </c>
      <c r="K78" s="37" t="s">
        <v>430</v>
      </c>
      <c r="L78">
        <v>2030</v>
      </c>
      <c r="M78" s="57">
        <v>0.45</v>
      </c>
    </row>
    <row r="79" spans="1:13" s="45" customFormat="1">
      <c r="A79" s="45" t="s">
        <v>182</v>
      </c>
      <c r="B79" s="46" t="s">
        <v>183</v>
      </c>
      <c r="C79" s="45" t="s">
        <v>1090</v>
      </c>
      <c r="D79" s="45" t="s">
        <v>52</v>
      </c>
      <c r="E79" s="47"/>
      <c r="F79" s="47" t="s">
        <v>328</v>
      </c>
      <c r="G79" s="45" t="s">
        <v>332</v>
      </c>
      <c r="H79" s="45">
        <v>2020</v>
      </c>
      <c r="I79" s="48">
        <v>2005</v>
      </c>
      <c r="J79" s="45">
        <v>756622</v>
      </c>
      <c r="K79" s="50" t="s">
        <v>428</v>
      </c>
      <c r="L79" s="45">
        <v>2050</v>
      </c>
      <c r="M79" s="51">
        <v>1</v>
      </c>
    </row>
    <row r="80" spans="1:13">
      <c r="A80" t="s">
        <v>182</v>
      </c>
      <c r="B80" s="1" t="s">
        <v>183</v>
      </c>
      <c r="C80" t="s">
        <v>1091</v>
      </c>
      <c r="D80" t="s">
        <v>52</v>
      </c>
      <c r="F80" s="54" t="s">
        <v>328</v>
      </c>
      <c r="G80" t="s">
        <v>331</v>
      </c>
      <c r="H80">
        <v>2020</v>
      </c>
      <c r="I80" s="55">
        <v>2020</v>
      </c>
      <c r="J80">
        <v>63242</v>
      </c>
      <c r="K80" s="37" t="s">
        <v>428</v>
      </c>
      <c r="L80">
        <v>2030</v>
      </c>
      <c r="M80" s="57">
        <v>0.25</v>
      </c>
    </row>
    <row r="81" spans="1:13" s="45" customFormat="1">
      <c r="A81" s="45" t="s">
        <v>182</v>
      </c>
      <c r="B81" s="46" t="s">
        <v>183</v>
      </c>
      <c r="C81" s="45" t="s">
        <v>1091</v>
      </c>
      <c r="D81" s="45" t="s">
        <v>52</v>
      </c>
      <c r="E81" s="47"/>
      <c r="F81" s="47" t="s">
        <v>328</v>
      </c>
      <c r="G81" s="45" t="s">
        <v>332</v>
      </c>
      <c r="H81" s="45">
        <v>2020</v>
      </c>
      <c r="I81" s="48">
        <v>2020</v>
      </c>
      <c r="J81" s="45">
        <v>10</v>
      </c>
      <c r="K81" s="50" t="s">
        <v>429</v>
      </c>
      <c r="L81" s="45">
        <v>2050</v>
      </c>
      <c r="M81" s="51">
        <v>1</v>
      </c>
    </row>
    <row r="82" spans="1:13">
      <c r="A82" t="s">
        <v>185</v>
      </c>
      <c r="B82" s="1" t="s">
        <v>186</v>
      </c>
      <c r="C82" t="s">
        <v>1102</v>
      </c>
      <c r="D82" t="s">
        <v>89</v>
      </c>
      <c r="E82" s="54">
        <v>2050</v>
      </c>
      <c r="F82" t="s">
        <v>328</v>
      </c>
      <c r="G82" t="s">
        <v>327</v>
      </c>
      <c r="H82">
        <v>2020</v>
      </c>
      <c r="I82">
        <v>1990</v>
      </c>
      <c r="J82">
        <f>7000000/(1-0.68)</f>
        <v>21875000.000000004</v>
      </c>
      <c r="K82" t="s">
        <v>428</v>
      </c>
      <c r="L82">
        <v>2030</v>
      </c>
      <c r="M82" s="57">
        <v>0.8</v>
      </c>
    </row>
    <row r="83" spans="1:13">
      <c r="A83" t="s">
        <v>185</v>
      </c>
      <c r="B83" s="1" t="s">
        <v>186</v>
      </c>
      <c r="C83" t="s">
        <v>1102</v>
      </c>
      <c r="D83" t="s">
        <v>89</v>
      </c>
      <c r="E83" s="54">
        <v>2050</v>
      </c>
      <c r="F83" t="s">
        <v>328</v>
      </c>
      <c r="G83" t="s">
        <v>327</v>
      </c>
      <c r="H83">
        <v>2020</v>
      </c>
      <c r="I83">
        <v>1990</v>
      </c>
      <c r="J83">
        <f>7000000/(1-0.68)</f>
        <v>21875000.000000004</v>
      </c>
      <c r="K83" t="s">
        <v>428</v>
      </c>
      <c r="L83">
        <v>2040</v>
      </c>
      <c r="M83" s="57">
        <v>0.9</v>
      </c>
    </row>
    <row r="84" spans="1:13" s="45" customFormat="1">
      <c r="A84" s="45" t="s">
        <v>185</v>
      </c>
      <c r="B84" s="46" t="s">
        <v>186</v>
      </c>
      <c r="C84" s="45" t="s">
        <v>1102</v>
      </c>
      <c r="D84" s="45" t="s">
        <v>89</v>
      </c>
      <c r="E84" s="47">
        <v>2050</v>
      </c>
      <c r="F84" s="45" t="s">
        <v>328</v>
      </c>
      <c r="G84" s="45" t="s">
        <v>332</v>
      </c>
      <c r="H84" s="45">
        <v>2020</v>
      </c>
      <c r="I84" s="45">
        <v>1990</v>
      </c>
      <c r="J84" s="45">
        <v>4126</v>
      </c>
      <c r="K84" s="45" t="s">
        <v>427</v>
      </c>
      <c r="L84" s="45">
        <v>2050</v>
      </c>
      <c r="M84" s="51">
        <v>1</v>
      </c>
    </row>
    <row r="85" spans="1:13" s="45" customFormat="1">
      <c r="A85" s="45" t="s">
        <v>185</v>
      </c>
      <c r="B85" s="46" t="s">
        <v>186</v>
      </c>
      <c r="C85" s="45" t="s">
        <v>1103</v>
      </c>
      <c r="D85" s="45" t="s">
        <v>89</v>
      </c>
      <c r="E85" s="47">
        <v>2050</v>
      </c>
      <c r="F85" s="45" t="s">
        <v>328</v>
      </c>
      <c r="G85" s="45" t="s">
        <v>329</v>
      </c>
      <c r="H85" s="45">
        <v>2020</v>
      </c>
      <c r="I85" s="45">
        <v>2020</v>
      </c>
      <c r="J85" s="45">
        <v>18235</v>
      </c>
      <c r="K85" s="45" t="s">
        <v>427</v>
      </c>
      <c r="L85" s="45">
        <v>2030</v>
      </c>
      <c r="M85" s="51">
        <v>0.8</v>
      </c>
    </row>
    <row r="86" spans="1:13" s="45" customFormat="1">
      <c r="A86" s="45" t="s">
        <v>185</v>
      </c>
      <c r="B86" s="46" t="s">
        <v>186</v>
      </c>
      <c r="C86" s="45" t="s">
        <v>1103</v>
      </c>
      <c r="D86" s="45" t="s">
        <v>89</v>
      </c>
      <c r="E86" s="47">
        <v>2050</v>
      </c>
      <c r="F86" s="45" t="s">
        <v>328</v>
      </c>
      <c r="G86" s="45" t="s">
        <v>329</v>
      </c>
      <c r="H86" s="45">
        <v>2020</v>
      </c>
      <c r="I86" s="45">
        <v>2020</v>
      </c>
      <c r="J86" s="45">
        <v>18235</v>
      </c>
      <c r="K86" s="45" t="s">
        <v>427</v>
      </c>
      <c r="L86" s="45">
        <v>2040</v>
      </c>
      <c r="M86" s="51">
        <v>0.9</v>
      </c>
    </row>
    <row r="87" spans="1:13">
      <c r="A87" t="s">
        <v>188</v>
      </c>
      <c r="B87" t="s">
        <v>189</v>
      </c>
      <c r="C87" t="s">
        <v>190</v>
      </c>
      <c r="D87" t="s">
        <v>52</v>
      </c>
      <c r="E87" s="54">
        <v>2045</v>
      </c>
      <c r="F87" s="54" t="s">
        <v>326</v>
      </c>
      <c r="G87" t="s">
        <v>327</v>
      </c>
      <c r="H87">
        <v>2022</v>
      </c>
      <c r="I87">
        <v>2005</v>
      </c>
      <c r="J87">
        <v>843</v>
      </c>
      <c r="K87" s="37" t="s">
        <v>437</v>
      </c>
      <c r="L87">
        <v>2025</v>
      </c>
      <c r="M87" s="57">
        <v>0.36</v>
      </c>
    </row>
    <row r="88" spans="1:13">
      <c r="A88" t="s">
        <v>188</v>
      </c>
      <c r="B88" t="s">
        <v>189</v>
      </c>
      <c r="C88" t="s">
        <v>190</v>
      </c>
      <c r="D88" t="s">
        <v>52</v>
      </c>
      <c r="E88" s="54">
        <v>2045</v>
      </c>
      <c r="F88" s="54" t="s">
        <v>326</v>
      </c>
      <c r="G88" t="s">
        <v>327</v>
      </c>
      <c r="H88">
        <v>2022</v>
      </c>
      <c r="I88">
        <v>2005</v>
      </c>
      <c r="J88">
        <v>843</v>
      </c>
      <c r="K88" s="37" t="s">
        <v>437</v>
      </c>
      <c r="L88">
        <v>2030</v>
      </c>
      <c r="M88" s="57">
        <v>0.52</v>
      </c>
    </row>
    <row r="89" spans="1:13">
      <c r="A89" t="s">
        <v>188</v>
      </c>
      <c r="B89" t="s">
        <v>189</v>
      </c>
      <c r="C89" t="s">
        <v>190</v>
      </c>
      <c r="D89" t="s">
        <v>52</v>
      </c>
      <c r="E89" s="54">
        <v>2045</v>
      </c>
      <c r="F89" s="54" t="s">
        <v>326</v>
      </c>
      <c r="G89" t="s">
        <v>327</v>
      </c>
      <c r="H89">
        <v>2022</v>
      </c>
      <c r="I89">
        <v>2005</v>
      </c>
      <c r="J89">
        <v>843</v>
      </c>
      <c r="K89" s="37" t="s">
        <v>437</v>
      </c>
      <c r="L89">
        <v>2035</v>
      </c>
      <c r="M89" s="57">
        <v>0.62</v>
      </c>
    </row>
    <row r="90" spans="1:13">
      <c r="A90" t="s">
        <v>188</v>
      </c>
      <c r="B90" t="s">
        <v>189</v>
      </c>
      <c r="C90" t="s">
        <v>190</v>
      </c>
      <c r="D90" t="s">
        <v>52</v>
      </c>
      <c r="E90" s="54">
        <v>2045</v>
      </c>
      <c r="F90" s="54" t="s">
        <v>326</v>
      </c>
      <c r="G90" t="s">
        <v>327</v>
      </c>
      <c r="H90">
        <v>2022</v>
      </c>
      <c r="I90">
        <v>2005</v>
      </c>
      <c r="J90">
        <v>843</v>
      </c>
      <c r="K90" s="37" t="s">
        <v>437</v>
      </c>
      <c r="L90">
        <v>2040</v>
      </c>
      <c r="M90" s="57">
        <v>0.83</v>
      </c>
    </row>
    <row r="91" spans="1:13">
      <c r="A91" t="s">
        <v>196</v>
      </c>
      <c r="B91" t="s">
        <v>197</v>
      </c>
      <c r="C91" t="s">
        <v>198</v>
      </c>
      <c r="D91" t="s">
        <v>52</v>
      </c>
      <c r="E91" s="54">
        <v>2050</v>
      </c>
      <c r="F91" t="s">
        <v>328</v>
      </c>
      <c r="G91" t="s">
        <v>327</v>
      </c>
      <c r="H91">
        <v>2020</v>
      </c>
      <c r="I91">
        <v>2005</v>
      </c>
      <c r="J91">
        <f>6332981/(1-0.63)</f>
        <v>17116164.864864863</v>
      </c>
      <c r="K91" t="s">
        <v>428</v>
      </c>
      <c r="L91">
        <v>2030</v>
      </c>
      <c r="M91" s="57">
        <v>0.9</v>
      </c>
    </row>
    <row r="92" spans="1:13">
      <c r="A92" t="s">
        <v>199</v>
      </c>
      <c r="B92" s="1" t="s">
        <v>200</v>
      </c>
      <c r="C92" t="s">
        <v>201</v>
      </c>
      <c r="D92" t="s">
        <v>52</v>
      </c>
      <c r="E92" s="54">
        <v>2050</v>
      </c>
      <c r="F92" s="54" t="s">
        <v>328</v>
      </c>
      <c r="G92" t="s">
        <v>331</v>
      </c>
      <c r="H92">
        <v>2019</v>
      </c>
      <c r="I92" s="55">
        <v>2010</v>
      </c>
      <c r="J92" s="56">
        <v>3734024</v>
      </c>
      <c r="K92" t="s">
        <v>428</v>
      </c>
      <c r="L92">
        <v>2045</v>
      </c>
      <c r="M92" s="57">
        <v>0.9</v>
      </c>
    </row>
    <row r="93" spans="1:13">
      <c r="A93" t="s">
        <v>191</v>
      </c>
      <c r="B93" t="s">
        <v>192</v>
      </c>
      <c r="C93" t="s">
        <v>193</v>
      </c>
      <c r="D93" t="s">
        <v>194</v>
      </c>
      <c r="E93" s="54">
        <v>2050</v>
      </c>
      <c r="F93" t="s">
        <v>328</v>
      </c>
      <c r="G93" t="s">
        <v>327</v>
      </c>
      <c r="H93">
        <v>2021</v>
      </c>
      <c r="I93">
        <v>2013</v>
      </c>
      <c r="J93">
        <v>102</v>
      </c>
      <c r="K93" t="s">
        <v>429</v>
      </c>
      <c r="L93">
        <v>2030</v>
      </c>
      <c r="M93" s="57">
        <v>0.3</v>
      </c>
    </row>
    <row r="94" spans="1:13">
      <c r="A94" t="s">
        <v>202</v>
      </c>
      <c r="B94" s="1" t="s">
        <v>203</v>
      </c>
      <c r="C94" t="s">
        <v>204</v>
      </c>
      <c r="D94" t="s">
        <v>52</v>
      </c>
      <c r="F94" t="s">
        <v>326</v>
      </c>
      <c r="G94" t="s">
        <v>329</v>
      </c>
      <c r="H94">
        <v>2020</v>
      </c>
      <c r="I94">
        <v>2015</v>
      </c>
      <c r="J94">
        <v>0.82</v>
      </c>
      <c r="K94" t="s">
        <v>432</v>
      </c>
      <c r="L94">
        <v>2030</v>
      </c>
      <c r="M94" s="57">
        <v>0.35</v>
      </c>
    </row>
    <row r="95" spans="1:13">
      <c r="A95" t="s">
        <v>205</v>
      </c>
      <c r="B95" s="1" t="s">
        <v>206</v>
      </c>
      <c r="C95" t="s">
        <v>207</v>
      </c>
      <c r="D95" t="s">
        <v>52</v>
      </c>
      <c r="F95" s="54" t="s">
        <v>328</v>
      </c>
      <c r="G95" t="s">
        <v>331</v>
      </c>
      <c r="H95">
        <v>2018</v>
      </c>
      <c r="I95" s="55">
        <v>2005</v>
      </c>
      <c r="J95" s="56">
        <v>21445571</v>
      </c>
      <c r="K95" t="s">
        <v>428</v>
      </c>
      <c r="L95">
        <v>2030</v>
      </c>
      <c r="M95" s="57">
        <v>0.5</v>
      </c>
    </row>
    <row r="96" spans="1:13">
      <c r="A96" t="s">
        <v>205</v>
      </c>
      <c r="B96" s="1" t="s">
        <v>206</v>
      </c>
      <c r="C96" t="s">
        <v>207</v>
      </c>
      <c r="D96" t="s">
        <v>52</v>
      </c>
      <c r="F96" s="54" t="s">
        <v>328</v>
      </c>
      <c r="G96" t="s">
        <v>331</v>
      </c>
      <c r="H96">
        <v>2018</v>
      </c>
      <c r="I96" s="55">
        <v>2005</v>
      </c>
      <c r="J96" s="56">
        <v>21445571</v>
      </c>
      <c r="K96" t="s">
        <v>428</v>
      </c>
      <c r="L96">
        <v>2050</v>
      </c>
      <c r="M96" s="57">
        <v>0.95</v>
      </c>
    </row>
    <row r="97" spans="1:15">
      <c r="A97" t="s">
        <v>1264</v>
      </c>
      <c r="B97" s="1" t="s">
        <v>1227</v>
      </c>
      <c r="C97" t="s">
        <v>1256</v>
      </c>
      <c r="D97" t="s">
        <v>1229</v>
      </c>
      <c r="E97" s="37">
        <v>2040</v>
      </c>
      <c r="F97" s="54" t="s">
        <v>326</v>
      </c>
      <c r="G97" t="s">
        <v>327</v>
      </c>
      <c r="H97" s="37">
        <v>2019</v>
      </c>
      <c r="I97">
        <v>2019</v>
      </c>
      <c r="J97">
        <v>65</v>
      </c>
      <c r="K97" t="s">
        <v>434</v>
      </c>
      <c r="L97">
        <v>2025</v>
      </c>
      <c r="M97" s="57">
        <f>(65-10)/65</f>
        <v>0.84615384615384615</v>
      </c>
      <c r="N97" s="93" t="s">
        <v>1245</v>
      </c>
      <c r="O97">
        <v>5</v>
      </c>
    </row>
    <row r="98" spans="1:15">
      <c r="A98" t="s">
        <v>1265</v>
      </c>
      <c r="B98" s="1" t="s">
        <v>1227</v>
      </c>
      <c r="C98" t="s">
        <v>1257</v>
      </c>
      <c r="D98" t="s">
        <v>1229</v>
      </c>
      <c r="E98" s="37">
        <v>2040</v>
      </c>
      <c r="F98" s="54" t="s">
        <v>326</v>
      </c>
      <c r="G98" t="s">
        <v>329</v>
      </c>
      <c r="H98" s="37">
        <v>2019</v>
      </c>
      <c r="I98">
        <v>2019</v>
      </c>
      <c r="J98">
        <v>214</v>
      </c>
      <c r="K98" t="s">
        <v>434</v>
      </c>
      <c r="L98">
        <v>2040</v>
      </c>
      <c r="M98" s="57">
        <f>(214-2.9)/214</f>
        <v>0.98644859813084107</v>
      </c>
      <c r="N98" s="93" t="s">
        <v>1245</v>
      </c>
      <c r="O98">
        <v>5</v>
      </c>
    </row>
    <row r="99" spans="1:15">
      <c r="A99" t="s">
        <v>1265</v>
      </c>
      <c r="B99" s="1" t="s">
        <v>1227</v>
      </c>
      <c r="C99" t="s">
        <v>1257</v>
      </c>
      <c r="D99" t="s">
        <v>1229</v>
      </c>
      <c r="E99" s="37">
        <v>2040</v>
      </c>
      <c r="F99" s="54" t="s">
        <v>328</v>
      </c>
      <c r="G99" t="s">
        <v>332</v>
      </c>
      <c r="H99" s="37">
        <v>2019</v>
      </c>
      <c r="I99">
        <v>2019</v>
      </c>
      <c r="J99">
        <v>34.6</v>
      </c>
      <c r="K99" t="s">
        <v>429</v>
      </c>
      <c r="L99">
        <v>2032</v>
      </c>
      <c r="M99" s="57">
        <v>0.5</v>
      </c>
      <c r="N99" s="93" t="s">
        <v>1245</v>
      </c>
      <c r="O99">
        <v>5</v>
      </c>
    </row>
    <row r="100" spans="1:15">
      <c r="A100" t="s">
        <v>1265</v>
      </c>
      <c r="B100" s="1" t="s">
        <v>1227</v>
      </c>
      <c r="C100" t="s">
        <v>1257</v>
      </c>
      <c r="D100" t="s">
        <v>1229</v>
      </c>
      <c r="E100" s="37">
        <v>2040</v>
      </c>
      <c r="F100" s="54" t="s">
        <v>328</v>
      </c>
      <c r="G100" t="s">
        <v>332</v>
      </c>
      <c r="H100" s="37">
        <v>2019</v>
      </c>
      <c r="I100">
        <v>2019</v>
      </c>
      <c r="J100">
        <v>30.4</v>
      </c>
      <c r="K100" t="s">
        <v>429</v>
      </c>
      <c r="L100">
        <v>2040</v>
      </c>
      <c r="M100" s="57">
        <v>0.9</v>
      </c>
      <c r="N100" s="93" t="s">
        <v>1245</v>
      </c>
      <c r="O100">
        <v>5</v>
      </c>
    </row>
    <row r="101" spans="1:15">
      <c r="A101" t="s">
        <v>208</v>
      </c>
      <c r="B101" s="1" t="s">
        <v>209</v>
      </c>
      <c r="C101" t="s">
        <v>210</v>
      </c>
      <c r="D101" t="s">
        <v>170</v>
      </c>
      <c r="E101" s="54">
        <v>2050</v>
      </c>
      <c r="F101" s="54" t="s">
        <v>328</v>
      </c>
      <c r="G101" t="s">
        <v>327</v>
      </c>
      <c r="H101">
        <v>2021</v>
      </c>
      <c r="I101" s="55">
        <v>2015</v>
      </c>
      <c r="J101" s="56">
        <v>78</v>
      </c>
      <c r="K101" t="s">
        <v>429</v>
      </c>
      <c r="L101">
        <v>2030</v>
      </c>
      <c r="M101" s="57">
        <v>0.25</v>
      </c>
    </row>
    <row r="102" spans="1:15">
      <c r="A102" s="45" t="s">
        <v>208</v>
      </c>
      <c r="B102" s="46" t="s">
        <v>209</v>
      </c>
      <c r="C102" s="45" t="s">
        <v>210</v>
      </c>
      <c r="D102" s="45" t="s">
        <v>170</v>
      </c>
      <c r="E102" s="47">
        <v>2050</v>
      </c>
      <c r="F102" s="47" t="s">
        <v>326</v>
      </c>
      <c r="G102" s="45" t="s">
        <v>332</v>
      </c>
      <c r="H102" s="45">
        <v>2021</v>
      </c>
      <c r="I102" s="48">
        <v>2015</v>
      </c>
      <c r="J102" s="49">
        <f>526.9/749.7</f>
        <v>0.70281445911698004</v>
      </c>
      <c r="K102" s="45" t="s">
        <v>436</v>
      </c>
      <c r="L102" s="45">
        <v>2030</v>
      </c>
      <c r="M102" s="51">
        <v>0.1</v>
      </c>
    </row>
    <row r="103" spans="1:15">
      <c r="A103" t="s">
        <v>211</v>
      </c>
      <c r="B103" s="1" t="s">
        <v>212</v>
      </c>
      <c r="C103" t="s">
        <v>213</v>
      </c>
      <c r="D103" t="s">
        <v>214</v>
      </c>
      <c r="E103" s="54">
        <v>2050</v>
      </c>
      <c r="F103" s="54" t="s">
        <v>328</v>
      </c>
      <c r="G103" t="s">
        <v>327</v>
      </c>
      <c r="H103">
        <v>2019</v>
      </c>
      <c r="I103" s="55">
        <v>2019</v>
      </c>
      <c r="J103" s="56">
        <v>53.8</v>
      </c>
      <c r="K103" t="s">
        <v>429</v>
      </c>
      <c r="L103">
        <v>2024</v>
      </c>
      <c r="M103" s="57">
        <f>1-49.5/J103</f>
        <v>7.9925650557620798E-2</v>
      </c>
    </row>
    <row r="104" spans="1:15">
      <c r="A104" s="45" t="s">
        <v>211</v>
      </c>
      <c r="B104" s="46" t="s">
        <v>212</v>
      </c>
      <c r="C104" s="45" t="s">
        <v>213</v>
      </c>
      <c r="D104" s="45" t="s">
        <v>214</v>
      </c>
      <c r="E104" s="47">
        <v>2050</v>
      </c>
      <c r="F104" s="47" t="s">
        <v>326</v>
      </c>
      <c r="G104" s="45" t="s">
        <v>332</v>
      </c>
      <c r="H104" s="45">
        <v>2019</v>
      </c>
      <c r="I104" s="48">
        <v>2019</v>
      </c>
      <c r="J104" s="49">
        <v>1</v>
      </c>
      <c r="K104" s="45" t="s">
        <v>436</v>
      </c>
      <c r="L104" s="45">
        <v>2024</v>
      </c>
      <c r="M104" s="51">
        <v>0.08</v>
      </c>
    </row>
    <row r="105" spans="1:15">
      <c r="A105" t="s">
        <v>216</v>
      </c>
      <c r="B105" s="1" t="s">
        <v>217</v>
      </c>
      <c r="C105" t="s">
        <v>218</v>
      </c>
      <c r="D105" t="s">
        <v>52</v>
      </c>
      <c r="E105" s="54">
        <v>2045</v>
      </c>
      <c r="F105" s="54" t="s">
        <v>328</v>
      </c>
      <c r="G105" t="s">
        <v>327</v>
      </c>
      <c r="H105">
        <v>2021</v>
      </c>
      <c r="I105" s="55">
        <v>2016</v>
      </c>
      <c r="J105">
        <v>2.2165439930000002</v>
      </c>
      <c r="K105" t="s">
        <v>429</v>
      </c>
      <c r="L105">
        <v>2045</v>
      </c>
      <c r="M105" s="57">
        <v>1</v>
      </c>
    </row>
    <row r="106" spans="1:15">
      <c r="A106" t="s">
        <v>219</v>
      </c>
      <c r="B106" s="1" t="s">
        <v>220</v>
      </c>
      <c r="C106" t="s">
        <v>221</v>
      </c>
      <c r="D106" t="s">
        <v>52</v>
      </c>
      <c r="E106" s="54">
        <v>2040</v>
      </c>
      <c r="F106" s="54" t="s">
        <v>328</v>
      </c>
      <c r="G106" t="s">
        <v>331</v>
      </c>
      <c r="H106">
        <v>2019</v>
      </c>
      <c r="I106" s="55">
        <v>2005</v>
      </c>
      <c r="J106" s="13">
        <v>6976930.1319702603</v>
      </c>
      <c r="K106" t="s">
        <v>428</v>
      </c>
      <c r="L106">
        <v>2040</v>
      </c>
      <c r="M106" s="57">
        <v>1</v>
      </c>
    </row>
    <row r="107" spans="1:15">
      <c r="A107" t="s">
        <v>222</v>
      </c>
      <c r="B107" s="1" t="s">
        <v>223</v>
      </c>
      <c r="C107" t="s">
        <v>224</v>
      </c>
      <c r="D107" t="s">
        <v>225</v>
      </c>
      <c r="E107" s="54">
        <v>2050</v>
      </c>
      <c r="F107" s="54" t="s">
        <v>328</v>
      </c>
      <c r="G107" t="s">
        <v>329</v>
      </c>
      <c r="H107">
        <v>2021</v>
      </c>
      <c r="I107" s="55">
        <v>2018</v>
      </c>
      <c r="J107">
        <v>78.8</v>
      </c>
      <c r="K107" t="s">
        <v>429</v>
      </c>
      <c r="L107">
        <v>2030</v>
      </c>
      <c r="M107" s="57">
        <v>0.2</v>
      </c>
    </row>
    <row r="108" spans="1:15">
      <c r="A108" t="s">
        <v>222</v>
      </c>
      <c r="B108" s="1" t="s">
        <v>223</v>
      </c>
      <c r="C108" t="s">
        <v>224</v>
      </c>
      <c r="D108" t="s">
        <v>225</v>
      </c>
      <c r="E108" s="54">
        <v>2050</v>
      </c>
      <c r="F108" s="54" t="s">
        <v>328</v>
      </c>
      <c r="G108" t="s">
        <v>329</v>
      </c>
      <c r="H108">
        <v>2021</v>
      </c>
      <c r="I108" s="55">
        <v>2018</v>
      </c>
      <c r="J108">
        <v>78.8</v>
      </c>
      <c r="K108" t="s">
        <v>429</v>
      </c>
      <c r="L108">
        <v>2040</v>
      </c>
      <c r="M108" s="57">
        <v>0.5</v>
      </c>
    </row>
    <row r="109" spans="1:15">
      <c r="A109" t="s">
        <v>226</v>
      </c>
      <c r="B109" s="1" t="s">
        <v>227</v>
      </c>
      <c r="C109" t="s">
        <v>228</v>
      </c>
      <c r="D109" t="s">
        <v>52</v>
      </c>
      <c r="E109" s="54">
        <v>2050</v>
      </c>
      <c r="F109" s="54" t="s">
        <v>328</v>
      </c>
      <c r="G109" t="s">
        <v>327</v>
      </c>
      <c r="H109">
        <v>2021</v>
      </c>
      <c r="I109" s="55">
        <v>2010</v>
      </c>
      <c r="J109" s="56">
        <f>60736086+1597157</f>
        <v>62333243</v>
      </c>
      <c r="K109" t="s">
        <v>428</v>
      </c>
      <c r="L109">
        <v>2035</v>
      </c>
      <c r="M109" s="57">
        <v>0.7</v>
      </c>
    </row>
    <row r="110" spans="1:15">
      <c r="A110" t="s">
        <v>226</v>
      </c>
      <c r="B110" s="1" t="s">
        <v>227</v>
      </c>
      <c r="C110" t="s">
        <v>228</v>
      </c>
      <c r="D110" t="s">
        <v>52</v>
      </c>
      <c r="E110" s="54">
        <v>2050</v>
      </c>
      <c r="F110" s="54" t="s">
        <v>328</v>
      </c>
      <c r="G110" t="s">
        <v>327</v>
      </c>
      <c r="H110">
        <v>2021</v>
      </c>
      <c r="I110" s="55">
        <v>2010</v>
      </c>
      <c r="J110" s="56">
        <f>60736086+1597157</f>
        <v>62333243</v>
      </c>
      <c r="K110" t="s">
        <v>428</v>
      </c>
      <c r="L110">
        <v>2040</v>
      </c>
      <c r="M110" s="57">
        <v>0.8</v>
      </c>
    </row>
    <row r="111" spans="1:15">
      <c r="A111" t="s">
        <v>229</v>
      </c>
      <c r="B111" s="1" t="s">
        <v>230</v>
      </c>
      <c r="C111" t="s">
        <v>231</v>
      </c>
      <c r="D111" t="s">
        <v>52</v>
      </c>
      <c r="E111" s="54">
        <v>2050</v>
      </c>
      <c r="F111" s="54" t="s">
        <v>328</v>
      </c>
      <c r="G111" t="s">
        <v>327</v>
      </c>
      <c r="H111">
        <v>2020</v>
      </c>
      <c r="I111" s="55">
        <v>2005</v>
      </c>
      <c r="J111" s="14">
        <v>16557441</v>
      </c>
      <c r="K111" t="s">
        <v>428</v>
      </c>
      <c r="L111">
        <v>2030</v>
      </c>
      <c r="M111" s="57">
        <v>0.7</v>
      </c>
    </row>
    <row r="112" spans="1:15">
      <c r="A112" t="s">
        <v>232</v>
      </c>
      <c r="B112" s="1" t="s">
        <v>233</v>
      </c>
      <c r="C112" t="s">
        <v>234</v>
      </c>
      <c r="D112" t="s">
        <v>52</v>
      </c>
      <c r="E112" s="54">
        <v>2040</v>
      </c>
      <c r="F112" s="54" t="s">
        <v>326</v>
      </c>
      <c r="G112" t="s">
        <v>327</v>
      </c>
      <c r="H112">
        <v>2020</v>
      </c>
      <c r="I112" s="55">
        <v>2010</v>
      </c>
      <c r="J112">
        <v>0.47</v>
      </c>
      <c r="K112" t="s">
        <v>430</v>
      </c>
      <c r="L112">
        <v>2030</v>
      </c>
      <c r="M112" s="57">
        <v>0.8</v>
      </c>
    </row>
    <row r="113" spans="1:13">
      <c r="A113" t="s">
        <v>235</v>
      </c>
      <c r="B113" s="1" t="s">
        <v>236</v>
      </c>
      <c r="C113" t="s">
        <v>237</v>
      </c>
      <c r="D113" t="s">
        <v>52</v>
      </c>
      <c r="E113" s="54">
        <v>2030</v>
      </c>
      <c r="F113" s="54" t="s">
        <v>328</v>
      </c>
      <c r="G113" t="s">
        <v>327</v>
      </c>
      <c r="H113">
        <v>2021</v>
      </c>
      <c r="I113" s="55">
        <v>2005</v>
      </c>
      <c r="J113" s="56">
        <v>26566330</v>
      </c>
      <c r="K113" t="s">
        <v>428</v>
      </c>
      <c r="L113">
        <v>2030</v>
      </c>
      <c r="M113" s="57">
        <v>1</v>
      </c>
    </row>
    <row r="114" spans="1:13">
      <c r="A114" t="s">
        <v>520</v>
      </c>
      <c r="B114" s="1" t="s">
        <v>521</v>
      </c>
      <c r="C114" t="s">
        <v>522</v>
      </c>
      <c r="D114" t="s">
        <v>83</v>
      </c>
      <c r="E114" s="37">
        <v>2040</v>
      </c>
      <c r="F114" s="54" t="s">
        <v>326</v>
      </c>
      <c r="G114" t="s">
        <v>327</v>
      </c>
      <c r="H114" s="37">
        <v>2021</v>
      </c>
      <c r="I114">
        <v>2019</v>
      </c>
      <c r="J114">
        <f>(91.7+4.72)/'ITR V2 esg data'!N954</f>
        <v>0.59899999999999998</v>
      </c>
      <c r="K114" t="s">
        <v>430</v>
      </c>
      <c r="L114">
        <v>2030</v>
      </c>
      <c r="M114" s="57">
        <v>0.5</v>
      </c>
    </row>
    <row r="115" spans="1:13">
      <c r="A115" t="s">
        <v>520</v>
      </c>
      <c r="B115" s="1" t="s">
        <v>521</v>
      </c>
      <c r="C115" t="s">
        <v>522</v>
      </c>
      <c r="D115" t="s">
        <v>83</v>
      </c>
      <c r="E115" s="37">
        <v>2040</v>
      </c>
      <c r="F115" s="54" t="s">
        <v>328</v>
      </c>
      <c r="G115" t="s">
        <v>332</v>
      </c>
      <c r="H115" s="37">
        <v>2021</v>
      </c>
      <c r="I115">
        <v>2019</v>
      </c>
      <c r="J115">
        <v>22.3</v>
      </c>
      <c r="K115" t="s">
        <v>429</v>
      </c>
      <c r="L115">
        <v>2030</v>
      </c>
      <c r="M115" s="57">
        <v>0.3</v>
      </c>
    </row>
    <row r="116" spans="1:13">
      <c r="A116" t="s">
        <v>238</v>
      </c>
      <c r="B116" s="1" t="s">
        <v>239</v>
      </c>
      <c r="C116" t="s">
        <v>240</v>
      </c>
      <c r="D116" t="s">
        <v>241</v>
      </c>
      <c r="F116" s="54" t="s">
        <v>326</v>
      </c>
      <c r="G116" t="s">
        <v>327</v>
      </c>
      <c r="H116">
        <v>2021</v>
      </c>
      <c r="I116" s="55">
        <v>2018</v>
      </c>
      <c r="J116" s="56">
        <v>10.199999999999999</v>
      </c>
      <c r="K116" t="s">
        <v>438</v>
      </c>
      <c r="L116">
        <v>2035</v>
      </c>
      <c r="M116" s="57">
        <v>0.15</v>
      </c>
    </row>
    <row r="117" spans="1:13">
      <c r="A117" t="s">
        <v>242</v>
      </c>
      <c r="B117" s="1" t="s">
        <v>243</v>
      </c>
      <c r="C117" t="s">
        <v>244</v>
      </c>
      <c r="D117" t="s">
        <v>52</v>
      </c>
      <c r="E117" s="54">
        <v>2050</v>
      </c>
      <c r="F117" s="54" t="s">
        <v>326</v>
      </c>
      <c r="G117" t="s">
        <v>329</v>
      </c>
      <c r="H117">
        <v>2020</v>
      </c>
      <c r="I117" s="55">
        <v>2019</v>
      </c>
      <c r="J117" s="59">
        <v>0.80243130614229896</v>
      </c>
      <c r="K117" t="s">
        <v>430</v>
      </c>
      <c r="L117">
        <v>2030</v>
      </c>
      <c r="M117" s="57">
        <v>0.5</v>
      </c>
    </row>
    <row r="118" spans="1:13">
      <c r="A118" t="s">
        <v>245</v>
      </c>
      <c r="B118" s="1" t="s">
        <v>246</v>
      </c>
      <c r="C118" t="s">
        <v>247</v>
      </c>
      <c r="D118" t="s">
        <v>89</v>
      </c>
      <c r="E118" s="54">
        <v>2050</v>
      </c>
      <c r="F118" s="54" t="s">
        <v>328</v>
      </c>
      <c r="G118" t="s">
        <v>327</v>
      </c>
      <c r="H118">
        <v>2021</v>
      </c>
      <c r="I118" s="55">
        <v>2016</v>
      </c>
      <c r="J118" s="59">
        <v>68</v>
      </c>
      <c r="K118" t="s">
        <v>429</v>
      </c>
      <c r="L118">
        <v>2030</v>
      </c>
      <c r="M118" s="57">
        <v>0.5</v>
      </c>
    </row>
    <row r="119" spans="1:13">
      <c r="A119" t="s">
        <v>249</v>
      </c>
      <c r="B119" s="1" t="s">
        <v>250</v>
      </c>
      <c r="C119" t="s">
        <v>251</v>
      </c>
      <c r="D119" t="s">
        <v>252</v>
      </c>
      <c r="E119" s="54">
        <v>2050</v>
      </c>
      <c r="F119" s="54" t="s">
        <v>328</v>
      </c>
      <c r="G119" t="s">
        <v>327</v>
      </c>
      <c r="H119">
        <v>2018</v>
      </c>
      <c r="I119" s="55">
        <v>2018</v>
      </c>
      <c r="J119" s="59">
        <v>171.52</v>
      </c>
      <c r="K119" t="s">
        <v>429</v>
      </c>
      <c r="L119">
        <v>2023</v>
      </c>
      <c r="M119" s="57">
        <f>1-(J119-12.6)/J119</f>
        <v>7.3460820895522305E-2</v>
      </c>
    </row>
    <row r="120" spans="1:13">
      <c r="A120" s="45" t="s">
        <v>249</v>
      </c>
      <c r="B120" s="46" t="s">
        <v>250</v>
      </c>
      <c r="C120" s="45" t="s">
        <v>251</v>
      </c>
      <c r="D120" s="45" t="s">
        <v>252</v>
      </c>
      <c r="E120" s="47">
        <v>2050</v>
      </c>
      <c r="F120" s="47" t="s">
        <v>326</v>
      </c>
      <c r="G120" s="45" t="s">
        <v>332</v>
      </c>
      <c r="H120" s="45">
        <v>2018</v>
      </c>
      <c r="I120" s="48">
        <v>2018</v>
      </c>
      <c r="J120" s="58">
        <v>1</v>
      </c>
      <c r="K120" s="45" t="s">
        <v>436</v>
      </c>
      <c r="L120" s="45">
        <v>2023</v>
      </c>
      <c r="M120" s="51">
        <v>7.0000000000000007E-2</v>
      </c>
    </row>
    <row r="121" spans="1:13">
      <c r="A121" t="s">
        <v>253</v>
      </c>
      <c r="B121" s="1" t="s">
        <v>254</v>
      </c>
      <c r="C121" t="s">
        <v>255</v>
      </c>
      <c r="D121" t="s">
        <v>225</v>
      </c>
      <c r="E121" s="54">
        <v>2050</v>
      </c>
      <c r="F121" s="54" t="s">
        <v>328</v>
      </c>
      <c r="G121" t="s">
        <v>327</v>
      </c>
      <c r="H121">
        <v>2020</v>
      </c>
      <c r="I121" s="55">
        <v>2019</v>
      </c>
      <c r="J121" s="59">
        <v>1243</v>
      </c>
      <c r="K121" t="s">
        <v>439</v>
      </c>
      <c r="L121">
        <v>2025</v>
      </c>
      <c r="M121" s="57">
        <f>1-(957/1243)</f>
        <v>0.23008849557522126</v>
      </c>
    </row>
    <row r="122" spans="1:13">
      <c r="A122" t="s">
        <v>253</v>
      </c>
      <c r="B122" s="1" t="s">
        <v>254</v>
      </c>
      <c r="C122" t="s">
        <v>255</v>
      </c>
      <c r="D122" t="s">
        <v>225</v>
      </c>
      <c r="E122" s="54">
        <v>2050</v>
      </c>
      <c r="F122" s="54" t="s">
        <v>328</v>
      </c>
      <c r="G122" t="s">
        <v>327</v>
      </c>
      <c r="H122">
        <v>2020</v>
      </c>
      <c r="I122" s="55">
        <v>2019</v>
      </c>
      <c r="J122" s="59">
        <v>1243</v>
      </c>
      <c r="K122" t="s">
        <v>439</v>
      </c>
      <c r="L122">
        <v>2030</v>
      </c>
      <c r="M122" s="57">
        <f>1-(612/1243)</f>
        <v>0.50764279967819792</v>
      </c>
    </row>
    <row r="123" spans="1:13">
      <c r="A123" t="s">
        <v>253</v>
      </c>
      <c r="B123" s="1" t="s">
        <v>254</v>
      </c>
      <c r="C123" t="s">
        <v>255</v>
      </c>
      <c r="D123" t="s">
        <v>225</v>
      </c>
      <c r="E123" s="54">
        <v>2050</v>
      </c>
      <c r="F123" s="54" t="s">
        <v>328</v>
      </c>
      <c r="G123" t="s">
        <v>327</v>
      </c>
      <c r="H123">
        <v>2020</v>
      </c>
      <c r="I123" s="55">
        <v>2019</v>
      </c>
      <c r="J123" s="59">
        <v>1243</v>
      </c>
      <c r="K123" t="s">
        <v>439</v>
      </c>
      <c r="L123">
        <v>2040</v>
      </c>
      <c r="M123" s="57">
        <f>1-(280/1243)</f>
        <v>0.77473853580048269</v>
      </c>
    </row>
    <row r="124" spans="1:13">
      <c r="A124" t="s">
        <v>253</v>
      </c>
      <c r="B124" s="1" t="s">
        <v>254</v>
      </c>
      <c r="C124" t="s">
        <v>255</v>
      </c>
      <c r="D124" t="s">
        <v>225</v>
      </c>
      <c r="E124" s="54">
        <v>2050</v>
      </c>
      <c r="F124" s="54" t="s">
        <v>328</v>
      </c>
      <c r="G124" t="s">
        <v>327</v>
      </c>
      <c r="H124">
        <v>2020</v>
      </c>
      <c r="I124" s="55">
        <v>2019</v>
      </c>
      <c r="J124" s="59">
        <v>1243</v>
      </c>
      <c r="K124" t="s">
        <v>439</v>
      </c>
      <c r="L124">
        <v>2050</v>
      </c>
      <c r="M124" s="57">
        <v>1</v>
      </c>
    </row>
    <row r="125" spans="1:13">
      <c r="A125" t="s">
        <v>253</v>
      </c>
      <c r="B125" s="1" t="s">
        <v>254</v>
      </c>
      <c r="C125" t="s">
        <v>255</v>
      </c>
      <c r="D125" t="s">
        <v>225</v>
      </c>
      <c r="E125" s="54">
        <v>2050</v>
      </c>
      <c r="F125" s="54" t="s">
        <v>328</v>
      </c>
      <c r="G125" t="s">
        <v>332</v>
      </c>
      <c r="H125">
        <v>2020</v>
      </c>
      <c r="I125" s="55">
        <v>2019</v>
      </c>
      <c r="J125" s="59">
        <v>15063</v>
      </c>
      <c r="K125" t="s">
        <v>439</v>
      </c>
      <c r="L125">
        <v>2025</v>
      </c>
      <c r="M125" s="57">
        <f>1-(14998/15063)</f>
        <v>4.3152094536280661E-3</v>
      </c>
    </row>
    <row r="126" spans="1:13">
      <c r="A126" t="s">
        <v>253</v>
      </c>
      <c r="B126" s="1" t="s">
        <v>254</v>
      </c>
      <c r="C126" t="s">
        <v>255</v>
      </c>
      <c r="D126" t="s">
        <v>225</v>
      </c>
      <c r="E126" s="54">
        <v>2050</v>
      </c>
      <c r="F126" s="54" t="s">
        <v>328</v>
      </c>
      <c r="G126" t="s">
        <v>332</v>
      </c>
      <c r="H126">
        <v>2020</v>
      </c>
      <c r="I126" s="55">
        <v>2019</v>
      </c>
      <c r="J126" s="59">
        <v>15063</v>
      </c>
      <c r="K126" t="s">
        <v>439</v>
      </c>
      <c r="L126">
        <v>2030</v>
      </c>
      <c r="M126" s="57">
        <f>1-(11493/15063)</f>
        <v>0.23700458076080466</v>
      </c>
    </row>
    <row r="127" spans="1:13">
      <c r="A127" t="s">
        <v>253</v>
      </c>
      <c r="B127" s="1" t="s">
        <v>254</v>
      </c>
      <c r="C127" t="s">
        <v>255</v>
      </c>
      <c r="D127" t="s">
        <v>225</v>
      </c>
      <c r="E127" s="54">
        <v>2050</v>
      </c>
      <c r="F127" s="54" t="s">
        <v>328</v>
      </c>
      <c r="G127" t="s">
        <v>332</v>
      </c>
      <c r="H127">
        <v>2020</v>
      </c>
      <c r="I127" s="55">
        <v>2019</v>
      </c>
      <c r="J127" s="59">
        <v>15063</v>
      </c>
      <c r="K127" t="s">
        <v>439</v>
      </c>
      <c r="L127">
        <v>2040</v>
      </c>
      <c r="M127" s="57">
        <f>1-(7819/15063)</f>
        <v>0.48091349664741423</v>
      </c>
    </row>
    <row r="128" spans="1:13">
      <c r="A128" t="s">
        <v>253</v>
      </c>
      <c r="B128" s="1" t="s">
        <v>254</v>
      </c>
      <c r="C128" t="s">
        <v>255</v>
      </c>
      <c r="D128" t="s">
        <v>225</v>
      </c>
      <c r="E128" s="54">
        <v>2050</v>
      </c>
      <c r="F128" s="54" t="s">
        <v>328</v>
      </c>
      <c r="G128" t="s">
        <v>332</v>
      </c>
      <c r="H128">
        <v>2020</v>
      </c>
      <c r="I128" s="55">
        <v>2019</v>
      </c>
      <c r="J128" s="59">
        <v>15063</v>
      </c>
      <c r="K128" t="s">
        <v>439</v>
      </c>
      <c r="L128">
        <v>2050</v>
      </c>
      <c r="M128" s="57">
        <f>1-(4331/15063)</f>
        <v>0.71247427471287261</v>
      </c>
    </row>
    <row r="129" spans="1:13" s="45" customFormat="1">
      <c r="A129" s="45" t="s">
        <v>253</v>
      </c>
      <c r="B129" s="46" t="s">
        <v>254</v>
      </c>
      <c r="C129" s="45" t="s">
        <v>255</v>
      </c>
      <c r="D129" s="45" t="s">
        <v>225</v>
      </c>
      <c r="E129" s="47">
        <v>2050</v>
      </c>
      <c r="F129" s="47" t="s">
        <v>328</v>
      </c>
      <c r="G129" s="45" t="s">
        <v>329</v>
      </c>
      <c r="H129" s="45">
        <v>2020</v>
      </c>
      <c r="I129" s="48">
        <v>2019</v>
      </c>
      <c r="J129" s="58">
        <f>J121+J125</f>
        <v>16306</v>
      </c>
      <c r="K129" s="45" t="s">
        <v>439</v>
      </c>
      <c r="L129" s="45">
        <v>2050</v>
      </c>
      <c r="M129" s="51">
        <v>1</v>
      </c>
    </row>
    <row r="130" spans="1:13">
      <c r="A130" t="s">
        <v>257</v>
      </c>
      <c r="B130" s="1" t="s">
        <v>258</v>
      </c>
      <c r="C130" t="s">
        <v>259</v>
      </c>
      <c r="D130" t="s">
        <v>52</v>
      </c>
      <c r="E130" s="54">
        <v>2050</v>
      </c>
      <c r="F130" s="54" t="s">
        <v>326</v>
      </c>
      <c r="G130" t="s">
        <v>327</v>
      </c>
      <c r="H130">
        <v>2020</v>
      </c>
      <c r="I130" s="55">
        <v>2007</v>
      </c>
      <c r="J130" s="59">
        <v>0.98420553538837796</v>
      </c>
      <c r="K130" t="s">
        <v>430</v>
      </c>
      <c r="L130">
        <v>2030</v>
      </c>
      <c r="M130" s="57">
        <v>0.5</v>
      </c>
    </row>
    <row r="131" spans="1:13">
      <c r="A131" t="s">
        <v>260</v>
      </c>
      <c r="B131" s="1" t="s">
        <v>261</v>
      </c>
      <c r="C131" t="s">
        <v>262</v>
      </c>
      <c r="D131" t="s">
        <v>52</v>
      </c>
      <c r="E131" s="54">
        <v>2050</v>
      </c>
      <c r="F131" s="54" t="s">
        <v>326</v>
      </c>
      <c r="G131" t="s">
        <v>327</v>
      </c>
      <c r="H131">
        <v>2021</v>
      </c>
      <c r="I131" s="55">
        <v>2018</v>
      </c>
      <c r="J131">
        <v>0.49299999999999999</v>
      </c>
      <c r="K131" t="s">
        <v>432</v>
      </c>
      <c r="L131">
        <v>2025</v>
      </c>
      <c r="M131" s="57">
        <v>0.2</v>
      </c>
    </row>
    <row r="132" spans="1:13">
      <c r="A132" t="s">
        <v>260</v>
      </c>
      <c r="B132" s="1" t="s">
        <v>261</v>
      </c>
      <c r="C132" t="s">
        <v>262</v>
      </c>
      <c r="D132" t="s">
        <v>52</v>
      </c>
      <c r="E132" s="54">
        <v>2050</v>
      </c>
      <c r="F132" s="54" t="s">
        <v>326</v>
      </c>
      <c r="G132" t="s">
        <v>327</v>
      </c>
      <c r="H132">
        <v>2021</v>
      </c>
      <c r="I132" s="55">
        <v>2018</v>
      </c>
      <c r="J132">
        <v>0.49299999999999999</v>
      </c>
      <c r="K132" t="s">
        <v>432</v>
      </c>
      <c r="L132">
        <v>2030</v>
      </c>
      <c r="M132" s="57">
        <v>0.5</v>
      </c>
    </row>
    <row r="133" spans="1:13">
      <c r="A133" t="s">
        <v>263</v>
      </c>
      <c r="B133" s="1" t="s">
        <v>264</v>
      </c>
      <c r="C133" t="s">
        <v>1096</v>
      </c>
      <c r="D133" t="s">
        <v>162</v>
      </c>
      <c r="E133" s="54">
        <v>2050</v>
      </c>
      <c r="F133" s="54" t="s">
        <v>326</v>
      </c>
      <c r="G133" t="s">
        <v>327</v>
      </c>
      <c r="H133">
        <v>2020</v>
      </c>
      <c r="I133" s="55">
        <v>2019</v>
      </c>
      <c r="J133" s="59">
        <f>'ITR V2 esg data'!N1020*1000/'ITR V2 esg data'!N1026</f>
        <v>8.1851135073222961E-2</v>
      </c>
      <c r="K133" t="s">
        <v>430</v>
      </c>
      <c r="L133">
        <v>2030</v>
      </c>
      <c r="M133" s="57">
        <v>0.3</v>
      </c>
    </row>
    <row r="134" spans="1:13">
      <c r="A134" t="s">
        <v>263</v>
      </c>
      <c r="B134" s="1" t="s">
        <v>264</v>
      </c>
      <c r="C134" t="s">
        <v>1097</v>
      </c>
      <c r="D134" t="s">
        <v>162</v>
      </c>
      <c r="E134" s="54">
        <v>2050</v>
      </c>
      <c r="F134" s="54" t="s">
        <v>326</v>
      </c>
      <c r="G134" t="s">
        <v>327</v>
      </c>
      <c r="H134">
        <v>2020</v>
      </c>
      <c r="I134" s="55">
        <v>2019</v>
      </c>
      <c r="J134" s="59">
        <f>'ITR V2 esg data'!N1021/'ITR V2 esg data'!N1027</f>
        <v>0.97200830375678027</v>
      </c>
      <c r="K134" t="s">
        <v>1100</v>
      </c>
      <c r="L134">
        <v>2030</v>
      </c>
      <c r="M134" s="57">
        <v>0.3</v>
      </c>
    </row>
    <row r="135" spans="1:13">
      <c r="A135" t="s">
        <v>263</v>
      </c>
      <c r="B135" s="1" t="s">
        <v>264</v>
      </c>
      <c r="C135" t="s">
        <v>1098</v>
      </c>
      <c r="D135" t="s">
        <v>162</v>
      </c>
      <c r="E135" s="54">
        <v>2050</v>
      </c>
      <c r="F135" s="54" t="s">
        <v>326</v>
      </c>
      <c r="G135" t="s">
        <v>327</v>
      </c>
      <c r="H135">
        <v>2020</v>
      </c>
      <c r="I135" s="55">
        <v>2019</v>
      </c>
      <c r="J135" s="59">
        <f>'ITR V2 esg data'!N1022/'ITR V2 esg data'!N1028</f>
        <v>3.8337182448036953</v>
      </c>
      <c r="K135" t="s">
        <v>1101</v>
      </c>
      <c r="L135">
        <v>2030</v>
      </c>
      <c r="M135" s="57">
        <v>0.3</v>
      </c>
    </row>
    <row r="136" spans="1:13">
      <c r="A136" t="s">
        <v>266</v>
      </c>
      <c r="B136" s="1" t="s">
        <v>267</v>
      </c>
      <c r="C136" t="s">
        <v>268</v>
      </c>
      <c r="D136" t="s">
        <v>269</v>
      </c>
      <c r="F136" s="54" t="s">
        <v>326</v>
      </c>
      <c r="G136" t="s">
        <v>329</v>
      </c>
      <c r="H136">
        <v>2021</v>
      </c>
      <c r="I136" s="55">
        <v>2018</v>
      </c>
      <c r="J136" s="59">
        <v>2.9</v>
      </c>
      <c r="K136" t="s">
        <v>432</v>
      </c>
      <c r="L136">
        <v>2030</v>
      </c>
      <c r="M136" s="57">
        <v>0.3</v>
      </c>
    </row>
    <row r="137" spans="1:13">
      <c r="A137" t="s">
        <v>270</v>
      </c>
      <c r="B137" s="1" t="s">
        <v>271</v>
      </c>
      <c r="C137" t="s">
        <v>272</v>
      </c>
      <c r="D137" t="s">
        <v>194</v>
      </c>
      <c r="E137" s="54">
        <v>2050</v>
      </c>
      <c r="F137" s="54" t="s">
        <v>326</v>
      </c>
      <c r="G137" t="s">
        <v>327</v>
      </c>
      <c r="H137">
        <v>2020</v>
      </c>
      <c r="I137" s="55">
        <v>2013</v>
      </c>
      <c r="J137" s="59">
        <v>0.75</v>
      </c>
      <c r="K137" t="s">
        <v>440</v>
      </c>
      <c r="L137">
        <v>2030</v>
      </c>
      <c r="M137" s="57">
        <v>0.5</v>
      </c>
    </row>
    <row r="138" spans="1:13">
      <c r="A138" t="s">
        <v>273</v>
      </c>
      <c r="B138" t="s">
        <v>274</v>
      </c>
      <c r="C138" t="s">
        <v>275</v>
      </c>
      <c r="D138" t="s">
        <v>269</v>
      </c>
      <c r="F138" s="54" t="s">
        <v>326</v>
      </c>
      <c r="G138" t="s">
        <v>327</v>
      </c>
      <c r="H138">
        <v>2021</v>
      </c>
      <c r="I138" s="55">
        <v>2018</v>
      </c>
      <c r="J138" s="59">
        <v>1.69</v>
      </c>
      <c r="K138" t="s">
        <v>432</v>
      </c>
      <c r="L138">
        <v>2030</v>
      </c>
      <c r="M138" s="57">
        <v>0.2</v>
      </c>
    </row>
    <row r="139" spans="1:13">
      <c r="A139" t="s">
        <v>276</v>
      </c>
      <c r="B139" s="1" t="s">
        <v>277</v>
      </c>
      <c r="C139" t="s">
        <v>278</v>
      </c>
      <c r="D139" t="s">
        <v>52</v>
      </c>
      <c r="E139" s="54">
        <v>2050</v>
      </c>
      <c r="F139" s="54" t="s">
        <v>326</v>
      </c>
      <c r="G139" t="s">
        <v>332</v>
      </c>
      <c r="H139">
        <v>2021</v>
      </c>
      <c r="I139" s="55">
        <v>2017</v>
      </c>
      <c r="J139" s="59">
        <f>(185000+403000)/(25200*1.6)</f>
        <v>14.583333333333334</v>
      </c>
      <c r="K139" t="s">
        <v>431</v>
      </c>
      <c r="L139">
        <v>2030</v>
      </c>
      <c r="M139" s="57">
        <v>0</v>
      </c>
    </row>
    <row r="140" spans="1:13">
      <c r="A140" t="s">
        <v>276</v>
      </c>
      <c r="B140" s="1" t="s">
        <v>277</v>
      </c>
      <c r="C140" t="s">
        <v>278</v>
      </c>
      <c r="D140" t="s">
        <v>52</v>
      </c>
      <c r="E140" s="54">
        <v>2050</v>
      </c>
      <c r="F140" s="54" t="s">
        <v>326</v>
      </c>
      <c r="G140" t="s">
        <v>327</v>
      </c>
      <c r="H140">
        <v>2021</v>
      </c>
      <c r="I140" s="55">
        <v>2017</v>
      </c>
      <c r="J140" s="59">
        <f>(185000+403000)/(25200*1.6)</f>
        <v>14.583333333333334</v>
      </c>
      <c r="K140" t="s">
        <v>431</v>
      </c>
      <c r="L140">
        <v>2030</v>
      </c>
      <c r="M140" s="57">
        <v>0</v>
      </c>
    </row>
    <row r="141" spans="1:13">
      <c r="A141" t="s">
        <v>279</v>
      </c>
      <c r="B141" s="1" t="s">
        <v>280</v>
      </c>
      <c r="C141" t="s">
        <v>281</v>
      </c>
      <c r="D141" t="s">
        <v>52</v>
      </c>
      <c r="F141" s="54" t="s">
        <v>326</v>
      </c>
      <c r="G141" t="s">
        <v>327</v>
      </c>
      <c r="H141">
        <v>2021</v>
      </c>
      <c r="I141" s="55">
        <v>2018</v>
      </c>
      <c r="J141" s="59">
        <v>0.42172199999999999</v>
      </c>
      <c r="K141" t="s">
        <v>432</v>
      </c>
      <c r="L141">
        <v>2030</v>
      </c>
      <c r="M141" s="57">
        <v>0.4</v>
      </c>
    </row>
    <row r="142" spans="1:13">
      <c r="A142" t="s">
        <v>523</v>
      </c>
      <c r="B142" s="1" t="s">
        <v>525</v>
      </c>
      <c r="C142" t="s">
        <v>524</v>
      </c>
      <c r="D142" t="s">
        <v>127</v>
      </c>
      <c r="E142" s="37">
        <v>2050</v>
      </c>
      <c r="F142" s="54" t="s">
        <v>328</v>
      </c>
      <c r="G142" t="s">
        <v>327</v>
      </c>
      <c r="H142" s="37">
        <v>2021</v>
      </c>
      <c r="I142">
        <v>2015</v>
      </c>
      <c r="J142">
        <v>46</v>
      </c>
      <c r="K142" t="s">
        <v>429</v>
      </c>
      <c r="L142">
        <v>2030</v>
      </c>
      <c r="M142" s="57">
        <v>0.4</v>
      </c>
    </row>
    <row r="143" spans="1:13">
      <c r="A143" t="s">
        <v>523</v>
      </c>
      <c r="B143" s="1" t="s">
        <v>525</v>
      </c>
      <c r="C143" t="s">
        <v>524</v>
      </c>
      <c r="D143" t="s">
        <v>127</v>
      </c>
      <c r="E143" s="37">
        <v>2050</v>
      </c>
      <c r="F143" s="54" t="s">
        <v>328</v>
      </c>
      <c r="G143" t="s">
        <v>332</v>
      </c>
      <c r="H143" s="37">
        <v>2021</v>
      </c>
      <c r="I143">
        <v>2015</v>
      </c>
      <c r="J143">
        <v>410</v>
      </c>
      <c r="K143" t="s">
        <v>429</v>
      </c>
      <c r="L143">
        <v>2030</v>
      </c>
      <c r="M143" s="57">
        <f>1-380/410</f>
        <v>7.3170731707317027E-2</v>
      </c>
    </row>
    <row r="144" spans="1:13">
      <c r="A144" t="s">
        <v>523</v>
      </c>
      <c r="B144" s="1" t="s">
        <v>525</v>
      </c>
      <c r="C144" t="s">
        <v>524</v>
      </c>
      <c r="D144" t="s">
        <v>127</v>
      </c>
      <c r="E144" s="37">
        <v>2050</v>
      </c>
      <c r="F144" s="54" t="s">
        <v>328</v>
      </c>
      <c r="G144" t="s">
        <v>331</v>
      </c>
      <c r="H144" s="37">
        <v>2021</v>
      </c>
      <c r="I144">
        <v>2015</v>
      </c>
      <c r="J144">
        <v>50</v>
      </c>
      <c r="K144" t="s">
        <v>429</v>
      </c>
      <c r="L144">
        <v>2050</v>
      </c>
      <c r="M144" s="57">
        <v>0.8</v>
      </c>
    </row>
    <row r="145" spans="1:13">
      <c r="A145" t="s">
        <v>523</v>
      </c>
      <c r="B145" s="1" t="s">
        <v>525</v>
      </c>
      <c r="C145" t="s">
        <v>524</v>
      </c>
      <c r="D145" t="s">
        <v>127</v>
      </c>
      <c r="E145" s="37">
        <v>2050</v>
      </c>
      <c r="F145" s="54" t="s">
        <v>328</v>
      </c>
      <c r="G145" t="s">
        <v>332</v>
      </c>
      <c r="H145" s="37">
        <v>2021</v>
      </c>
      <c r="I145">
        <v>2015</v>
      </c>
      <c r="J145">
        <v>410</v>
      </c>
      <c r="K145" t="s">
        <v>429</v>
      </c>
      <c r="L145">
        <v>2050</v>
      </c>
      <c r="M145" s="57">
        <f>1-100/410</f>
        <v>0.75609756097560976</v>
      </c>
    </row>
    <row r="146" spans="1:13">
      <c r="A146" t="s">
        <v>282</v>
      </c>
      <c r="B146" s="1" t="s">
        <v>283</v>
      </c>
      <c r="C146" t="s">
        <v>284</v>
      </c>
      <c r="D146" t="s">
        <v>194</v>
      </c>
      <c r="E146" s="54">
        <v>2050</v>
      </c>
      <c r="F146" s="54" t="s">
        <v>326</v>
      </c>
      <c r="G146" t="s">
        <v>332</v>
      </c>
      <c r="H146">
        <v>2020</v>
      </c>
      <c r="I146" s="55">
        <v>2020</v>
      </c>
      <c r="J146" s="15">
        <v>130</v>
      </c>
      <c r="K146" t="s">
        <v>431</v>
      </c>
      <c r="L146">
        <v>2030</v>
      </c>
      <c r="M146" s="16">
        <v>0.2</v>
      </c>
    </row>
    <row r="147" spans="1:13">
      <c r="A147" t="s">
        <v>282</v>
      </c>
      <c r="B147" s="1" t="s">
        <v>283</v>
      </c>
      <c r="C147" t="s">
        <v>284</v>
      </c>
      <c r="D147" t="s">
        <v>194</v>
      </c>
      <c r="E147" s="54">
        <v>2050</v>
      </c>
      <c r="F147" s="54" t="s">
        <v>328</v>
      </c>
      <c r="G147" t="s">
        <v>327</v>
      </c>
      <c r="I147" s="55">
        <v>2020</v>
      </c>
      <c r="J147" s="15">
        <v>4.9000000000000004</v>
      </c>
      <c r="K147" t="s">
        <v>429</v>
      </c>
      <c r="L147">
        <v>2030</v>
      </c>
      <c r="M147" s="16">
        <v>0.2</v>
      </c>
    </row>
    <row r="148" spans="1:13">
      <c r="A148" t="s">
        <v>286</v>
      </c>
      <c r="B148" s="1" t="s">
        <v>287</v>
      </c>
      <c r="C148" t="s">
        <v>288</v>
      </c>
      <c r="D148" t="s">
        <v>52</v>
      </c>
      <c r="F148" s="54" t="s">
        <v>326</v>
      </c>
      <c r="G148" t="s">
        <v>327</v>
      </c>
      <c r="H148">
        <v>2020</v>
      </c>
      <c r="I148" s="55">
        <v>2018</v>
      </c>
      <c r="J148" s="59">
        <v>0.315911</v>
      </c>
      <c r="K148" t="s">
        <v>432</v>
      </c>
      <c r="L148">
        <v>2030</v>
      </c>
      <c r="M148" s="57">
        <v>0.2</v>
      </c>
    </row>
    <row r="149" spans="1:13">
      <c r="A149" t="s">
        <v>289</v>
      </c>
      <c r="B149" s="1" t="s">
        <v>290</v>
      </c>
      <c r="C149" t="s">
        <v>291</v>
      </c>
      <c r="D149" t="s">
        <v>292</v>
      </c>
      <c r="E149" s="54">
        <v>2050</v>
      </c>
      <c r="F149" s="54" t="s">
        <v>328</v>
      </c>
      <c r="G149" t="s">
        <v>331</v>
      </c>
      <c r="H149">
        <v>2021</v>
      </c>
      <c r="I149" s="55">
        <v>2015</v>
      </c>
      <c r="J149" s="59">
        <v>1.8</v>
      </c>
      <c r="K149" t="s">
        <v>429</v>
      </c>
      <c r="L149">
        <v>2030</v>
      </c>
      <c r="M149" s="57">
        <v>0.16</v>
      </c>
    </row>
    <row r="150" spans="1:13">
      <c r="A150" t="s">
        <v>289</v>
      </c>
      <c r="B150" s="1" t="s">
        <v>290</v>
      </c>
      <c r="C150" t="s">
        <v>291</v>
      </c>
      <c r="D150" t="s">
        <v>292</v>
      </c>
      <c r="E150" s="54">
        <v>2050</v>
      </c>
      <c r="F150" s="54" t="s">
        <v>328</v>
      </c>
      <c r="G150" t="s">
        <v>333</v>
      </c>
      <c r="H150">
        <v>2021</v>
      </c>
      <c r="I150" s="55">
        <v>2015</v>
      </c>
      <c r="J150" s="59">
        <v>3.7</v>
      </c>
      <c r="K150" t="s">
        <v>429</v>
      </c>
      <c r="L150">
        <v>2030</v>
      </c>
      <c r="M150" s="57">
        <f>3.7/3.5-1</f>
        <v>5.7142857142857162E-2</v>
      </c>
    </row>
    <row r="151" spans="1:13">
      <c r="A151" s="54" t="s">
        <v>293</v>
      </c>
      <c r="B151" s="54" t="s">
        <v>294</v>
      </c>
      <c r="C151" s="54" t="s">
        <v>295</v>
      </c>
      <c r="D151" t="s">
        <v>162</v>
      </c>
      <c r="E151" s="54">
        <v>2050</v>
      </c>
      <c r="F151" s="54" t="s">
        <v>328</v>
      </c>
      <c r="G151" s="54" t="s">
        <v>331</v>
      </c>
      <c r="H151" s="54">
        <v>2020</v>
      </c>
      <c r="I151" s="54">
        <v>2005</v>
      </c>
      <c r="J151" s="54">
        <v>11.6416389602593</v>
      </c>
      <c r="K151" s="54" t="s">
        <v>429</v>
      </c>
      <c r="L151" s="54">
        <v>2050</v>
      </c>
      <c r="M151" s="284">
        <v>1</v>
      </c>
    </row>
    <row r="152" spans="1:13">
      <c r="A152" t="s">
        <v>296</v>
      </c>
      <c r="B152" t="s">
        <v>297</v>
      </c>
      <c r="C152" t="s">
        <v>298</v>
      </c>
      <c r="D152" t="s">
        <v>52</v>
      </c>
      <c r="E152" s="54">
        <v>2050</v>
      </c>
      <c r="F152" s="54" t="s">
        <v>328</v>
      </c>
      <c r="G152" t="s">
        <v>327</v>
      </c>
      <c r="H152">
        <v>2020</v>
      </c>
      <c r="I152" s="55">
        <v>2010</v>
      </c>
      <c r="J152">
        <v>173</v>
      </c>
      <c r="K152" t="s">
        <v>429</v>
      </c>
      <c r="L152">
        <v>2030</v>
      </c>
      <c r="M152" s="57">
        <v>0.6</v>
      </c>
    </row>
    <row r="153" spans="1:13">
      <c r="A153" t="s">
        <v>299</v>
      </c>
      <c r="B153" s="1" t="s">
        <v>300</v>
      </c>
      <c r="C153" t="s">
        <v>301</v>
      </c>
      <c r="D153" t="s">
        <v>52</v>
      </c>
      <c r="E153" s="54">
        <v>2050</v>
      </c>
      <c r="F153" s="54" t="s">
        <v>326</v>
      </c>
      <c r="G153" t="s">
        <v>327</v>
      </c>
      <c r="H153">
        <v>2020</v>
      </c>
      <c r="I153" s="55">
        <v>2005</v>
      </c>
      <c r="J153">
        <v>0.78</v>
      </c>
      <c r="K153" t="s">
        <v>430</v>
      </c>
      <c r="L153">
        <v>2025</v>
      </c>
      <c r="M153" s="57">
        <v>0.6</v>
      </c>
    </row>
    <row r="154" spans="1:13">
      <c r="A154" t="s">
        <v>299</v>
      </c>
      <c r="B154" s="1" t="s">
        <v>300</v>
      </c>
      <c r="C154" t="s">
        <v>301</v>
      </c>
      <c r="D154" t="s">
        <v>52</v>
      </c>
      <c r="E154" s="54">
        <v>2050</v>
      </c>
      <c r="F154" s="54" t="s">
        <v>326</v>
      </c>
      <c r="G154" t="s">
        <v>327</v>
      </c>
      <c r="H154">
        <v>2020</v>
      </c>
      <c r="I154" s="55">
        <v>2005</v>
      </c>
      <c r="J154">
        <v>0.78</v>
      </c>
      <c r="K154" t="s">
        <v>430</v>
      </c>
      <c r="L154">
        <v>2030</v>
      </c>
      <c r="M154" s="57">
        <v>0.8</v>
      </c>
    </row>
    <row r="155" spans="1:13">
      <c r="A155" t="s">
        <v>302</v>
      </c>
      <c r="B155" t="s">
        <v>303</v>
      </c>
      <c r="C155" t="s">
        <v>304</v>
      </c>
      <c r="D155" t="s">
        <v>52</v>
      </c>
      <c r="E155" s="54">
        <v>2050</v>
      </c>
      <c r="F155" s="54" t="s">
        <v>326</v>
      </c>
      <c r="G155" t="s">
        <v>327</v>
      </c>
      <c r="H155">
        <v>2020</v>
      </c>
      <c r="I155" s="55">
        <v>2018</v>
      </c>
      <c r="J155" s="59">
        <v>0.315911</v>
      </c>
      <c r="K155" t="s">
        <v>432</v>
      </c>
      <c r="L155">
        <v>2030</v>
      </c>
      <c r="M155" s="57">
        <v>0.3</v>
      </c>
    </row>
    <row r="156" spans="1:13">
      <c r="A156" t="s">
        <v>305</v>
      </c>
      <c r="B156" s="1" t="s">
        <v>306</v>
      </c>
      <c r="C156" t="s">
        <v>307</v>
      </c>
      <c r="D156" t="s">
        <v>52</v>
      </c>
      <c r="E156" s="54">
        <v>2050</v>
      </c>
      <c r="F156" s="54" t="s">
        <v>326</v>
      </c>
      <c r="G156" t="s">
        <v>331</v>
      </c>
      <c r="H156">
        <v>2020</v>
      </c>
      <c r="I156" s="55">
        <v>2005</v>
      </c>
      <c r="J156" s="59">
        <v>0.88086205923584704</v>
      </c>
      <c r="K156" t="s">
        <v>430</v>
      </c>
      <c r="L156">
        <v>2030</v>
      </c>
      <c r="M156" s="57">
        <v>0.8</v>
      </c>
    </row>
    <row r="157" spans="1:13">
      <c r="A157" t="s">
        <v>308</v>
      </c>
      <c r="B157" s="1" t="s">
        <v>309</v>
      </c>
      <c r="C157" t="s">
        <v>310</v>
      </c>
      <c r="D157" t="s">
        <v>52</v>
      </c>
      <c r="E157" s="54">
        <v>2050</v>
      </c>
      <c r="F157" s="54" t="s">
        <v>328</v>
      </c>
      <c r="G157" t="s">
        <v>327</v>
      </c>
      <c r="H157">
        <v>2020</v>
      </c>
      <c r="I157" s="55">
        <v>2010</v>
      </c>
      <c r="J157">
        <v>357983</v>
      </c>
      <c r="K157" t="s">
        <v>428</v>
      </c>
      <c r="L157">
        <v>2030</v>
      </c>
      <c r="M157" s="57">
        <v>0.5</v>
      </c>
    </row>
    <row r="158" spans="1:13">
      <c r="A158" t="s">
        <v>312</v>
      </c>
      <c r="B158" s="1" t="s">
        <v>313</v>
      </c>
      <c r="C158" t="s">
        <v>314</v>
      </c>
      <c r="D158" t="s">
        <v>52</v>
      </c>
      <c r="E158" s="54">
        <v>2050</v>
      </c>
      <c r="F158" s="54" t="s">
        <v>328</v>
      </c>
      <c r="G158" t="s">
        <v>327</v>
      </c>
      <c r="H158">
        <v>2020</v>
      </c>
      <c r="I158" s="55">
        <v>2019</v>
      </c>
      <c r="J158">
        <v>87198</v>
      </c>
      <c r="K158" t="s">
        <v>428</v>
      </c>
      <c r="L158">
        <v>2035</v>
      </c>
      <c r="M158" s="57">
        <v>0.68</v>
      </c>
    </row>
    <row r="159" spans="1:13">
      <c r="A159" t="s">
        <v>312</v>
      </c>
      <c r="B159" s="1" t="s">
        <v>313</v>
      </c>
      <c r="C159" t="s">
        <v>314</v>
      </c>
      <c r="D159" t="s">
        <v>52</v>
      </c>
      <c r="E159" s="54">
        <v>2050</v>
      </c>
      <c r="F159" s="54" t="s">
        <v>326</v>
      </c>
      <c r="G159" t="s">
        <v>332</v>
      </c>
      <c r="H159">
        <v>2020</v>
      </c>
      <c r="I159" s="55">
        <v>2019</v>
      </c>
      <c r="J159">
        <f>0.01865*1000</f>
        <v>18.649999999999999</v>
      </c>
      <c r="K159" t="s">
        <v>441</v>
      </c>
      <c r="L159">
        <v>2035</v>
      </c>
      <c r="M159" s="57">
        <v>0.79</v>
      </c>
    </row>
    <row r="160" spans="1:13">
      <c r="A160" t="str">
        <f>'ITR V2 input data'!A92</f>
        <v>Air Liquide SA</v>
      </c>
      <c r="B160" t="str">
        <f>'ITR V2 input data'!B92</f>
        <v>529900KDAQXRLFTJYL75</v>
      </c>
      <c r="C160" t="str">
        <f>'ITR V2 input data'!C92</f>
        <v>FR0000120073</v>
      </c>
      <c r="D160" t="str">
        <f>'ITR V2 input data'!D92</f>
        <v>France</v>
      </c>
      <c r="E160" s="37">
        <v>2050</v>
      </c>
      <c r="F160" s="37" t="s">
        <v>328</v>
      </c>
      <c r="G160" s="37" t="s">
        <v>779</v>
      </c>
      <c r="H160" s="37">
        <v>2021</v>
      </c>
      <c r="I160">
        <v>2020</v>
      </c>
      <c r="J160" s="158">
        <v>29.414000000000001</v>
      </c>
      <c r="K160" s="37" t="s">
        <v>429</v>
      </c>
      <c r="L160" s="37">
        <v>2035</v>
      </c>
      <c r="M160" s="11">
        <v>0.33</v>
      </c>
    </row>
    <row r="161" spans="1:13">
      <c r="A161" t="str">
        <f>'ITR V2 input data'!A92</f>
        <v>Air Liquide SA</v>
      </c>
      <c r="B161" t="str">
        <f>'ITR V2 input data'!B92</f>
        <v>529900KDAQXRLFTJYL75</v>
      </c>
      <c r="C161" t="str">
        <f>'ITR V2 input data'!C92</f>
        <v>FR0000120073</v>
      </c>
      <c r="D161" t="str">
        <f>'ITR V2 input data'!D92</f>
        <v>France</v>
      </c>
      <c r="E161" s="37">
        <v>2050</v>
      </c>
      <c r="F161" s="37" t="s">
        <v>326</v>
      </c>
      <c r="G161" s="37" t="s">
        <v>779</v>
      </c>
      <c r="H161" s="37">
        <v>2020</v>
      </c>
      <c r="I161">
        <v>2015</v>
      </c>
      <c r="J161" s="10">
        <v>7.3</v>
      </c>
      <c r="K161" t="s">
        <v>910</v>
      </c>
      <c r="L161" s="37">
        <v>2025</v>
      </c>
      <c r="M161" s="11">
        <v>0.3</v>
      </c>
    </row>
    <row r="162" spans="1:13">
      <c r="A162" t="str">
        <f>'ITR V2 input data'!A93</f>
        <v>Koninklijke DSM NV</v>
      </c>
      <c r="B162">
        <f>'ITR V2 input data'!B93</f>
        <v>0</v>
      </c>
      <c r="C162" t="str">
        <f>'ITR V2 input data'!C93</f>
        <v>NL0000009827</v>
      </c>
      <c r="D162" t="str">
        <f>'ITR V2 input data'!D93</f>
        <v>Netherlands</v>
      </c>
      <c r="E162" s="37">
        <v>2050</v>
      </c>
      <c r="F162" t="s">
        <v>328</v>
      </c>
      <c r="G162" t="s">
        <v>911</v>
      </c>
      <c r="H162" s="37">
        <v>2022</v>
      </c>
      <c r="I162">
        <v>2016</v>
      </c>
      <c r="J162">
        <v>1.66</v>
      </c>
      <c r="K162" s="37" t="s">
        <v>664</v>
      </c>
      <c r="L162">
        <v>2030</v>
      </c>
      <c r="M162" s="57">
        <v>0.5</v>
      </c>
    </row>
    <row r="163" spans="1:13">
      <c r="A163" t="str">
        <f>'ITR V2 input data'!A93</f>
        <v>Koninklijke DSM NV</v>
      </c>
      <c r="B163">
        <f>'ITR V2 input data'!B93</f>
        <v>0</v>
      </c>
      <c r="C163" t="str">
        <f>'ITR V2 input data'!C93</f>
        <v>NL0000009827</v>
      </c>
      <c r="D163" t="str">
        <f>'ITR V2 input data'!D93</f>
        <v>Netherlands</v>
      </c>
      <c r="E163" s="37">
        <v>2050</v>
      </c>
      <c r="F163" s="37" t="s">
        <v>326</v>
      </c>
      <c r="G163" s="37" t="s">
        <v>415</v>
      </c>
      <c r="H163" s="37">
        <v>2022</v>
      </c>
      <c r="I163" s="37">
        <v>2016</v>
      </c>
      <c r="J163" s="159">
        <f>13/8000</f>
        <v>1.6249999999999999E-3</v>
      </c>
      <c r="K163" s="37" t="s">
        <v>912</v>
      </c>
      <c r="L163" s="37">
        <v>2030</v>
      </c>
      <c r="M163" s="11">
        <v>0.28000000000000003</v>
      </c>
    </row>
    <row r="164" spans="1:13">
      <c r="A164" t="str">
        <f>'ITR V2 input data'!A94</f>
        <v>L'Oreal SA</v>
      </c>
      <c r="B164">
        <f>'ITR V2 input data'!B94</f>
        <v>0</v>
      </c>
      <c r="C164" t="str">
        <f>'ITR V2 input data'!C94</f>
        <v>FR0000120321</v>
      </c>
      <c r="D164" t="str">
        <f>'ITR V2 input data'!D94</f>
        <v>France</v>
      </c>
      <c r="E164" s="54">
        <v>2050</v>
      </c>
      <c r="F164" s="37" t="s">
        <v>326</v>
      </c>
      <c r="G164" s="37" t="s">
        <v>779</v>
      </c>
      <c r="H164">
        <v>2021</v>
      </c>
      <c r="I164" s="48">
        <v>2016</v>
      </c>
      <c r="J164" s="48">
        <v>1</v>
      </c>
      <c r="K164" t="s">
        <v>913</v>
      </c>
      <c r="L164">
        <v>2030</v>
      </c>
      <c r="M164" s="57">
        <v>0.5</v>
      </c>
    </row>
    <row r="165" spans="1:13">
      <c r="A165" t="str">
        <f>'ITR V2 input data'!A94</f>
        <v>L'Oreal SA</v>
      </c>
      <c r="B165">
        <f>'ITR V2 input data'!B94</f>
        <v>0</v>
      </c>
      <c r="C165" t="str">
        <f>'ITR V2 input data'!C94</f>
        <v>FR0000120321</v>
      </c>
      <c r="D165" t="str">
        <f>'ITR V2 input data'!D94</f>
        <v>France</v>
      </c>
      <c r="E165" s="54">
        <v>2050</v>
      </c>
      <c r="F165" s="37" t="s">
        <v>328</v>
      </c>
      <c r="G165" s="37" t="s">
        <v>779</v>
      </c>
      <c r="H165">
        <v>2022</v>
      </c>
      <c r="I165" s="54">
        <v>2016</v>
      </c>
      <c r="J165" s="56">
        <v>9881</v>
      </c>
      <c r="K165" s="37" t="s">
        <v>427</v>
      </c>
      <c r="L165">
        <v>2030</v>
      </c>
      <c r="M165" s="57">
        <v>0.25</v>
      </c>
    </row>
    <row r="166" spans="1:13">
      <c r="A166" t="str">
        <f>'ITR V2 input data'!A95</f>
        <v>Givaudan SA</v>
      </c>
      <c r="B166">
        <f>'ITR V2 input data'!B95</f>
        <v>0</v>
      </c>
      <c r="C166" t="str">
        <f>'ITR V2 input data'!C95</f>
        <v>CH0010645932</v>
      </c>
      <c r="D166" t="str">
        <f>'ITR V2 input data'!D95</f>
        <v>Switzerland</v>
      </c>
      <c r="E166" s="54">
        <v>2040</v>
      </c>
      <c r="F166" s="37" t="s">
        <v>328</v>
      </c>
      <c r="G166" t="s">
        <v>911</v>
      </c>
      <c r="H166">
        <v>2021</v>
      </c>
      <c r="I166">
        <v>2015</v>
      </c>
      <c r="J166" s="160">
        <v>0.246253</v>
      </c>
      <c r="K166" s="37" t="s">
        <v>429</v>
      </c>
      <c r="L166">
        <v>2030</v>
      </c>
      <c r="M166" s="57">
        <v>0.7</v>
      </c>
    </row>
    <row r="167" spans="1:13">
      <c r="A167" t="str">
        <f>'ITR V2 input data'!A95</f>
        <v>Givaudan SA</v>
      </c>
      <c r="B167">
        <f>'ITR V2 input data'!B95</f>
        <v>0</v>
      </c>
      <c r="C167" t="str">
        <f>'ITR V2 input data'!C95</f>
        <v>CH0010645932</v>
      </c>
      <c r="D167" t="str">
        <f>'ITR V2 input data'!D95</f>
        <v>Switzerland</v>
      </c>
      <c r="E167" s="54">
        <v>2050</v>
      </c>
      <c r="F167" s="37" t="s">
        <v>328</v>
      </c>
      <c r="G167" s="37" t="s">
        <v>415</v>
      </c>
      <c r="H167">
        <v>2021</v>
      </c>
      <c r="I167">
        <v>2015</v>
      </c>
      <c r="J167" s="161">
        <v>2.4703430000000002</v>
      </c>
      <c r="K167" s="37" t="s">
        <v>429</v>
      </c>
      <c r="L167">
        <v>2030</v>
      </c>
      <c r="M167" s="57">
        <v>0.2</v>
      </c>
    </row>
    <row r="168" spans="1:13">
      <c r="A168" t="str">
        <f>'ITR V2 input data'!A95</f>
        <v>Givaudan SA</v>
      </c>
      <c r="B168">
        <f>'ITR V2 input data'!B95</f>
        <v>0</v>
      </c>
      <c r="C168" t="str">
        <f>'ITR V2 input data'!C95</f>
        <v>CH0010645932</v>
      </c>
      <c r="D168" t="str">
        <f>'ITR V2 input data'!D95</f>
        <v>Switzerland</v>
      </c>
      <c r="E168" s="54">
        <v>2040</v>
      </c>
      <c r="F168" s="37" t="s">
        <v>328</v>
      </c>
      <c r="G168" t="s">
        <v>911</v>
      </c>
      <c r="H168">
        <v>2021</v>
      </c>
      <c r="I168">
        <v>2015</v>
      </c>
      <c r="J168" s="160">
        <v>0.246253</v>
      </c>
      <c r="K168" s="37" t="s">
        <v>429</v>
      </c>
      <c r="L168">
        <v>2040</v>
      </c>
      <c r="M168" s="57">
        <v>1</v>
      </c>
    </row>
    <row r="169" spans="1:13">
      <c r="A169" t="str">
        <f>'ITR V2 input data'!A95</f>
        <v>Givaudan SA</v>
      </c>
      <c r="B169">
        <f>'ITR V2 input data'!B95</f>
        <v>0</v>
      </c>
      <c r="C169" t="str">
        <f>'ITR V2 input data'!C95</f>
        <v>CH0010645932</v>
      </c>
      <c r="D169" t="str">
        <f>'ITR V2 input data'!D95</f>
        <v>Switzerland</v>
      </c>
      <c r="E169" s="54">
        <v>2040</v>
      </c>
      <c r="F169" s="37" t="s">
        <v>328</v>
      </c>
      <c r="G169" s="37" t="s">
        <v>415</v>
      </c>
      <c r="H169">
        <v>2021</v>
      </c>
      <c r="I169">
        <v>2015</v>
      </c>
      <c r="J169" s="161">
        <v>2.4703430000000002</v>
      </c>
      <c r="K169" s="37" t="s">
        <v>429</v>
      </c>
      <c r="L169">
        <v>2040</v>
      </c>
      <c r="M169" s="57">
        <v>0.5</v>
      </c>
    </row>
    <row r="170" spans="1:13">
      <c r="A170" t="str">
        <f>'ITR V2 input data'!A96</f>
        <v>BASF SE</v>
      </c>
      <c r="B170">
        <f>'ITR V2 input data'!B96</f>
        <v>0</v>
      </c>
      <c r="C170" t="str">
        <f>'ITR V2 input data'!C96</f>
        <v>DE000BASF111</v>
      </c>
      <c r="D170" t="str">
        <f>'ITR V2 input data'!D96</f>
        <v>Germany</v>
      </c>
      <c r="E170" s="54">
        <v>2050</v>
      </c>
      <c r="F170" s="54" t="s">
        <v>328</v>
      </c>
      <c r="G170" t="s">
        <v>911</v>
      </c>
      <c r="H170">
        <v>2021</v>
      </c>
      <c r="I170">
        <v>2018</v>
      </c>
      <c r="J170">
        <v>21.9</v>
      </c>
      <c r="K170" s="37" t="s">
        <v>429</v>
      </c>
      <c r="L170">
        <v>2030</v>
      </c>
      <c r="M170" s="57">
        <v>0.25</v>
      </c>
    </row>
    <row r="171" spans="1:13">
      <c r="A171" t="str">
        <f>'ITR V2 input data'!A97</f>
        <v>Arkema SA</v>
      </c>
      <c r="B171">
        <f>'ITR V2 input data'!B97</f>
        <v>0</v>
      </c>
      <c r="C171" t="str">
        <f>'ITR V2 input data'!C97</f>
        <v>FR0010313833</v>
      </c>
      <c r="D171" t="str">
        <f>'ITR V2 input data'!D97</f>
        <v>France</v>
      </c>
      <c r="F171" s="54" t="s">
        <v>328</v>
      </c>
      <c r="G171" t="s">
        <v>914</v>
      </c>
      <c r="H171">
        <v>2021</v>
      </c>
      <c r="I171">
        <v>2015</v>
      </c>
      <c r="J171">
        <v>4.72</v>
      </c>
      <c r="K171" s="37" t="s">
        <v>429</v>
      </c>
      <c r="L171">
        <v>2030</v>
      </c>
      <c r="M171" s="57">
        <v>0.38</v>
      </c>
    </row>
    <row r="172" spans="1:13">
      <c r="A172" t="str">
        <f>'ITR V2 input data'!A97</f>
        <v>Arkema SA</v>
      </c>
      <c r="B172">
        <f>'ITR V2 input data'!B97</f>
        <v>0</v>
      </c>
      <c r="C172" t="str">
        <f>'ITR V2 input data'!C97</f>
        <v>FR0010313833</v>
      </c>
      <c r="D172" t="str">
        <f>'ITR V2 input data'!D97</f>
        <v>France</v>
      </c>
      <c r="F172" s="54" t="s">
        <v>328</v>
      </c>
      <c r="G172" t="s">
        <v>911</v>
      </c>
      <c r="H172">
        <v>2022</v>
      </c>
      <c r="I172">
        <v>2019</v>
      </c>
      <c r="J172">
        <v>3.7</v>
      </c>
      <c r="K172" s="37" t="s">
        <v>429</v>
      </c>
      <c r="L172">
        <v>2030</v>
      </c>
      <c r="M172" s="57">
        <v>0.46</v>
      </c>
    </row>
    <row r="173" spans="1:13">
      <c r="A173" t="str">
        <f>'ITR V2 input data'!A97</f>
        <v>Arkema SA</v>
      </c>
      <c r="B173">
        <f>'ITR V2 input data'!B97</f>
        <v>0</v>
      </c>
      <c r="C173" t="str">
        <f>'ITR V2 input data'!C97</f>
        <v>FR0010313833</v>
      </c>
      <c r="D173" t="str">
        <f>'ITR V2 input data'!D97</f>
        <v>France</v>
      </c>
      <c r="E173"/>
      <c r="F173" s="54" t="s">
        <v>328</v>
      </c>
      <c r="G173" s="37" t="s">
        <v>415</v>
      </c>
      <c r="H173">
        <v>2022</v>
      </c>
      <c r="I173">
        <v>2019</v>
      </c>
      <c r="J173">
        <v>158</v>
      </c>
      <c r="K173" s="37" t="s">
        <v>429</v>
      </c>
      <c r="L173">
        <v>2030</v>
      </c>
      <c r="M173" s="57">
        <v>0.46</v>
      </c>
    </row>
    <row r="174" spans="1:13">
      <c r="A174" t="str">
        <f>'ITR V2 input data'!A97</f>
        <v>Arkema SA</v>
      </c>
      <c r="B174">
        <f>'ITR V2 input data'!B97</f>
        <v>0</v>
      </c>
      <c r="C174" t="str">
        <f>'ITR V2 input data'!C97</f>
        <v>FR0010313833</v>
      </c>
      <c r="D174" t="str">
        <f>'ITR V2 input data'!D97</f>
        <v>France</v>
      </c>
      <c r="E174" s="45"/>
      <c r="F174" s="47" t="s">
        <v>328</v>
      </c>
      <c r="G174" s="50" t="s">
        <v>779</v>
      </c>
      <c r="H174" s="45">
        <v>2022</v>
      </c>
      <c r="I174" s="45">
        <v>2015</v>
      </c>
      <c r="J174" s="45">
        <v>999</v>
      </c>
      <c r="K174" s="50" t="s">
        <v>427</v>
      </c>
      <c r="L174" s="45">
        <v>2030</v>
      </c>
      <c r="M174" s="51">
        <v>0.19</v>
      </c>
    </row>
    <row r="175" spans="1:13">
      <c r="A175" t="str">
        <f>'ITR V2 input data'!A98</f>
        <v>Linde Plc</v>
      </c>
      <c r="B175">
        <f>'ITR V2 input data'!B98</f>
        <v>0</v>
      </c>
      <c r="C175" t="str">
        <f>'ITR V2 input data'!C98</f>
        <v>IE00BZ12WP82</v>
      </c>
      <c r="D175" t="str">
        <f>'ITR V2 input data'!D98</f>
        <v>Ireland</v>
      </c>
      <c r="E175">
        <v>2050</v>
      </c>
      <c r="F175" s="54" t="s">
        <v>328</v>
      </c>
      <c r="G175" t="s">
        <v>911</v>
      </c>
      <c r="H175">
        <v>2022</v>
      </c>
      <c r="I175">
        <v>2021</v>
      </c>
      <c r="J175">
        <v>39</v>
      </c>
      <c r="K175" s="37" t="s">
        <v>429</v>
      </c>
      <c r="L175">
        <v>2035</v>
      </c>
      <c r="M175" s="57">
        <v>0.35</v>
      </c>
    </row>
    <row r="176" spans="1:13">
      <c r="A176" t="str">
        <f>'ITR V2 input data'!A99</f>
        <v>Nolato AB</v>
      </c>
      <c r="B176">
        <f>'ITR V2 input data'!B99</f>
        <v>0</v>
      </c>
      <c r="C176" t="str">
        <f>'ITR V2 input data'!C99</f>
        <v>SE0015962477</v>
      </c>
      <c r="D176" t="str">
        <f>'ITR V2 input data'!D99</f>
        <v>Sweden</v>
      </c>
      <c r="F176" s="54" t="s">
        <v>326</v>
      </c>
      <c r="G176" t="s">
        <v>911</v>
      </c>
      <c r="H176">
        <v>2021</v>
      </c>
      <c r="I176">
        <v>2012</v>
      </c>
      <c r="J176">
        <f>AVERAGE(17.7,16.9)</f>
        <v>17.299999999999997</v>
      </c>
      <c r="K176" s="37" t="s">
        <v>915</v>
      </c>
      <c r="L176">
        <v>2025</v>
      </c>
      <c r="M176" s="57">
        <v>0.8</v>
      </c>
    </row>
    <row r="177" spans="1:13">
      <c r="A177" t="str">
        <f>'ITR V2 input data'!A99</f>
        <v>Nolato AB</v>
      </c>
      <c r="B177">
        <f>'ITR V2 input data'!B99</f>
        <v>0</v>
      </c>
      <c r="C177" t="str">
        <f>'ITR V2 input data'!C99</f>
        <v>SE0015962477</v>
      </c>
      <c r="D177" t="str">
        <f>'ITR V2 input data'!D99</f>
        <v>Sweden</v>
      </c>
      <c r="E177"/>
      <c r="F177" s="54" t="s">
        <v>326</v>
      </c>
      <c r="G177" s="37" t="s">
        <v>415</v>
      </c>
      <c r="H177" s="45">
        <v>2021</v>
      </c>
      <c r="I177">
        <v>2020</v>
      </c>
      <c r="J177">
        <v>5</v>
      </c>
      <c r="K177" s="37" t="s">
        <v>915</v>
      </c>
      <c r="L177">
        <v>2025</v>
      </c>
      <c r="M177" s="57">
        <v>0.05</v>
      </c>
    </row>
    <row r="178" spans="1:13">
      <c r="A178" t="str">
        <f>'ITR V2 input data'!A100</f>
        <v>Shin-Etsu Chemical Co Ltd</v>
      </c>
      <c r="B178">
        <f>'ITR V2 input data'!B100</f>
        <v>0</v>
      </c>
      <c r="C178" t="str">
        <f>'ITR V2 input data'!C100</f>
        <v>JP3371200001</v>
      </c>
      <c r="D178" t="str">
        <f>'ITR V2 input data'!D100</f>
        <v>Japan</v>
      </c>
      <c r="E178">
        <v>2050</v>
      </c>
      <c r="F178" s="54" t="s">
        <v>326</v>
      </c>
      <c r="G178" s="37" t="s">
        <v>779</v>
      </c>
      <c r="H178">
        <v>2020</v>
      </c>
      <c r="I178">
        <v>1990</v>
      </c>
      <c r="J178" s="45">
        <v>166.7</v>
      </c>
      <c r="K178" s="37" t="s">
        <v>916</v>
      </c>
      <c r="L178">
        <v>2025</v>
      </c>
      <c r="M178" s="57">
        <v>0.45</v>
      </c>
    </row>
    <row r="179" spans="1:13">
      <c r="A179" t="str">
        <f>'ITR V2 input data'!A100</f>
        <v>Shin-Etsu Chemical Co Ltd</v>
      </c>
      <c r="B179">
        <f>'ITR V2 input data'!B100</f>
        <v>0</v>
      </c>
      <c r="C179" t="str">
        <f>'ITR V2 input data'!C100</f>
        <v>JP3371200001</v>
      </c>
      <c r="D179" t="str">
        <f>'ITR V2 input data'!D100</f>
        <v>Japan</v>
      </c>
      <c r="E179">
        <v>2050</v>
      </c>
      <c r="F179" s="54" t="s">
        <v>326</v>
      </c>
      <c r="G179" s="37" t="s">
        <v>779</v>
      </c>
      <c r="H179">
        <v>2019</v>
      </c>
      <c r="I179">
        <v>1990</v>
      </c>
      <c r="J179" s="45">
        <v>166.7</v>
      </c>
      <c r="K179" s="37" t="s">
        <v>916</v>
      </c>
      <c r="L179">
        <v>2025</v>
      </c>
      <c r="M179" s="57">
        <v>0.54</v>
      </c>
    </row>
    <row r="180" spans="1:13">
      <c r="A180" t="str">
        <f>'ITR V2 input data'!A101</f>
        <v>Synthomer Plc</v>
      </c>
      <c r="B180">
        <f>'ITR V2 input data'!B101</f>
        <v>0</v>
      </c>
      <c r="C180" t="str">
        <f>'ITR V2 input data'!C101</f>
        <v>GB0009887422</v>
      </c>
      <c r="D180" t="str">
        <f>'ITR V2 input data'!D101</f>
        <v>Great Britain</v>
      </c>
      <c r="E180">
        <v>2050</v>
      </c>
      <c r="F180" s="54" t="s">
        <v>326</v>
      </c>
      <c r="G180" t="s">
        <v>911</v>
      </c>
      <c r="H180">
        <v>2021</v>
      </c>
      <c r="I180">
        <v>2019</v>
      </c>
      <c r="J180" s="280">
        <f>412044/1400</f>
        <v>294.31714285714287</v>
      </c>
      <c r="K180" s="37" t="s">
        <v>1210</v>
      </c>
      <c r="L180">
        <v>2025</v>
      </c>
      <c r="M180" s="57">
        <v>0.4</v>
      </c>
    </row>
    <row r="181" spans="1:13">
      <c r="A181" t="str">
        <f>'ITR V2 input data'!A101</f>
        <v>Synthomer Plc</v>
      </c>
      <c r="B181">
        <f>'ITR V2 input data'!B101</f>
        <v>0</v>
      </c>
      <c r="C181" t="str">
        <f>'ITR V2 input data'!C101</f>
        <v>GB0009887422</v>
      </c>
      <c r="D181" t="str">
        <f>'ITR V2 input data'!D101</f>
        <v>Great Britain</v>
      </c>
      <c r="E181">
        <v>2050</v>
      </c>
      <c r="F181" s="54" t="s">
        <v>326</v>
      </c>
      <c r="G181" s="37" t="s">
        <v>415</v>
      </c>
      <c r="H181">
        <v>2021</v>
      </c>
      <c r="I181">
        <v>2019</v>
      </c>
      <c r="J181" s="45">
        <f>2.1/1.4</f>
        <v>1.5000000000000002</v>
      </c>
      <c r="K181" s="37" t="s">
        <v>1211</v>
      </c>
      <c r="L181" s="45">
        <v>2025</v>
      </c>
      <c r="M181" s="57">
        <v>0.1</v>
      </c>
    </row>
    <row r="182" spans="1:13">
      <c r="A182" t="str">
        <f>'ITR V2 input data'!A102</f>
        <v>LG H&amp;H Co Ltd</v>
      </c>
      <c r="B182">
        <f>'ITR V2 input data'!B102</f>
        <v>0</v>
      </c>
      <c r="C182" t="str">
        <f>'ITR V2 input data'!C102</f>
        <v>KR7051900009</v>
      </c>
      <c r="D182" t="str">
        <f>'ITR V2 input data'!D102</f>
        <v>South Korea</v>
      </c>
      <c r="E182">
        <v>2050</v>
      </c>
      <c r="F182" s="54" t="s">
        <v>328</v>
      </c>
      <c r="G182" s="37" t="s">
        <v>779</v>
      </c>
      <c r="H182">
        <v>2021</v>
      </c>
      <c r="I182">
        <v>2020</v>
      </c>
      <c r="J182" s="162">
        <v>48961.311000000002</v>
      </c>
      <c r="K182" s="37" t="s">
        <v>428</v>
      </c>
      <c r="L182">
        <v>2030</v>
      </c>
      <c r="M182" s="57">
        <v>0.45</v>
      </c>
    </row>
    <row r="183" spans="1:13">
      <c r="A183" t="str">
        <f>'ITR V2 input data'!A103</f>
        <v>Covestro AG</v>
      </c>
      <c r="B183">
        <f>'ITR V2 input data'!B103</f>
        <v>0</v>
      </c>
      <c r="C183" t="str">
        <f>'ITR V2 input data'!C103</f>
        <v>DE0006062144</v>
      </c>
      <c r="D183" t="str">
        <f>'ITR V2 input data'!D103</f>
        <v>Germany</v>
      </c>
      <c r="E183">
        <v>2035</v>
      </c>
      <c r="F183" s="54" t="s">
        <v>328</v>
      </c>
      <c r="G183" s="37" t="s">
        <v>779</v>
      </c>
      <c r="H183">
        <v>2021</v>
      </c>
      <c r="I183">
        <v>2020</v>
      </c>
      <c r="J183" s="162">
        <v>5.6</v>
      </c>
      <c r="K183" s="37" t="s">
        <v>429</v>
      </c>
      <c r="L183">
        <v>2030</v>
      </c>
      <c r="M183" s="57">
        <v>0.6</v>
      </c>
    </row>
    <row r="184" spans="1:13">
      <c r="A184" t="str">
        <f>'ITR V2 input data'!A103</f>
        <v>Covestro AG</v>
      </c>
      <c r="B184">
        <f>'ITR V2 input data'!B103</f>
        <v>0</v>
      </c>
      <c r="C184" t="str">
        <f>'ITR V2 input data'!C103</f>
        <v>DE0006062144</v>
      </c>
      <c r="D184" t="str">
        <f>'ITR V2 input data'!D103</f>
        <v>Germany</v>
      </c>
      <c r="E184">
        <v>2035</v>
      </c>
      <c r="F184" s="54" t="s">
        <v>328</v>
      </c>
      <c r="G184" s="37" t="s">
        <v>415</v>
      </c>
      <c r="H184">
        <v>2021</v>
      </c>
      <c r="I184" s="45">
        <v>2020</v>
      </c>
      <c r="J184" s="45">
        <v>1</v>
      </c>
      <c r="K184" s="37" t="s">
        <v>429</v>
      </c>
      <c r="L184">
        <v>2023</v>
      </c>
      <c r="M184" s="51">
        <v>0.01</v>
      </c>
    </row>
    <row r="185" spans="1:13">
      <c r="A185" t="str">
        <f>'ITR V2 input data'!A104</f>
        <v>Inter Parfums Inc</v>
      </c>
      <c r="B185">
        <f>'ITR V2 input data'!B104</f>
        <v>0</v>
      </c>
      <c r="C185" t="str">
        <f>'ITR V2 input data'!C104</f>
        <v>FR0004024222</v>
      </c>
      <c r="D185" t="str">
        <f>'ITR V2 input data'!D104</f>
        <v>France</v>
      </c>
      <c r="E185" s="163">
        <v>2030</v>
      </c>
      <c r="F185" s="164" t="s">
        <v>328</v>
      </c>
      <c r="G185" s="163" t="s">
        <v>911</v>
      </c>
      <c r="H185" s="163">
        <v>2021</v>
      </c>
      <c r="I185" s="45">
        <v>2020</v>
      </c>
      <c r="J185" s="45">
        <v>1</v>
      </c>
      <c r="K185" s="165" t="s">
        <v>429</v>
      </c>
      <c r="L185" s="163">
        <v>2030</v>
      </c>
      <c r="M185" s="51">
        <v>0.01</v>
      </c>
    </row>
    <row r="186" spans="1:13">
      <c r="A186" t="str">
        <f>'ITR V2 input data'!A105</f>
        <v>Borregaard ASA</v>
      </c>
      <c r="B186">
        <f>'ITR V2 input data'!B105</f>
        <v>0</v>
      </c>
      <c r="C186" t="str">
        <f>'ITR V2 input data'!C105</f>
        <v>NO0010657505</v>
      </c>
      <c r="D186" t="str">
        <f>'ITR V2 input data'!D105</f>
        <v>Norway</v>
      </c>
      <c r="E186">
        <v>2050</v>
      </c>
      <c r="F186" s="54" t="s">
        <v>328</v>
      </c>
      <c r="G186" t="s">
        <v>911</v>
      </c>
      <c r="H186">
        <v>2022</v>
      </c>
      <c r="I186">
        <v>2020</v>
      </c>
      <c r="J186" s="56">
        <v>196359</v>
      </c>
      <c r="K186" s="37" t="s">
        <v>428</v>
      </c>
      <c r="L186">
        <v>2030</v>
      </c>
      <c r="M186" s="57">
        <v>0.42</v>
      </c>
    </row>
    <row r="187" spans="1:13">
      <c r="A187" t="str">
        <f>'ITR V2 input data'!A105</f>
        <v>Borregaard ASA</v>
      </c>
      <c r="B187">
        <f>'ITR V2 input data'!B105</f>
        <v>0</v>
      </c>
      <c r="C187" t="str">
        <f>'ITR V2 input data'!C105</f>
        <v>NO0010657505</v>
      </c>
      <c r="D187" t="str">
        <f>'ITR V2 input data'!D105</f>
        <v>Norway</v>
      </c>
      <c r="E187">
        <v>2050</v>
      </c>
      <c r="F187" s="54" t="s">
        <v>328</v>
      </c>
      <c r="G187" s="37" t="s">
        <v>415</v>
      </c>
      <c r="H187">
        <v>2022</v>
      </c>
      <c r="I187">
        <v>2020</v>
      </c>
      <c r="J187" s="56">
        <v>344612</v>
      </c>
      <c r="K187" s="37" t="s">
        <v>428</v>
      </c>
      <c r="L187">
        <v>2030</v>
      </c>
      <c r="M187" s="57">
        <v>0.25</v>
      </c>
    </row>
    <row r="188" spans="1:13">
      <c r="A188" t="str">
        <f>'ITR V2 input data'!A106</f>
        <v>Symrise AG</v>
      </c>
      <c r="B188">
        <f>'ITR V2 input data'!B106</f>
        <v>0</v>
      </c>
      <c r="C188" t="str">
        <f>'ITR V2 input data'!C106</f>
        <v>DE000SYM9999</v>
      </c>
      <c r="D188" t="str">
        <f>'ITR V2 input data'!D106</f>
        <v>Germany</v>
      </c>
      <c r="E188">
        <v>2050</v>
      </c>
      <c r="F188" s="54" t="s">
        <v>328</v>
      </c>
      <c r="G188" t="s">
        <v>911</v>
      </c>
      <c r="H188">
        <v>2022</v>
      </c>
      <c r="I188">
        <v>2020</v>
      </c>
      <c r="J188" s="56">
        <v>300479</v>
      </c>
      <c r="K188" s="37" t="s">
        <v>428</v>
      </c>
      <c r="L188">
        <v>2028</v>
      </c>
      <c r="M188" s="57">
        <v>0.8</v>
      </c>
    </row>
    <row r="189" spans="1:13">
      <c r="A189" t="str">
        <f>'ITR V2 input data'!A106</f>
        <v>Symrise AG</v>
      </c>
      <c r="B189">
        <f>'ITR V2 input data'!B106</f>
        <v>0</v>
      </c>
      <c r="C189" t="str">
        <f>'ITR V2 input data'!C106</f>
        <v>DE000SYM9999</v>
      </c>
      <c r="D189" t="str">
        <f>'ITR V2 input data'!D106</f>
        <v>Germany</v>
      </c>
      <c r="E189">
        <v>2050</v>
      </c>
      <c r="F189" s="54" t="s">
        <v>328</v>
      </c>
      <c r="G189" s="37" t="s">
        <v>415</v>
      </c>
      <c r="H189">
        <v>2022</v>
      </c>
      <c r="I189">
        <v>2020</v>
      </c>
      <c r="J189" s="56">
        <v>1747178</v>
      </c>
      <c r="K189" s="37" t="s">
        <v>428</v>
      </c>
      <c r="L189">
        <v>2028</v>
      </c>
      <c r="M189" s="57">
        <v>0.3</v>
      </c>
    </row>
    <row r="190" spans="1:13">
      <c r="A190" t="str">
        <f>'ITR V2 input data'!A107</f>
        <v>Tokai Carbon Co Ltd</v>
      </c>
      <c r="B190">
        <f>'ITR V2 input data'!B107</f>
        <v>0</v>
      </c>
      <c r="C190" t="str">
        <f>'ITR V2 input data'!C107</f>
        <v>JP3560800009</v>
      </c>
      <c r="D190" t="str">
        <f>'ITR V2 input data'!D107</f>
        <v>Japan</v>
      </c>
      <c r="E190">
        <v>2050</v>
      </c>
      <c r="F190" s="54" t="s">
        <v>328</v>
      </c>
      <c r="G190" t="s">
        <v>911</v>
      </c>
      <c r="H190">
        <v>2021</v>
      </c>
      <c r="I190">
        <v>2018</v>
      </c>
      <c r="J190" s="56">
        <v>3056</v>
      </c>
      <c r="K190" s="37" t="s">
        <v>816</v>
      </c>
      <c r="L190">
        <v>2030</v>
      </c>
      <c r="M190" s="57">
        <v>0.25</v>
      </c>
    </row>
    <row r="191" spans="1:13">
      <c r="A191" t="str">
        <f>'ITR V2 input data'!A108</f>
        <v>LG Chem Ltd</v>
      </c>
      <c r="B191">
        <f>'ITR V2 input data'!B108</f>
        <v>0</v>
      </c>
      <c r="C191" t="str">
        <f>'ITR V2 input data'!C108</f>
        <v>KR7051910008</v>
      </c>
      <c r="D191" t="str">
        <f>'ITR V2 input data'!D108</f>
        <v>South Korea</v>
      </c>
      <c r="E191">
        <v>2050</v>
      </c>
      <c r="F191" s="54" t="s">
        <v>328</v>
      </c>
      <c r="G191" t="s">
        <v>779</v>
      </c>
      <c r="H191">
        <v>2021</v>
      </c>
      <c r="I191" s="45">
        <v>2020</v>
      </c>
      <c r="J191" s="49">
        <v>20</v>
      </c>
      <c r="K191" s="50" t="s">
        <v>429</v>
      </c>
      <c r="L191">
        <v>2030</v>
      </c>
      <c r="M191" s="51">
        <v>0.01</v>
      </c>
    </row>
    <row r="192" spans="1:13">
      <c r="A192" t="str">
        <f>'ITR V2 input data'!A109</f>
        <v>Shiseido Co Ltd</v>
      </c>
      <c r="B192">
        <f>'ITR V2 input data'!B109</f>
        <v>0</v>
      </c>
      <c r="C192" t="str">
        <f>'ITR V2 input data'!C109</f>
        <v>JP3351600006</v>
      </c>
      <c r="D192" t="str">
        <f>'ITR V2 input data'!D109</f>
        <v>Japan</v>
      </c>
      <c r="E192">
        <v>2026</v>
      </c>
      <c r="F192" s="54" t="s">
        <v>328</v>
      </c>
      <c r="G192" t="s">
        <v>911</v>
      </c>
      <c r="H192">
        <v>2020</v>
      </c>
      <c r="I192" s="45">
        <v>2020</v>
      </c>
      <c r="J192" s="45">
        <v>1</v>
      </c>
      <c r="K192" s="50" t="s">
        <v>429</v>
      </c>
      <c r="L192">
        <v>2030</v>
      </c>
      <c r="M192" s="51">
        <v>0.01</v>
      </c>
    </row>
    <row r="193" spans="1:15">
      <c r="A193" t="str">
        <f>'ITR V2 input data'!A110</f>
        <v>Zeon Corp</v>
      </c>
      <c r="B193">
        <f>'ITR V2 input data'!B110</f>
        <v>0</v>
      </c>
      <c r="C193" t="str">
        <f>'ITR V2 input data'!C110</f>
        <v>JP3725400000</v>
      </c>
      <c r="D193" t="str">
        <f>'ITR V2 input data'!D110</f>
        <v>Japan</v>
      </c>
      <c r="E193" s="45"/>
      <c r="F193" s="54" t="s">
        <v>328</v>
      </c>
      <c r="G193" t="s">
        <v>779</v>
      </c>
      <c r="H193">
        <v>2018</v>
      </c>
      <c r="I193">
        <v>1990</v>
      </c>
      <c r="J193" s="56">
        <v>637000</v>
      </c>
      <c r="K193" s="37" t="s">
        <v>428</v>
      </c>
      <c r="L193">
        <v>2020</v>
      </c>
      <c r="M193" s="51">
        <v>0.8</v>
      </c>
    </row>
    <row r="194" spans="1:15">
      <c r="A194" t="str">
        <f>'ITR V2 input data'!A111</f>
        <v>CRH Plc</v>
      </c>
      <c r="B194" t="str">
        <f>'ITR V2 input data'!B111</f>
        <v>549300MIDJNNTH068E74</v>
      </c>
      <c r="C194" t="str">
        <f>'ITR V2 input data'!C111</f>
        <v>IE0001827041</v>
      </c>
      <c r="D194" t="str">
        <f>'ITR V2 input data'!D111</f>
        <v>Ireland</v>
      </c>
      <c r="E194" s="37">
        <v>2050</v>
      </c>
      <c r="F194" s="37" t="s">
        <v>326</v>
      </c>
      <c r="G194" t="s">
        <v>327</v>
      </c>
      <c r="H194" s="3">
        <v>2021</v>
      </c>
      <c r="I194" s="55">
        <v>2020</v>
      </c>
      <c r="J194" s="45">
        <v>560</v>
      </c>
      <c r="K194" s="37" t="s">
        <v>1032</v>
      </c>
      <c r="L194" s="3">
        <v>2030</v>
      </c>
      <c r="M194" s="57">
        <v>0.25</v>
      </c>
      <c r="O194">
        <f>777/520-1</f>
        <v>0.49423076923076925</v>
      </c>
    </row>
    <row r="195" spans="1:15">
      <c r="A195" t="str">
        <f>'ITR V2 input data'!A111</f>
        <v>CRH Plc</v>
      </c>
      <c r="B195" t="str">
        <f>'ITR V2 input data'!B111</f>
        <v>549300MIDJNNTH068E74</v>
      </c>
      <c r="C195" t="str">
        <f>'ITR V2 input data'!C111</f>
        <v>IE0001827041</v>
      </c>
      <c r="D195" t="str">
        <f>'ITR V2 input data'!D111</f>
        <v>Ireland</v>
      </c>
      <c r="E195" s="54">
        <v>2050</v>
      </c>
      <c r="F195" s="37" t="s">
        <v>326</v>
      </c>
      <c r="G195" t="s">
        <v>327</v>
      </c>
      <c r="H195">
        <v>2021</v>
      </c>
      <c r="I195" s="3">
        <v>1990</v>
      </c>
      <c r="J195" s="10">
        <v>777</v>
      </c>
      <c r="K195" s="37" t="s">
        <v>1032</v>
      </c>
      <c r="L195">
        <v>2025</v>
      </c>
      <c r="M195" s="57">
        <v>0.33</v>
      </c>
    </row>
    <row r="196" spans="1:15">
      <c r="A196" t="str">
        <f>'ITR V2 input data'!A112</f>
        <v>Breedon Group Plc</v>
      </c>
      <c r="B196" t="str">
        <f>'ITR V2 input data'!B112</f>
        <v>213800ZQKCIVCPN9H229</v>
      </c>
      <c r="C196" t="str">
        <f>'ITR V2 input data'!C112</f>
        <v>JE00B2419D89</v>
      </c>
      <c r="D196" t="str">
        <f>'ITR V2 input data'!D112</f>
        <v>UK</v>
      </c>
      <c r="E196" s="54">
        <v>2050</v>
      </c>
      <c r="F196" s="37" t="s">
        <v>326</v>
      </c>
      <c r="G196" t="s">
        <v>327</v>
      </c>
      <c r="H196">
        <v>2021</v>
      </c>
      <c r="I196" s="55">
        <v>2005</v>
      </c>
      <c r="J196" s="213">
        <v>880</v>
      </c>
      <c r="K196" s="214" t="s">
        <v>1032</v>
      </c>
      <c r="L196">
        <v>2030</v>
      </c>
      <c r="M196" s="57">
        <v>0.3</v>
      </c>
    </row>
    <row r="197" spans="1:15">
      <c r="A197" t="str">
        <f>'ITR V2 input data'!A113</f>
        <v>Holcim AG</v>
      </c>
      <c r="B197" t="str">
        <f>'ITR V2 input data'!B113</f>
        <v>529900M5G5HGXW4Z4S17</v>
      </c>
      <c r="C197" t="str">
        <f>'ITR V2 input data'!C113</f>
        <v>CH0012214059</v>
      </c>
      <c r="D197" t="str">
        <f>'ITR V2 input data'!D113</f>
        <v>Switzerland</v>
      </c>
      <c r="E197" s="54">
        <v>2050</v>
      </c>
      <c r="F197" s="37" t="s">
        <v>326</v>
      </c>
      <c r="G197" t="s">
        <v>331</v>
      </c>
      <c r="H197">
        <v>2021</v>
      </c>
      <c r="I197" s="55">
        <v>2018</v>
      </c>
      <c r="J197" s="56">
        <v>576</v>
      </c>
      <c r="K197" s="37" t="s">
        <v>1032</v>
      </c>
      <c r="L197">
        <v>2050</v>
      </c>
      <c r="M197" s="57">
        <v>0.95</v>
      </c>
    </row>
    <row r="198" spans="1:15">
      <c r="A198" t="str">
        <f>'ITR V2 input data'!A113</f>
        <v>Holcim AG</v>
      </c>
      <c r="B198" t="str">
        <f>'ITR V2 input data'!B113</f>
        <v>529900M5G5HGXW4Z4S17</v>
      </c>
      <c r="C198" t="str">
        <f>'ITR V2 input data'!C113</f>
        <v>CH0012214059</v>
      </c>
      <c r="D198" t="str">
        <f>'ITR V2 input data'!D113</f>
        <v>Switzerland</v>
      </c>
      <c r="E198" s="54">
        <v>2050</v>
      </c>
      <c r="F198" s="37" t="s">
        <v>326</v>
      </c>
      <c r="G198" t="s">
        <v>331</v>
      </c>
      <c r="H198">
        <v>2021</v>
      </c>
      <c r="I198" s="55">
        <v>2018</v>
      </c>
      <c r="J198" s="56">
        <v>576</v>
      </c>
      <c r="K198" s="37" t="s">
        <v>1032</v>
      </c>
      <c r="L198">
        <v>2030</v>
      </c>
      <c r="M198" s="57">
        <v>0.82</v>
      </c>
    </row>
    <row r="199" spans="1:15">
      <c r="A199" t="str">
        <f>'ITR V2 input data'!A113</f>
        <v>Holcim AG</v>
      </c>
      <c r="B199" t="str">
        <f>'ITR V2 input data'!B113</f>
        <v>529900M5G5HGXW4Z4S17</v>
      </c>
      <c r="C199" t="str">
        <f>'ITR V2 input data'!C113</f>
        <v>CH0012214059</v>
      </c>
      <c r="D199" t="str">
        <f>'ITR V2 input data'!D113</f>
        <v>Switzerland</v>
      </c>
      <c r="E199" s="54">
        <v>2050</v>
      </c>
      <c r="F199" s="37" t="s">
        <v>326</v>
      </c>
      <c r="G199" t="s">
        <v>333</v>
      </c>
      <c r="H199">
        <v>2021</v>
      </c>
      <c r="I199" s="55">
        <v>2018</v>
      </c>
      <c r="J199" s="54">
        <v>38</v>
      </c>
      <c r="K199" s="37" t="s">
        <v>1032</v>
      </c>
      <c r="L199">
        <v>2050</v>
      </c>
      <c r="M199" s="57">
        <v>0.9</v>
      </c>
    </row>
    <row r="200" spans="1:15">
      <c r="A200" t="str">
        <f>'ITR V2 input data'!A113</f>
        <v>Holcim AG</v>
      </c>
      <c r="B200" t="str">
        <f>'ITR V2 input data'!B113</f>
        <v>529900M5G5HGXW4Z4S17</v>
      </c>
      <c r="C200" t="str">
        <f>'ITR V2 input data'!C113</f>
        <v>CH0012214059</v>
      </c>
      <c r="D200" t="str">
        <f>'ITR V2 input data'!D113</f>
        <v>Switzerland</v>
      </c>
      <c r="E200" s="54">
        <v>2050</v>
      </c>
      <c r="F200" s="37" t="s">
        <v>326</v>
      </c>
      <c r="G200" t="s">
        <v>333</v>
      </c>
      <c r="H200">
        <v>2021</v>
      </c>
      <c r="I200" s="55">
        <v>2018</v>
      </c>
      <c r="J200" s="56">
        <v>38</v>
      </c>
      <c r="K200" s="37" t="s">
        <v>1032</v>
      </c>
      <c r="L200">
        <v>2030</v>
      </c>
      <c r="M200" s="57">
        <v>0.34</v>
      </c>
    </row>
    <row r="201" spans="1:15">
      <c r="A201" t="str">
        <f>'ITR V2 input data'!A113</f>
        <v>Holcim AG</v>
      </c>
      <c r="B201" t="str">
        <f>'ITR V2 input data'!B113</f>
        <v>529900M5G5HGXW4Z4S17</v>
      </c>
      <c r="C201" t="str">
        <f>'ITR V2 input data'!C113</f>
        <v>CH0012214059</v>
      </c>
      <c r="D201" t="str">
        <f>'ITR V2 input data'!D113</f>
        <v>Switzerland</v>
      </c>
      <c r="E201" s="54">
        <v>2050</v>
      </c>
      <c r="F201" s="37" t="s">
        <v>326</v>
      </c>
      <c r="G201" t="s">
        <v>332</v>
      </c>
      <c r="H201">
        <v>2021</v>
      </c>
      <c r="I201" s="55">
        <v>2020</v>
      </c>
      <c r="J201" s="45">
        <v>705.3</v>
      </c>
      <c r="K201" s="37" t="s">
        <v>1032</v>
      </c>
      <c r="L201">
        <v>2050</v>
      </c>
      <c r="M201" s="57">
        <v>0.9</v>
      </c>
    </row>
    <row r="202" spans="1:15">
      <c r="A202" t="str">
        <f>'ITR V2 input data'!A113</f>
        <v>Holcim AG</v>
      </c>
      <c r="B202" t="str">
        <f>'ITR V2 input data'!B113</f>
        <v>529900M5G5HGXW4Z4S17</v>
      </c>
      <c r="C202" t="str">
        <f>'ITR V2 input data'!C113</f>
        <v>CH0012214059</v>
      </c>
      <c r="D202" t="str">
        <f>'ITR V2 input data'!D113</f>
        <v>Switzerland</v>
      </c>
      <c r="E202" s="54">
        <v>2050</v>
      </c>
      <c r="F202" s="37" t="s">
        <v>326</v>
      </c>
      <c r="G202" t="s">
        <v>331</v>
      </c>
      <c r="H202">
        <v>2020</v>
      </c>
      <c r="I202" s="55">
        <v>2018</v>
      </c>
      <c r="J202" s="56">
        <v>576</v>
      </c>
      <c r="K202" s="37" t="s">
        <v>1032</v>
      </c>
      <c r="L202">
        <v>2030</v>
      </c>
      <c r="M202" s="57">
        <v>0.20649999999999999</v>
      </c>
    </row>
    <row r="203" spans="1:15">
      <c r="A203" t="str">
        <f>'ITR V2 input data'!A113</f>
        <v>Holcim AG</v>
      </c>
      <c r="B203" t="str">
        <f>'ITR V2 input data'!B113</f>
        <v>529900M5G5HGXW4Z4S17</v>
      </c>
      <c r="C203" t="str">
        <f>'ITR V2 input data'!C113</f>
        <v>CH0012214059</v>
      </c>
      <c r="D203" t="str">
        <f>'ITR V2 input data'!D113</f>
        <v>Switzerland</v>
      </c>
      <c r="E203" s="54">
        <v>2050</v>
      </c>
      <c r="F203" s="37" t="s">
        <v>326</v>
      </c>
      <c r="G203" t="s">
        <v>333</v>
      </c>
      <c r="H203">
        <v>2020</v>
      </c>
      <c r="I203" s="55">
        <v>2018</v>
      </c>
      <c r="J203" s="54">
        <v>38</v>
      </c>
      <c r="K203" s="37" t="s">
        <v>1032</v>
      </c>
      <c r="L203">
        <v>2030</v>
      </c>
      <c r="M203" s="57">
        <v>0.65</v>
      </c>
    </row>
    <row r="204" spans="1:15">
      <c r="A204" t="str">
        <f>'ITR V2 input data'!A113</f>
        <v>Holcim AG</v>
      </c>
      <c r="B204" t="str">
        <f>'ITR V2 input data'!B113</f>
        <v>529900M5G5HGXW4Z4S17</v>
      </c>
      <c r="C204" t="str">
        <f>'ITR V2 input data'!C113</f>
        <v>CH0012214059</v>
      </c>
      <c r="D204" t="str">
        <f>'ITR V2 input data'!D113</f>
        <v>Switzerland</v>
      </c>
      <c r="E204" s="54">
        <v>2050</v>
      </c>
      <c r="F204" s="37" t="s">
        <v>326</v>
      </c>
      <c r="G204" t="s">
        <v>332</v>
      </c>
      <c r="H204">
        <v>2020</v>
      </c>
      <c r="I204" s="48">
        <v>2020</v>
      </c>
      <c r="J204" s="45">
        <v>705.3</v>
      </c>
      <c r="K204" s="37" t="s">
        <v>1032</v>
      </c>
      <c r="L204">
        <v>2030</v>
      </c>
      <c r="M204" s="57">
        <v>0.2</v>
      </c>
    </row>
    <row r="205" spans="1:15">
      <c r="A205" t="str">
        <f>'ITR V2 input data'!A113</f>
        <v>Holcim AG</v>
      </c>
      <c r="B205" t="str">
        <f>'ITR V2 input data'!B113</f>
        <v>529900M5G5HGXW4Z4S17</v>
      </c>
      <c r="C205" t="str">
        <f>'ITR V2 input data'!C113</f>
        <v>CH0012214059</v>
      </c>
      <c r="D205" t="str">
        <f>'ITR V2 input data'!D113</f>
        <v>Switzerland</v>
      </c>
      <c r="E205" s="54">
        <v>2050</v>
      </c>
      <c r="F205" s="37" t="s">
        <v>326</v>
      </c>
      <c r="G205" t="s">
        <v>331</v>
      </c>
      <c r="H205">
        <v>2019</v>
      </c>
      <c r="I205" s="55">
        <v>2018</v>
      </c>
      <c r="J205" s="56">
        <v>576</v>
      </c>
      <c r="K205" s="37" t="s">
        <v>1032</v>
      </c>
      <c r="L205">
        <v>2030</v>
      </c>
      <c r="M205" s="57">
        <v>9.7000000000000003E-2</v>
      </c>
    </row>
    <row r="206" spans="1:15">
      <c r="A206" t="str">
        <f>'ITR V2 input data'!A114</f>
        <v>Siam Cement PCL, The</v>
      </c>
      <c r="B206" t="str">
        <f>'ITR V2 input data'!B114</f>
        <v>529900SEH9QK8ZZDCQ89</v>
      </c>
      <c r="C206" t="str">
        <f>'ITR V2 input data'!C114</f>
        <v>TH0003010Z04</v>
      </c>
      <c r="D206" t="str">
        <f>'ITR V2 input data'!D114</f>
        <v>Thailand</v>
      </c>
      <c r="E206" s="54">
        <v>2050</v>
      </c>
      <c r="F206" s="54" t="s">
        <v>328</v>
      </c>
      <c r="G206" t="s">
        <v>327</v>
      </c>
      <c r="H206">
        <v>2018</v>
      </c>
      <c r="I206" s="55">
        <v>2007</v>
      </c>
      <c r="J206">
        <v>26.2</v>
      </c>
      <c r="K206" s="37" t="s">
        <v>429</v>
      </c>
      <c r="L206">
        <v>2030</v>
      </c>
      <c r="M206" s="57">
        <v>0.28000000000000003</v>
      </c>
    </row>
    <row r="207" spans="1:15">
      <c r="A207" t="str">
        <f>'ITR V2 input data'!A114</f>
        <v>Siam Cement PCL, The</v>
      </c>
      <c r="B207" t="str">
        <f>'ITR V2 input data'!B114</f>
        <v>529900SEH9QK8ZZDCQ89</v>
      </c>
      <c r="C207" t="str">
        <f>'ITR V2 input data'!C114</f>
        <v>TH0003010Z04</v>
      </c>
      <c r="D207" t="str">
        <f>'ITR V2 input data'!D114</f>
        <v>Thailand</v>
      </c>
      <c r="E207" s="54">
        <v>2050</v>
      </c>
      <c r="F207" s="54" t="s">
        <v>328</v>
      </c>
      <c r="G207" t="s">
        <v>327</v>
      </c>
      <c r="H207">
        <v>2021</v>
      </c>
      <c r="I207" s="55">
        <v>2020</v>
      </c>
      <c r="J207">
        <v>33.9</v>
      </c>
      <c r="K207" s="37" t="s">
        <v>429</v>
      </c>
      <c r="L207">
        <v>2030</v>
      </c>
      <c r="M207" s="57">
        <v>0.2</v>
      </c>
    </row>
    <row r="208" spans="1:15">
      <c r="A208" t="str">
        <f>'ITR V2 input data'!A116</f>
        <v>HeidelbergCement AG</v>
      </c>
      <c r="B208" t="str">
        <f>'ITR V2 input data'!B116</f>
        <v>LZ2C6E0W5W7LQMX5ZI37</v>
      </c>
      <c r="C208" t="str">
        <f>'ITR V2 input data'!C116</f>
        <v>DE0006047004</v>
      </c>
      <c r="D208" t="str">
        <f>'ITR V2 input data'!D116</f>
        <v>Germany</v>
      </c>
      <c r="E208" s="54">
        <v>2050</v>
      </c>
      <c r="F208" s="54" t="s">
        <v>326</v>
      </c>
      <c r="G208" t="s">
        <v>327</v>
      </c>
      <c r="H208">
        <v>2021</v>
      </c>
      <c r="I208" s="55">
        <v>1990</v>
      </c>
      <c r="J208">
        <v>750</v>
      </c>
      <c r="K208" s="37" t="s">
        <v>1032</v>
      </c>
      <c r="L208">
        <v>2025</v>
      </c>
      <c r="M208" s="57">
        <v>0.3</v>
      </c>
    </row>
    <row r="209" spans="1:15">
      <c r="A209" t="str">
        <f>'ITR V2 input data'!A116</f>
        <v>HeidelbergCement AG</v>
      </c>
      <c r="B209" t="str">
        <f>'ITR V2 input data'!B116</f>
        <v>LZ2C6E0W5W7LQMX5ZI37</v>
      </c>
      <c r="C209" t="str">
        <f>'ITR V2 input data'!C116</f>
        <v>DE0006047004</v>
      </c>
      <c r="D209" t="str">
        <f>'ITR V2 input data'!D116</f>
        <v>Germany</v>
      </c>
      <c r="E209" s="54">
        <v>2050</v>
      </c>
      <c r="F209" s="54" t="s">
        <v>326</v>
      </c>
      <c r="G209" t="s">
        <v>327</v>
      </c>
      <c r="H209">
        <v>2021</v>
      </c>
      <c r="I209" s="55">
        <v>1990</v>
      </c>
      <c r="J209">
        <v>750</v>
      </c>
      <c r="K209" s="37" t="s">
        <v>1032</v>
      </c>
      <c r="L209">
        <v>2030</v>
      </c>
      <c r="M209" s="57">
        <v>0.33</v>
      </c>
      <c r="N209" t="s">
        <v>1009</v>
      </c>
    </row>
    <row r="210" spans="1:15">
      <c r="A210" t="str">
        <f>'ITR V2 input data'!A117</f>
        <v>Summit Materials Inc</v>
      </c>
      <c r="B210" t="str">
        <f>'ITR V2 input data'!B117</f>
        <v>549300XNOLX5GIOSO108</v>
      </c>
      <c r="C210" t="str">
        <f>'ITR V2 input data'!C117</f>
        <v>US86614U1007</v>
      </c>
      <c r="D210" t="str">
        <f>'ITR V2 input data'!D117</f>
        <v>US</v>
      </c>
      <c r="E210" s="54">
        <v>2050</v>
      </c>
      <c r="F210" t="s">
        <v>328</v>
      </c>
      <c r="G210" t="s">
        <v>327</v>
      </c>
      <c r="H210">
        <v>2021</v>
      </c>
      <c r="I210" s="55">
        <v>2020</v>
      </c>
      <c r="J210" s="45">
        <v>2.2400000000000002</v>
      </c>
      <c r="K210" s="37" t="s">
        <v>429</v>
      </c>
      <c r="L210">
        <v>2030</v>
      </c>
      <c r="M210" s="51">
        <v>0.25</v>
      </c>
      <c r="N210" t="s">
        <v>1010</v>
      </c>
    </row>
    <row r="211" spans="1:15">
      <c r="A211" t="str">
        <f>'ITR V2 input data'!A117</f>
        <v>Summit Materials Inc</v>
      </c>
      <c r="B211" t="str">
        <f>'ITR V2 input data'!B117</f>
        <v>549300XNOLX5GIOSO108</v>
      </c>
      <c r="C211" t="str">
        <f>'ITR V2 input data'!C117</f>
        <v>US86614U1007</v>
      </c>
      <c r="D211" t="str">
        <f>'ITR V2 input data'!D117</f>
        <v>US</v>
      </c>
      <c r="E211" s="54">
        <v>2050</v>
      </c>
      <c r="F211" t="s">
        <v>326</v>
      </c>
      <c r="G211" s="45" t="s">
        <v>327</v>
      </c>
      <c r="H211">
        <v>2021</v>
      </c>
      <c r="I211" s="55">
        <v>2020</v>
      </c>
      <c r="J211" s="45">
        <v>0.92100000000000004</v>
      </c>
      <c r="K211" s="37" t="s">
        <v>1039</v>
      </c>
      <c r="L211">
        <v>2030</v>
      </c>
      <c r="M211" s="51">
        <f>(0.921-0.65)/0.921</f>
        <v>0.2942453854505972</v>
      </c>
      <c r="N211">
        <v>0.65</v>
      </c>
    </row>
    <row r="212" spans="1:15">
      <c r="A212" t="str">
        <f>'ITR V2 input data'!A117</f>
        <v>Summit Materials Inc</v>
      </c>
      <c r="B212" t="str">
        <f>'ITR V2 input data'!B117</f>
        <v>549300XNOLX5GIOSO108</v>
      </c>
      <c r="C212" t="str">
        <f>'ITR V2 input data'!C117</f>
        <v>US86614U1007</v>
      </c>
      <c r="D212" t="str">
        <f>'ITR V2 input data'!D117</f>
        <v>US</v>
      </c>
      <c r="E212" s="54">
        <v>2050</v>
      </c>
      <c r="F212" t="s">
        <v>326</v>
      </c>
      <c r="G212" s="45" t="s">
        <v>327</v>
      </c>
      <c r="H212">
        <v>2021</v>
      </c>
      <c r="I212" s="55">
        <v>2020</v>
      </c>
      <c r="J212" s="45">
        <v>0.92100000000000004</v>
      </c>
      <c r="K212" s="37" t="s">
        <v>1039</v>
      </c>
      <c r="L212">
        <v>2050</v>
      </c>
      <c r="M212" s="51">
        <f>(0.921-0.25)/0.921</f>
        <v>0.7285559174809989</v>
      </c>
      <c r="N212">
        <v>0.25</v>
      </c>
    </row>
    <row r="213" spans="1:15">
      <c r="A213" t="str">
        <f>'ITR V2 input data'!A117</f>
        <v>Summit Materials Inc</v>
      </c>
      <c r="B213" t="str">
        <f>'ITR V2 input data'!B117</f>
        <v>549300XNOLX5GIOSO108</v>
      </c>
      <c r="C213" t="str">
        <f>'ITR V2 input data'!C117</f>
        <v>US86614U1007</v>
      </c>
      <c r="D213" t="str">
        <f>'ITR V2 input data'!D117</f>
        <v>US</v>
      </c>
      <c r="E213" s="54">
        <v>2050</v>
      </c>
      <c r="F213" s="54" t="s">
        <v>328</v>
      </c>
      <c r="G213" t="s">
        <v>327</v>
      </c>
      <c r="H213">
        <v>2021</v>
      </c>
      <c r="I213" s="55">
        <v>2020</v>
      </c>
      <c r="J213" s="45">
        <v>2.2400000000000002</v>
      </c>
      <c r="K213" s="37" t="s">
        <v>429</v>
      </c>
      <c r="L213">
        <v>2050</v>
      </c>
      <c r="M213" s="51">
        <v>0.75</v>
      </c>
      <c r="N213" t="s">
        <v>1011</v>
      </c>
      <c r="O213" t="s">
        <v>1012</v>
      </c>
    </row>
    <row r="214" spans="1:15">
      <c r="A214" t="s">
        <v>943</v>
      </c>
      <c r="B214" t="s">
        <v>944</v>
      </c>
      <c r="C214" t="s">
        <v>945</v>
      </c>
      <c r="D214" t="s">
        <v>52</v>
      </c>
      <c r="E214">
        <v>2050</v>
      </c>
      <c r="F214" t="s">
        <v>326</v>
      </c>
      <c r="G214" t="s">
        <v>331</v>
      </c>
      <c r="H214">
        <v>2021</v>
      </c>
      <c r="I214">
        <v>2010</v>
      </c>
      <c r="J214">
        <v>0.83599999999999997</v>
      </c>
      <c r="K214" t="s">
        <v>1040</v>
      </c>
      <c r="L214">
        <v>2030</v>
      </c>
      <c r="M214" s="57">
        <v>0.15</v>
      </c>
      <c r="N214" t="s">
        <v>1060</v>
      </c>
      <c r="O214">
        <v>47</v>
      </c>
    </row>
    <row r="215" spans="1:15">
      <c r="A215" t="s">
        <v>943</v>
      </c>
      <c r="B215" t="s">
        <v>944</v>
      </c>
      <c r="C215" t="s">
        <v>945</v>
      </c>
      <c r="D215" t="s">
        <v>52</v>
      </c>
      <c r="E215">
        <v>2050</v>
      </c>
      <c r="F215" t="s">
        <v>328</v>
      </c>
      <c r="G215" t="s">
        <v>333</v>
      </c>
      <c r="H215">
        <v>2021</v>
      </c>
      <c r="I215">
        <v>2021</v>
      </c>
      <c r="J215">
        <v>584422</v>
      </c>
      <c r="K215" t="s">
        <v>428</v>
      </c>
      <c r="L215">
        <v>2030</v>
      </c>
      <c r="M215" s="57">
        <v>0.3</v>
      </c>
      <c r="N215" t="s">
        <v>1060</v>
      </c>
      <c r="O215">
        <v>39</v>
      </c>
    </row>
    <row r="216" spans="1:15">
      <c r="A216" t="str">
        <f>'ITR V2 input data'!A119</f>
        <v>Vulcan Materials Co</v>
      </c>
      <c r="B216" t="str">
        <f>'ITR V2 input data'!B119</f>
        <v>549300Q8LSNHAVWBNI21</v>
      </c>
      <c r="C216" t="str">
        <f>'ITR V2 input data'!C119</f>
        <v>US9291601097</v>
      </c>
      <c r="D216" t="str">
        <f>'ITR V2 input data'!D119</f>
        <v>US</v>
      </c>
      <c r="E216" s="54">
        <v>2050</v>
      </c>
      <c r="F216" s="54" t="s">
        <v>326</v>
      </c>
      <c r="G216" t="s">
        <v>327</v>
      </c>
      <c r="H216">
        <v>2021</v>
      </c>
      <c r="I216" s="55">
        <v>2021</v>
      </c>
      <c r="J216" s="109">
        <v>1145084</v>
      </c>
      <c r="K216" s="37" t="s">
        <v>1039</v>
      </c>
      <c r="L216">
        <v>2030</v>
      </c>
      <c r="M216" s="57">
        <v>0.1</v>
      </c>
      <c r="O216" t="s">
        <v>1012</v>
      </c>
    </row>
    <row r="217" spans="1:15">
      <c r="A217" t="str">
        <f>'ITR V2 input data'!A120</f>
        <v>Asia Cement Corp</v>
      </c>
      <c r="B217" t="str">
        <f>'ITR V2 input data'!B120</f>
        <v>213800EFQXH43HMGJL59</v>
      </c>
      <c r="C217" t="str">
        <f>'ITR V2 input data'!C120</f>
        <v>TW0001102002</v>
      </c>
      <c r="D217" t="str">
        <f>'ITR V2 input data'!D120</f>
        <v>Taiwan</v>
      </c>
      <c r="E217" s="54">
        <v>2050</v>
      </c>
      <c r="F217" s="54" t="s">
        <v>328</v>
      </c>
      <c r="G217" t="s">
        <v>411</v>
      </c>
      <c r="H217">
        <v>2021</v>
      </c>
      <c r="I217" s="55">
        <v>2019</v>
      </c>
      <c r="J217" s="109">
        <v>1145084</v>
      </c>
      <c r="K217" s="37" t="s">
        <v>428</v>
      </c>
      <c r="L217">
        <v>2025</v>
      </c>
      <c r="M217" s="57">
        <v>0.08</v>
      </c>
      <c r="O217" t="s">
        <v>1012</v>
      </c>
    </row>
    <row r="218" spans="1:15">
      <c r="A218" t="str">
        <f>'ITR V2 input data'!A120</f>
        <v>Asia Cement Corp</v>
      </c>
      <c r="B218" t="str">
        <f>'ITR V2 input data'!B120</f>
        <v>213800EFQXH43HMGJL59</v>
      </c>
      <c r="C218" t="str">
        <f>'ITR V2 input data'!C120</f>
        <v>TW0001102002</v>
      </c>
      <c r="D218" t="str">
        <f>'ITR V2 input data'!D120</f>
        <v>Taiwan</v>
      </c>
      <c r="E218" s="54">
        <v>2050</v>
      </c>
      <c r="F218" s="54" t="s">
        <v>328</v>
      </c>
      <c r="G218" t="s">
        <v>412</v>
      </c>
      <c r="H218">
        <v>2021</v>
      </c>
      <c r="I218" s="55">
        <v>2019</v>
      </c>
      <c r="J218" s="109">
        <v>1145084</v>
      </c>
      <c r="K218" s="37" t="s">
        <v>428</v>
      </c>
      <c r="L218">
        <v>2025</v>
      </c>
      <c r="M218" s="57">
        <v>0.08</v>
      </c>
      <c r="O218" t="s">
        <v>1012</v>
      </c>
    </row>
    <row r="219" spans="1:15">
      <c r="A219" t="str">
        <f>'ITR V2 input data'!A120</f>
        <v>Asia Cement Corp</v>
      </c>
      <c r="B219" t="str">
        <f>'ITR V2 input data'!B120</f>
        <v>213800EFQXH43HMGJL59</v>
      </c>
      <c r="C219" t="str">
        <f>'ITR V2 input data'!C120</f>
        <v>TW0001102002</v>
      </c>
      <c r="D219" t="str">
        <f>'ITR V2 input data'!D120</f>
        <v>Taiwan</v>
      </c>
      <c r="E219" s="54">
        <v>2050</v>
      </c>
      <c r="F219" s="54" t="s">
        <v>326</v>
      </c>
      <c r="G219" t="s">
        <v>327</v>
      </c>
      <c r="H219">
        <v>2021</v>
      </c>
      <c r="I219" s="55">
        <v>2019</v>
      </c>
      <c r="J219" s="109">
        <v>1145084</v>
      </c>
      <c r="K219" s="37" t="s">
        <v>1040</v>
      </c>
      <c r="L219">
        <v>2025</v>
      </c>
      <c r="M219" s="57">
        <v>0.08</v>
      </c>
      <c r="O219" t="s">
        <v>1012</v>
      </c>
    </row>
    <row r="220" spans="1:15">
      <c r="A220" t="str">
        <f>'ITR V2 input data'!A122</f>
        <v>Cemex SAB de CV</v>
      </c>
      <c r="B220" t="str">
        <f>'ITR V2 input data'!B122</f>
        <v>549300RIG2CXWN6IV731</v>
      </c>
      <c r="C220" t="str">
        <f>'ITR V2 input data'!C122</f>
        <v>US1512908898</v>
      </c>
      <c r="D220" t="str">
        <f>'ITR V2 input data'!D122</f>
        <v>Mexico</v>
      </c>
      <c r="E220" s="54">
        <v>2050</v>
      </c>
      <c r="F220" s="54" t="s">
        <v>326</v>
      </c>
      <c r="G220" t="s">
        <v>327</v>
      </c>
      <c r="H220">
        <v>2021</v>
      </c>
      <c r="I220" s="55">
        <v>1990</v>
      </c>
      <c r="J220">
        <v>801</v>
      </c>
      <c r="K220" s="37" t="s">
        <v>1032</v>
      </c>
      <c r="L220">
        <v>2025</v>
      </c>
      <c r="M220" s="57">
        <v>0.35</v>
      </c>
    </row>
    <row r="221" spans="1:15">
      <c r="A221" t="str">
        <f>'ITR V2 input data'!A122</f>
        <v>Cemex SAB de CV</v>
      </c>
      <c r="B221" t="str">
        <f>'ITR V2 input data'!B122</f>
        <v>549300RIG2CXWN6IV731</v>
      </c>
      <c r="C221" t="str">
        <f>'ITR V2 input data'!C122</f>
        <v>US1512908898</v>
      </c>
      <c r="D221" t="str">
        <f>'ITR V2 input data'!D122</f>
        <v>Mexico</v>
      </c>
      <c r="E221" s="54">
        <v>2050</v>
      </c>
      <c r="F221" s="54" t="s">
        <v>326</v>
      </c>
      <c r="G221" t="s">
        <v>327</v>
      </c>
      <c r="H221">
        <v>2021</v>
      </c>
      <c r="I221" s="55">
        <v>1990</v>
      </c>
      <c r="J221">
        <v>801</v>
      </c>
      <c r="K221" s="37" t="s">
        <v>1032</v>
      </c>
      <c r="L221">
        <v>2030</v>
      </c>
      <c r="M221" s="57">
        <v>0.4</v>
      </c>
      <c r="N221" t="s">
        <v>1013</v>
      </c>
    </row>
    <row r="222" spans="1:15">
      <c r="A222" t="s">
        <v>1123</v>
      </c>
      <c r="B222" s="1" t="s">
        <v>1130</v>
      </c>
      <c r="C222" t="s">
        <v>1131</v>
      </c>
      <c r="D222" t="s">
        <v>883</v>
      </c>
      <c r="E222" s="54">
        <v>2050</v>
      </c>
      <c r="F222" s="54" t="s">
        <v>328</v>
      </c>
      <c r="G222" t="s">
        <v>327</v>
      </c>
      <c r="H222">
        <v>2021</v>
      </c>
      <c r="I222" s="55">
        <v>2015</v>
      </c>
      <c r="J222">
        <v>222744</v>
      </c>
      <c r="K222" t="s">
        <v>428</v>
      </c>
      <c r="L222">
        <v>2025</v>
      </c>
      <c r="M222">
        <v>0.3</v>
      </c>
    </row>
    <row r="223" spans="1:15">
      <c r="A223" t="s">
        <v>1123</v>
      </c>
      <c r="B223" s="1" t="s">
        <v>1130</v>
      </c>
      <c r="C223" t="s">
        <v>1131</v>
      </c>
      <c r="D223" t="s">
        <v>883</v>
      </c>
      <c r="E223" s="54">
        <v>2050</v>
      </c>
      <c r="F223" s="54" t="s">
        <v>326</v>
      </c>
      <c r="G223" t="s">
        <v>332</v>
      </c>
      <c r="H223">
        <v>2021</v>
      </c>
      <c r="I223" s="55">
        <v>2015</v>
      </c>
      <c r="J223">
        <v>197</v>
      </c>
      <c r="K223" t="s">
        <v>1209</v>
      </c>
      <c r="L223">
        <v>2025</v>
      </c>
      <c r="M223">
        <v>0.2</v>
      </c>
    </row>
    <row r="224" spans="1:15">
      <c r="A224" t="s">
        <v>1123</v>
      </c>
      <c r="B224" s="1" t="s">
        <v>1130</v>
      </c>
      <c r="C224" t="s">
        <v>1131</v>
      </c>
      <c r="D224" t="s">
        <v>883</v>
      </c>
      <c r="E224" s="54">
        <v>2050</v>
      </c>
      <c r="F224" s="54" t="s">
        <v>328</v>
      </c>
      <c r="G224" t="s">
        <v>327</v>
      </c>
      <c r="H224">
        <v>2021</v>
      </c>
      <c r="I224" s="55">
        <v>2015</v>
      </c>
      <c r="J224">
        <v>222744</v>
      </c>
      <c r="K224" t="s">
        <v>428</v>
      </c>
      <c r="L224">
        <v>2030</v>
      </c>
      <c r="M224">
        <v>0.63</v>
      </c>
    </row>
    <row r="225" spans="1:13">
      <c r="A225" t="s">
        <v>1123</v>
      </c>
      <c r="B225" s="1" t="s">
        <v>1130</v>
      </c>
      <c r="C225" t="s">
        <v>1131</v>
      </c>
      <c r="D225" t="s">
        <v>883</v>
      </c>
      <c r="E225" s="54">
        <v>2050</v>
      </c>
      <c r="F225" s="54" t="s">
        <v>326</v>
      </c>
      <c r="G225" t="s">
        <v>332</v>
      </c>
      <c r="H225">
        <v>2021</v>
      </c>
      <c r="I225" s="55">
        <v>2015</v>
      </c>
      <c r="J225">
        <v>197</v>
      </c>
      <c r="K225" t="s">
        <v>1209</v>
      </c>
      <c r="L225">
        <v>2030</v>
      </c>
      <c r="M225">
        <v>0.375</v>
      </c>
    </row>
    <row r="226" spans="1:13">
      <c r="A226" t="s">
        <v>1124</v>
      </c>
      <c r="B226" s="1" t="s">
        <v>1132</v>
      </c>
      <c r="C226" t="s">
        <v>1133</v>
      </c>
      <c r="D226" t="s">
        <v>1134</v>
      </c>
      <c r="E226" s="54">
        <v>2050</v>
      </c>
      <c r="F226" s="54" t="s">
        <v>328</v>
      </c>
      <c r="G226" t="s">
        <v>327</v>
      </c>
      <c r="H226">
        <v>2021</v>
      </c>
      <c r="I226" s="55">
        <v>2015</v>
      </c>
      <c r="J226">
        <v>650000</v>
      </c>
      <c r="K226" t="s">
        <v>428</v>
      </c>
      <c r="L226">
        <v>2026</v>
      </c>
      <c r="M226">
        <v>0.98</v>
      </c>
    </row>
    <row r="227" spans="1:13">
      <c r="A227" t="s">
        <v>1124</v>
      </c>
      <c r="B227" s="1" t="s">
        <v>1132</v>
      </c>
      <c r="C227" t="s">
        <v>1133</v>
      </c>
      <c r="D227" t="s">
        <v>1134</v>
      </c>
      <c r="E227" s="54">
        <v>2050</v>
      </c>
      <c r="F227" s="54" t="s">
        <v>328</v>
      </c>
      <c r="G227" t="s">
        <v>332</v>
      </c>
      <c r="H227">
        <v>2021</v>
      </c>
      <c r="I227" s="55">
        <v>2019</v>
      </c>
      <c r="J227">
        <v>5700000</v>
      </c>
      <c r="K227" t="s">
        <v>428</v>
      </c>
      <c r="L227">
        <v>2030</v>
      </c>
      <c r="M227">
        <v>0.5</v>
      </c>
    </row>
    <row r="228" spans="1:13">
      <c r="A228" t="s">
        <v>1124</v>
      </c>
      <c r="B228" s="1" t="s">
        <v>1132</v>
      </c>
      <c r="C228" t="s">
        <v>1133</v>
      </c>
      <c r="D228" t="s">
        <v>1134</v>
      </c>
      <c r="E228" s="54">
        <v>2050</v>
      </c>
      <c r="F228" s="54" t="s">
        <v>328</v>
      </c>
      <c r="G228" t="s">
        <v>332</v>
      </c>
      <c r="H228">
        <v>2021</v>
      </c>
      <c r="I228" s="55">
        <v>2019</v>
      </c>
      <c r="J228">
        <v>5700000</v>
      </c>
      <c r="K228" t="s">
        <v>428</v>
      </c>
      <c r="L228">
        <v>2045</v>
      </c>
      <c r="M228">
        <v>0.9</v>
      </c>
    </row>
    <row r="229" spans="1:13">
      <c r="A229" t="s">
        <v>1124</v>
      </c>
      <c r="B229" s="1" t="s">
        <v>1132</v>
      </c>
      <c r="C229" t="s">
        <v>1133</v>
      </c>
      <c r="D229" t="s">
        <v>1134</v>
      </c>
      <c r="E229" s="54">
        <v>2050</v>
      </c>
      <c r="F229" s="54" t="s">
        <v>328</v>
      </c>
      <c r="G229" t="s">
        <v>327</v>
      </c>
      <c r="H229">
        <v>2020</v>
      </c>
      <c r="I229" s="55">
        <v>2019</v>
      </c>
      <c r="J229">
        <f>'ITR V2 esg data'!N2376</f>
        <v>452888</v>
      </c>
      <c r="K229" t="s">
        <v>428</v>
      </c>
      <c r="L229">
        <v>2025</v>
      </c>
      <c r="M229">
        <v>1</v>
      </c>
    </row>
    <row r="230" spans="1:13">
      <c r="A230" t="s">
        <v>1124</v>
      </c>
      <c r="B230" s="1" t="s">
        <v>1132</v>
      </c>
      <c r="C230" t="s">
        <v>1133</v>
      </c>
      <c r="D230" t="s">
        <v>1134</v>
      </c>
      <c r="E230" s="54">
        <v>2050</v>
      </c>
      <c r="F230" s="54" t="s">
        <v>328</v>
      </c>
      <c r="G230" t="s">
        <v>332</v>
      </c>
      <c r="H230">
        <v>2020</v>
      </c>
      <c r="I230" s="55">
        <v>2015</v>
      </c>
      <c r="J230">
        <v>7541056</v>
      </c>
      <c r="K230" t="s">
        <v>428</v>
      </c>
      <c r="L230">
        <v>2025</v>
      </c>
      <c r="M230">
        <v>0.2</v>
      </c>
    </row>
    <row r="231" spans="1:13">
      <c r="A231" t="s">
        <v>1124</v>
      </c>
      <c r="B231" s="1" t="s">
        <v>1132</v>
      </c>
      <c r="C231" t="s">
        <v>1133</v>
      </c>
      <c r="D231" t="s">
        <v>1134</v>
      </c>
      <c r="E231" s="54">
        <v>2050</v>
      </c>
      <c r="F231" s="54" t="s">
        <v>328</v>
      </c>
      <c r="G231" t="s">
        <v>331</v>
      </c>
      <c r="H231">
        <v>2019</v>
      </c>
      <c r="I231" s="55">
        <v>2015</v>
      </c>
      <c r="J231">
        <v>320780</v>
      </c>
      <c r="K231" t="s">
        <v>428</v>
      </c>
      <c r="L231">
        <v>2025</v>
      </c>
      <c r="M231">
        <v>0.2</v>
      </c>
    </row>
    <row r="232" spans="1:13">
      <c r="A232" t="s">
        <v>1124</v>
      </c>
      <c r="B232" s="1" t="s">
        <v>1132</v>
      </c>
      <c r="C232" t="s">
        <v>1133</v>
      </c>
      <c r="D232" t="s">
        <v>1134</v>
      </c>
      <c r="E232" s="54">
        <v>2050</v>
      </c>
      <c r="F232" s="54" t="s">
        <v>328</v>
      </c>
      <c r="G232" t="s">
        <v>333</v>
      </c>
      <c r="H232">
        <v>2019</v>
      </c>
      <c r="I232" s="55">
        <v>2015</v>
      </c>
      <c r="J232">
        <v>336689</v>
      </c>
      <c r="K232" t="s">
        <v>428</v>
      </c>
      <c r="L232">
        <v>2025</v>
      </c>
      <c r="M232">
        <v>0.95</v>
      </c>
    </row>
    <row r="233" spans="1:13">
      <c r="A233" t="s">
        <v>1124</v>
      </c>
      <c r="B233" s="1" t="s">
        <v>1132</v>
      </c>
      <c r="C233" t="s">
        <v>1133</v>
      </c>
      <c r="D233" t="s">
        <v>1134</v>
      </c>
      <c r="E233" s="54">
        <v>2050</v>
      </c>
      <c r="F233" s="54" t="s">
        <v>326</v>
      </c>
      <c r="G233" t="s">
        <v>332</v>
      </c>
      <c r="H233">
        <v>2019</v>
      </c>
      <c r="I233" s="55">
        <v>2015</v>
      </c>
      <c r="J233">
        <v>968</v>
      </c>
      <c r="K233" t="s">
        <v>428</v>
      </c>
      <c r="L233">
        <v>2025</v>
      </c>
      <c r="M233">
        <v>0.25</v>
      </c>
    </row>
    <row r="234" spans="1:13">
      <c r="A234" t="s">
        <v>1125</v>
      </c>
      <c r="B234" s="1" t="s">
        <v>1135</v>
      </c>
      <c r="C234" t="s">
        <v>1136</v>
      </c>
      <c r="D234" t="s">
        <v>1134</v>
      </c>
      <c r="E234" s="54">
        <v>2050</v>
      </c>
      <c r="F234" s="54" t="s">
        <v>328</v>
      </c>
      <c r="G234" t="s">
        <v>327</v>
      </c>
      <c r="H234">
        <v>2021</v>
      </c>
      <c r="I234" s="55">
        <v>2019</v>
      </c>
      <c r="J234">
        <v>2678</v>
      </c>
      <c r="K234" t="s">
        <v>428</v>
      </c>
      <c r="L234">
        <v>2025</v>
      </c>
      <c r="M234">
        <v>0.5</v>
      </c>
    </row>
    <row r="235" spans="1:13">
      <c r="A235" t="s">
        <v>1125</v>
      </c>
      <c r="B235" s="1" t="s">
        <v>1135</v>
      </c>
      <c r="C235" t="s">
        <v>1136</v>
      </c>
      <c r="D235" t="s">
        <v>1134</v>
      </c>
      <c r="E235" s="54">
        <v>2050</v>
      </c>
      <c r="F235" s="54" t="s">
        <v>328</v>
      </c>
      <c r="G235" t="s">
        <v>1198</v>
      </c>
      <c r="H235">
        <v>2021</v>
      </c>
      <c r="I235" s="55">
        <v>2019</v>
      </c>
      <c r="J235">
        <v>8320</v>
      </c>
      <c r="K235" t="s">
        <v>428</v>
      </c>
      <c r="L235">
        <v>2025</v>
      </c>
      <c r="M235">
        <v>0.25</v>
      </c>
    </row>
    <row r="236" spans="1:13">
      <c r="A236" t="s">
        <v>1125</v>
      </c>
      <c r="B236" s="1" t="s">
        <v>1135</v>
      </c>
      <c r="C236" t="s">
        <v>1136</v>
      </c>
      <c r="D236" t="s">
        <v>1134</v>
      </c>
      <c r="E236" s="54">
        <v>2050</v>
      </c>
      <c r="F236" s="54" t="s">
        <v>328</v>
      </c>
      <c r="G236" t="s">
        <v>1199</v>
      </c>
      <c r="H236">
        <v>2021</v>
      </c>
      <c r="I236" s="55">
        <v>2019</v>
      </c>
      <c r="J236">
        <v>59213</v>
      </c>
      <c r="K236" t="s">
        <v>428</v>
      </c>
      <c r="L236">
        <v>2025</v>
      </c>
      <c r="M236">
        <v>0.65</v>
      </c>
    </row>
    <row r="237" spans="1:13">
      <c r="A237" t="s">
        <v>1126</v>
      </c>
      <c r="B237" s="1">
        <v>0</v>
      </c>
      <c r="C237" t="s">
        <v>1138</v>
      </c>
      <c r="D237" t="s">
        <v>883</v>
      </c>
      <c r="E237" s="54">
        <v>2050</v>
      </c>
      <c r="F237" s="54" t="s">
        <v>328</v>
      </c>
      <c r="G237" t="s">
        <v>327</v>
      </c>
      <c r="H237">
        <v>2021</v>
      </c>
      <c r="I237" s="55">
        <v>2017</v>
      </c>
      <c r="J237">
        <v>19600</v>
      </c>
      <c r="K237" t="s">
        <v>428</v>
      </c>
      <c r="L237">
        <v>2030</v>
      </c>
      <c r="M237">
        <v>0.55000000000000004</v>
      </c>
    </row>
    <row r="238" spans="1:13">
      <c r="A238" t="s">
        <v>1126</v>
      </c>
      <c r="B238" s="1">
        <v>0</v>
      </c>
      <c r="C238" t="s">
        <v>1138</v>
      </c>
      <c r="D238" t="s">
        <v>883</v>
      </c>
      <c r="E238" s="54">
        <v>2050</v>
      </c>
      <c r="F238" s="54" t="s">
        <v>328</v>
      </c>
      <c r="G238" t="s">
        <v>332</v>
      </c>
      <c r="H238">
        <v>2021</v>
      </c>
      <c r="I238" s="55">
        <v>2017</v>
      </c>
      <c r="J238">
        <v>5700000</v>
      </c>
      <c r="K238" t="s">
        <v>428</v>
      </c>
      <c r="L238">
        <v>2030</v>
      </c>
      <c r="M238">
        <v>0.2</v>
      </c>
    </row>
    <row r="239" spans="1:13">
      <c r="A239" t="s">
        <v>1126</v>
      </c>
      <c r="B239" s="1">
        <v>0</v>
      </c>
      <c r="C239" t="s">
        <v>1138</v>
      </c>
      <c r="D239" t="s">
        <v>883</v>
      </c>
      <c r="E239" s="54">
        <v>2050</v>
      </c>
      <c r="F239" s="54" t="s">
        <v>328</v>
      </c>
      <c r="G239" t="s">
        <v>327</v>
      </c>
      <c r="H239">
        <v>2020</v>
      </c>
      <c r="I239" s="55">
        <v>2013</v>
      </c>
      <c r="J239">
        <v>23361</v>
      </c>
      <c r="K239" t="s">
        <v>428</v>
      </c>
      <c r="L239">
        <v>2030</v>
      </c>
      <c r="M239">
        <v>0.3</v>
      </c>
    </row>
    <row r="240" spans="1:13">
      <c r="A240" t="s">
        <v>1126</v>
      </c>
      <c r="B240" s="1">
        <v>0</v>
      </c>
      <c r="C240" t="s">
        <v>1138</v>
      </c>
      <c r="D240" t="s">
        <v>883</v>
      </c>
      <c r="E240" s="54">
        <v>2050</v>
      </c>
      <c r="F240" s="54" t="s">
        <v>328</v>
      </c>
      <c r="G240" t="s">
        <v>332</v>
      </c>
      <c r="H240">
        <v>2020</v>
      </c>
      <c r="I240" s="55">
        <v>2017</v>
      </c>
      <c r="J240">
        <v>786400</v>
      </c>
      <c r="K240" t="s">
        <v>428</v>
      </c>
      <c r="L240">
        <v>2030</v>
      </c>
      <c r="M240">
        <v>0.2</v>
      </c>
    </row>
    <row r="241" spans="1:13">
      <c r="A241" t="s">
        <v>1127</v>
      </c>
      <c r="B241" s="1" t="s">
        <v>1140</v>
      </c>
      <c r="C241" t="s">
        <v>1141</v>
      </c>
      <c r="D241" t="s">
        <v>871</v>
      </c>
      <c r="E241" s="54">
        <v>2050</v>
      </c>
      <c r="F241" s="54" t="s">
        <v>328</v>
      </c>
      <c r="G241" t="s">
        <v>327</v>
      </c>
      <c r="H241">
        <v>2021</v>
      </c>
      <c r="I241" s="55">
        <v>2019</v>
      </c>
      <c r="J241">
        <v>3760000</v>
      </c>
      <c r="K241" t="s">
        <v>428</v>
      </c>
      <c r="L241">
        <v>2030</v>
      </c>
      <c r="M241">
        <v>0.42</v>
      </c>
    </row>
    <row r="242" spans="1:13">
      <c r="A242" t="s">
        <v>1127</v>
      </c>
      <c r="B242" s="1" t="s">
        <v>1140</v>
      </c>
      <c r="C242" t="s">
        <v>1141</v>
      </c>
      <c r="D242" t="s">
        <v>871</v>
      </c>
      <c r="E242" s="54">
        <v>2050</v>
      </c>
      <c r="F242" s="54" t="s">
        <v>328</v>
      </c>
      <c r="G242" t="s">
        <v>332</v>
      </c>
      <c r="H242">
        <v>2021</v>
      </c>
      <c r="I242" s="55">
        <v>2019</v>
      </c>
      <c r="J242">
        <v>8820000</v>
      </c>
      <c r="K242" t="s">
        <v>428</v>
      </c>
      <c r="L242">
        <v>2030</v>
      </c>
      <c r="M242">
        <v>0.123</v>
      </c>
    </row>
    <row r="243" spans="1:13">
      <c r="A243" t="s">
        <v>1127</v>
      </c>
      <c r="B243" s="1" t="s">
        <v>1140</v>
      </c>
      <c r="C243" t="s">
        <v>1141</v>
      </c>
      <c r="D243" t="s">
        <v>871</v>
      </c>
      <c r="E243" s="54">
        <v>2050</v>
      </c>
      <c r="F243" s="54" t="s">
        <v>328</v>
      </c>
      <c r="G243" t="s">
        <v>327</v>
      </c>
      <c r="H243">
        <v>2021</v>
      </c>
      <c r="I243" s="55">
        <v>2019</v>
      </c>
      <c r="J243">
        <v>3760000</v>
      </c>
      <c r="K243" t="s">
        <v>428</v>
      </c>
      <c r="L243">
        <v>2024</v>
      </c>
      <c r="M243">
        <v>0.2</v>
      </c>
    </row>
    <row r="244" spans="1:13">
      <c r="A244" t="s">
        <v>1127</v>
      </c>
      <c r="B244" s="1" t="s">
        <v>1140</v>
      </c>
      <c r="C244" t="s">
        <v>1141</v>
      </c>
      <c r="D244" t="s">
        <v>871</v>
      </c>
      <c r="E244" s="54">
        <v>2050</v>
      </c>
      <c r="F244" s="54" t="s">
        <v>328</v>
      </c>
      <c r="G244" t="s">
        <v>332</v>
      </c>
      <c r="H244">
        <v>2021</v>
      </c>
      <c r="I244" s="55">
        <v>2019</v>
      </c>
      <c r="J244">
        <v>8820000</v>
      </c>
      <c r="K244" t="s">
        <v>428</v>
      </c>
      <c r="L244">
        <v>2024</v>
      </c>
      <c r="M244">
        <v>0.06</v>
      </c>
    </row>
    <row r="245" spans="1:13">
      <c r="A245" t="s">
        <v>1127</v>
      </c>
      <c r="B245" s="1" t="s">
        <v>1140</v>
      </c>
      <c r="C245" t="s">
        <v>1141</v>
      </c>
      <c r="D245" t="s">
        <v>871</v>
      </c>
      <c r="E245" s="54">
        <v>2050</v>
      </c>
      <c r="F245" s="54" t="s">
        <v>328</v>
      </c>
      <c r="G245" t="s">
        <v>327</v>
      </c>
      <c r="H245">
        <v>2021</v>
      </c>
      <c r="I245" s="55">
        <v>2019</v>
      </c>
      <c r="J245">
        <v>3760000</v>
      </c>
      <c r="K245" t="s">
        <v>428</v>
      </c>
      <c r="L245">
        <v>2029</v>
      </c>
      <c r="M245">
        <v>0.42</v>
      </c>
    </row>
    <row r="246" spans="1:13">
      <c r="A246" t="s">
        <v>1127</v>
      </c>
      <c r="B246" s="1" t="s">
        <v>1140</v>
      </c>
      <c r="C246" t="s">
        <v>1141</v>
      </c>
      <c r="D246" t="s">
        <v>871</v>
      </c>
      <c r="E246" s="54">
        <v>2050</v>
      </c>
      <c r="F246" s="54" t="s">
        <v>328</v>
      </c>
      <c r="G246" t="s">
        <v>332</v>
      </c>
      <c r="H246">
        <v>2021</v>
      </c>
      <c r="I246" s="55">
        <v>2019</v>
      </c>
      <c r="J246">
        <v>8820000</v>
      </c>
      <c r="K246" t="s">
        <v>428</v>
      </c>
      <c r="L246">
        <v>2029</v>
      </c>
      <c r="M246">
        <v>0.123</v>
      </c>
    </row>
    <row r="247" spans="1:13">
      <c r="A247" t="s">
        <v>1127</v>
      </c>
      <c r="B247" s="1" t="s">
        <v>1140</v>
      </c>
      <c r="C247" t="s">
        <v>1141</v>
      </c>
      <c r="D247" t="s">
        <v>871</v>
      </c>
      <c r="E247" s="54">
        <v>2050</v>
      </c>
      <c r="F247" s="54" t="s">
        <v>328</v>
      </c>
      <c r="G247" t="s">
        <v>332</v>
      </c>
      <c r="H247">
        <v>2021</v>
      </c>
      <c r="I247" s="55">
        <v>2019</v>
      </c>
      <c r="J247">
        <v>8871000</v>
      </c>
      <c r="K247" t="s">
        <v>428</v>
      </c>
      <c r="L247">
        <v>2029</v>
      </c>
      <c r="M247">
        <v>0.123</v>
      </c>
    </row>
    <row r="248" spans="1:13">
      <c r="A248" t="s">
        <v>1128</v>
      </c>
      <c r="B248" s="1" t="s">
        <v>1142</v>
      </c>
      <c r="C248" t="s">
        <v>1143</v>
      </c>
      <c r="D248" t="s">
        <v>883</v>
      </c>
      <c r="E248" s="54">
        <v>2050</v>
      </c>
      <c r="F248" s="54" t="s">
        <v>328</v>
      </c>
      <c r="G248" t="s">
        <v>327</v>
      </c>
      <c r="H248">
        <v>2021</v>
      </c>
      <c r="I248" s="55">
        <v>2019</v>
      </c>
      <c r="J248">
        <v>325</v>
      </c>
      <c r="K248" t="s">
        <v>428</v>
      </c>
      <c r="L248">
        <v>2031</v>
      </c>
      <c r="M248">
        <v>0.38</v>
      </c>
    </row>
    <row r="249" spans="1:13">
      <c r="A249" t="s">
        <v>1128</v>
      </c>
      <c r="B249" s="1" t="s">
        <v>1142</v>
      </c>
      <c r="C249" t="s">
        <v>1143</v>
      </c>
      <c r="D249" t="s">
        <v>883</v>
      </c>
      <c r="E249" s="54">
        <v>2050</v>
      </c>
      <c r="F249" s="54" t="s">
        <v>328</v>
      </c>
      <c r="G249" t="s">
        <v>332</v>
      </c>
      <c r="H249">
        <v>2021</v>
      </c>
      <c r="I249" s="55">
        <v>2019</v>
      </c>
      <c r="K249" t="s">
        <v>428</v>
      </c>
      <c r="L249">
        <v>2031</v>
      </c>
      <c r="M249">
        <v>0.3</v>
      </c>
    </row>
  </sheetData>
  <hyperlinks>
    <hyperlink ref="N54" r:id="rId1" xr:uid="{DCA8CB4E-340E-E84D-89E5-B23FA6F3D221}"/>
    <hyperlink ref="N55" r:id="rId2" xr:uid="{96B5F0A7-2944-F442-B049-40672E2B5F83}"/>
    <hyperlink ref="N56" r:id="rId3" xr:uid="{22492F9C-D248-DF4E-BC1E-577BDAEBA1C2}"/>
    <hyperlink ref="N57" r:id="rId4" xr:uid="{D3827059-1B10-FB43-B885-71BDBBCA2FB7}"/>
    <hyperlink ref="N97" r:id="rId5" xr:uid="{6C1C81C9-DD7D-FA43-86AB-3766E46F4456}"/>
    <hyperlink ref="N98" r:id="rId6" xr:uid="{B1AE7E87-0637-EC47-A0A0-58D79AF6A3B9}"/>
    <hyperlink ref="N99" r:id="rId7" xr:uid="{8318B9ED-71B4-DD4C-BA77-EC862216D7ED}"/>
    <hyperlink ref="N100" r:id="rId8" xr:uid="{C14F6516-DC05-8146-B7A1-03F891440791}"/>
  </hyperlinks>
  <pageMargins left="0.7" right="0.7" top="0.75" bottom="0.75" header="0.3" footer="0.511811023622047"/>
  <pageSetup orientation="portrait" horizontalDpi="300" verticalDpi="300"/>
  <headerFooter>
    <oddHeader>&amp;C&amp;1 Confidential#</oddHeader>
  </headerFooter>
  <legacyDrawing r:id="rId9"/>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F3AC7-77BA-3B4C-A58B-FB7FADC4FD78}">
  <dimension ref="A1:O17"/>
  <sheetViews>
    <sheetView topLeftCell="A6" workbookViewId="0">
      <selection activeCell="A17" sqref="A17:XFD17"/>
    </sheetView>
  </sheetViews>
  <sheetFormatPr baseColWidth="10" defaultRowHeight="15"/>
  <sheetData>
    <row r="1" spans="1:15">
      <c r="A1" t="s">
        <v>548</v>
      </c>
      <c r="B1" s="1" t="s">
        <v>526</v>
      </c>
      <c r="C1" t="s">
        <v>546</v>
      </c>
      <c r="D1" t="s">
        <v>530</v>
      </c>
      <c r="E1" s="37"/>
      <c r="F1" s="54"/>
      <c r="H1" s="37"/>
      <c r="M1" s="57"/>
    </row>
    <row r="2" spans="1:15">
      <c r="A2" t="s">
        <v>541</v>
      </c>
      <c r="B2" s="1" t="s">
        <v>526</v>
      </c>
      <c r="C2" t="s">
        <v>545</v>
      </c>
      <c r="D2" t="s">
        <v>530</v>
      </c>
      <c r="E2" s="37"/>
      <c r="F2" s="54"/>
      <c r="H2" s="37"/>
      <c r="M2" s="57"/>
    </row>
    <row r="3" spans="1:15">
      <c r="A3" t="s">
        <v>542</v>
      </c>
      <c r="B3" s="1" t="s">
        <v>526</v>
      </c>
      <c r="C3" t="s">
        <v>549</v>
      </c>
      <c r="D3" t="s">
        <v>530</v>
      </c>
      <c r="E3" s="37"/>
      <c r="F3" s="54"/>
      <c r="H3" s="37"/>
      <c r="M3" s="57"/>
    </row>
    <row r="4" spans="1:15">
      <c r="A4" t="s">
        <v>543</v>
      </c>
      <c r="B4" s="1" t="s">
        <v>544</v>
      </c>
      <c r="C4" t="s">
        <v>547</v>
      </c>
      <c r="D4" t="s">
        <v>530</v>
      </c>
      <c r="E4" s="37"/>
      <c r="F4" s="54"/>
      <c r="H4" s="37"/>
      <c r="M4" s="57"/>
    </row>
    <row r="5" spans="1:15">
      <c r="A5" t="s">
        <v>564</v>
      </c>
      <c r="B5" s="1" t="s">
        <v>529</v>
      </c>
      <c r="C5" t="s">
        <v>528</v>
      </c>
      <c r="D5" t="s">
        <v>52</v>
      </c>
      <c r="E5" s="37"/>
      <c r="F5" s="54"/>
      <c r="H5" s="37"/>
      <c r="M5" s="57"/>
    </row>
    <row r="6" spans="1:15">
      <c r="A6" t="s">
        <v>565</v>
      </c>
      <c r="B6" s="1" t="s">
        <v>529</v>
      </c>
      <c r="C6" t="s">
        <v>528</v>
      </c>
      <c r="D6" t="s">
        <v>52</v>
      </c>
      <c r="E6" s="37"/>
      <c r="F6" s="54"/>
      <c r="H6" s="37"/>
      <c r="M6" s="57"/>
    </row>
    <row r="7" spans="1:15">
      <c r="A7" t="s">
        <v>568</v>
      </c>
      <c r="B7" s="1" t="s">
        <v>529</v>
      </c>
      <c r="C7" t="s">
        <v>528</v>
      </c>
      <c r="D7" t="s">
        <v>52</v>
      </c>
      <c r="E7" s="37"/>
      <c r="F7" s="54"/>
      <c r="H7" s="37"/>
      <c r="M7" s="57"/>
    </row>
    <row r="8" spans="1:15">
      <c r="A8" t="s">
        <v>131</v>
      </c>
      <c r="B8" s="1" t="s">
        <v>132</v>
      </c>
      <c r="C8" t="s">
        <v>133</v>
      </c>
      <c r="D8" t="s">
        <v>134</v>
      </c>
      <c r="E8" s="54">
        <v>2040</v>
      </c>
      <c r="F8" s="54" t="s">
        <v>326</v>
      </c>
      <c r="G8" t="s">
        <v>633</v>
      </c>
      <c r="H8">
        <v>2021</v>
      </c>
      <c r="I8" s="55">
        <v>2017</v>
      </c>
      <c r="J8">
        <v>366</v>
      </c>
      <c r="K8" s="37" t="s">
        <v>434</v>
      </c>
      <c r="L8">
        <v>2024</v>
      </c>
      <c r="M8" s="57">
        <f>1-(130/366)</f>
        <v>0.64480874316939896</v>
      </c>
      <c r="N8" t="s">
        <v>537</v>
      </c>
      <c r="O8">
        <v>110</v>
      </c>
    </row>
    <row r="9" spans="1:15">
      <c r="A9" t="s">
        <v>131</v>
      </c>
      <c r="B9" s="1" t="s">
        <v>132</v>
      </c>
      <c r="C9" t="s">
        <v>133</v>
      </c>
      <c r="D9" t="s">
        <v>134</v>
      </c>
      <c r="E9" s="54">
        <v>2040</v>
      </c>
      <c r="F9" s="54" t="s">
        <v>326</v>
      </c>
      <c r="G9" t="s">
        <v>633</v>
      </c>
      <c r="H9">
        <v>2021</v>
      </c>
      <c r="I9" s="55">
        <v>2017</v>
      </c>
      <c r="J9">
        <v>366</v>
      </c>
      <c r="K9" s="37" t="s">
        <v>434</v>
      </c>
      <c r="L9">
        <v>2030</v>
      </c>
      <c r="M9" s="57">
        <f>1-(73/366)</f>
        <v>0.80054644808743169</v>
      </c>
      <c r="N9" t="s">
        <v>537</v>
      </c>
      <c r="O9">
        <v>110</v>
      </c>
    </row>
    <row r="10" spans="1:15">
      <c r="A10" t="s">
        <v>131</v>
      </c>
      <c r="B10" s="1" t="s">
        <v>132</v>
      </c>
      <c r="C10" t="s">
        <v>133</v>
      </c>
      <c r="D10" t="s">
        <v>134</v>
      </c>
      <c r="E10" s="54">
        <v>2040</v>
      </c>
      <c r="F10" s="54" t="s">
        <v>328</v>
      </c>
      <c r="G10" t="s">
        <v>632</v>
      </c>
      <c r="H10">
        <v>2021</v>
      </c>
      <c r="I10" s="55">
        <v>2017</v>
      </c>
      <c r="J10">
        <v>25.3</v>
      </c>
      <c r="K10" s="37" t="s">
        <v>429</v>
      </c>
      <c r="L10">
        <v>2024</v>
      </c>
      <c r="M10" s="57">
        <f>1-(21.3/25.3)</f>
        <v>0.15810276679841895</v>
      </c>
      <c r="N10" t="s">
        <v>537</v>
      </c>
      <c r="O10">
        <v>110</v>
      </c>
    </row>
    <row r="11" spans="1:15">
      <c r="A11" t="s">
        <v>131</v>
      </c>
      <c r="B11" s="1" t="s">
        <v>132</v>
      </c>
      <c r="C11" t="s">
        <v>133</v>
      </c>
      <c r="D11" t="s">
        <v>134</v>
      </c>
      <c r="E11" s="54">
        <v>2040</v>
      </c>
      <c r="F11" s="54" t="s">
        <v>328</v>
      </c>
      <c r="G11" t="s">
        <v>632</v>
      </c>
      <c r="H11">
        <v>2021</v>
      </c>
      <c r="I11" s="55">
        <v>2017</v>
      </c>
      <c r="J11">
        <v>25.3</v>
      </c>
      <c r="K11" s="37" t="s">
        <v>429</v>
      </c>
      <c r="L11">
        <v>2030</v>
      </c>
      <c r="M11" s="57">
        <f>1-(11.4/25.3)</f>
        <v>0.54940711462450587</v>
      </c>
      <c r="N11" t="s">
        <v>537</v>
      </c>
      <c r="O11">
        <v>110</v>
      </c>
    </row>
    <row r="12" spans="1:15">
      <c r="A12" t="s">
        <v>523</v>
      </c>
      <c r="B12" s="1" t="s">
        <v>525</v>
      </c>
      <c r="C12" t="s">
        <v>524</v>
      </c>
      <c r="D12" t="s">
        <v>127</v>
      </c>
      <c r="E12" s="37">
        <v>2050</v>
      </c>
      <c r="F12" s="54" t="s">
        <v>328</v>
      </c>
      <c r="G12" t="s">
        <v>569</v>
      </c>
      <c r="H12" s="37">
        <v>2021</v>
      </c>
      <c r="I12">
        <v>2015</v>
      </c>
      <c r="J12">
        <v>0</v>
      </c>
      <c r="K12" t="s">
        <v>429</v>
      </c>
      <c r="L12">
        <v>2050</v>
      </c>
      <c r="M12" s="57">
        <v>1</v>
      </c>
    </row>
    <row r="13" spans="1:15">
      <c r="A13" t="s">
        <v>933</v>
      </c>
      <c r="B13" t="s">
        <v>934</v>
      </c>
      <c r="C13" t="s">
        <v>935</v>
      </c>
      <c r="D13" t="s">
        <v>936</v>
      </c>
    </row>
    <row r="14" spans="1:15">
      <c r="A14" t="s">
        <v>954</v>
      </c>
      <c r="B14" t="s">
        <v>955</v>
      </c>
      <c r="C14" t="s">
        <v>956</v>
      </c>
      <c r="D14" t="s">
        <v>957</v>
      </c>
    </row>
    <row r="15" spans="1:15">
      <c r="A15" t="s">
        <v>963</v>
      </c>
      <c r="B15" t="s">
        <v>964</v>
      </c>
      <c r="C15" t="s">
        <v>965</v>
      </c>
      <c r="D15" t="s">
        <v>966</v>
      </c>
      <c r="F15" t="s">
        <v>326</v>
      </c>
      <c r="G15" t="s">
        <v>329</v>
      </c>
      <c r="I15">
        <v>1990</v>
      </c>
      <c r="L15">
        <v>2030</v>
      </c>
      <c r="M15">
        <v>0.4</v>
      </c>
    </row>
    <row r="16" spans="1:15">
      <c r="A16" t="s">
        <v>943</v>
      </c>
      <c r="B16" t="s">
        <v>944</v>
      </c>
      <c r="C16" t="s">
        <v>945</v>
      </c>
      <c r="D16" t="s">
        <v>52</v>
      </c>
      <c r="E16">
        <v>2050</v>
      </c>
      <c r="F16" t="s">
        <v>328</v>
      </c>
      <c r="G16" t="s">
        <v>333</v>
      </c>
      <c r="I16">
        <v>2021</v>
      </c>
      <c r="J16">
        <v>584422</v>
      </c>
      <c r="K16" t="s">
        <v>428</v>
      </c>
      <c r="L16">
        <v>2030</v>
      </c>
      <c r="M16">
        <v>30</v>
      </c>
      <c r="N16" t="s">
        <v>1060</v>
      </c>
      <c r="O16">
        <v>39</v>
      </c>
    </row>
    <row r="17" spans="1:13" s="45" customFormat="1">
      <c r="A17" s="45" t="s">
        <v>1085</v>
      </c>
      <c r="B17" s="46" t="s">
        <v>67</v>
      </c>
      <c r="C17" s="45" t="s">
        <v>1083</v>
      </c>
      <c r="D17" s="45" t="s">
        <v>52</v>
      </c>
      <c r="E17" s="47">
        <v>2050</v>
      </c>
      <c r="F17" s="50" t="s">
        <v>328</v>
      </c>
      <c r="G17" s="45" t="s">
        <v>329</v>
      </c>
      <c r="H17" s="50">
        <v>2021</v>
      </c>
      <c r="I17" s="48">
        <v>2021</v>
      </c>
      <c r="J17" s="162">
        <v>10</v>
      </c>
      <c r="K17" s="45" t="s">
        <v>429</v>
      </c>
      <c r="L17" s="45">
        <v>2050</v>
      </c>
      <c r="M17" s="51">
        <v>1</v>
      </c>
    </row>
  </sheetData>
  <pageMargins left="0.7" right="0.7" top="0.75" bottom="0.75" header="0.3" footer="0.3"/>
  <pageSetup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33" customWidth="1"/>
    <col min="2" max="2" width="22.6640625" style="25" customWidth="1"/>
    <col min="3" max="3" width="21.6640625" style="25" customWidth="1"/>
    <col min="4" max="4" width="44" customWidth="1"/>
    <col min="5" max="5" width="25.1640625" customWidth="1"/>
    <col min="6" max="6" width="26.6640625" customWidth="1"/>
    <col min="8" max="8" width="87.6640625" customWidth="1"/>
  </cols>
  <sheetData>
    <row r="1" spans="1:6" ht="16" customHeight="1">
      <c r="A1" s="17" t="s">
        <v>334</v>
      </c>
      <c r="B1" s="18" t="s">
        <v>335</v>
      </c>
      <c r="C1" s="18" t="s">
        <v>336</v>
      </c>
      <c r="D1" s="19" t="s">
        <v>337</v>
      </c>
      <c r="E1" s="20" t="s">
        <v>338</v>
      </c>
      <c r="F1" s="21" t="s">
        <v>339</v>
      </c>
    </row>
    <row r="2" spans="1:6" ht="16" customHeight="1">
      <c r="A2" s="22" t="s">
        <v>340</v>
      </c>
      <c r="B2" s="23" t="s">
        <v>0</v>
      </c>
      <c r="C2" s="24" t="s">
        <v>341</v>
      </c>
      <c r="D2" s="25" t="s">
        <v>342</v>
      </c>
      <c r="E2" t="s">
        <v>343</v>
      </c>
      <c r="F2" t="s">
        <v>344</v>
      </c>
    </row>
    <row r="3" spans="1:6" ht="16" customHeight="1">
      <c r="A3" s="22" t="s">
        <v>340</v>
      </c>
      <c r="B3" s="26" t="s">
        <v>1</v>
      </c>
      <c r="C3" s="24" t="s">
        <v>341</v>
      </c>
      <c r="D3" s="27" t="s">
        <v>345</v>
      </c>
      <c r="E3" s="28" t="s">
        <v>343</v>
      </c>
      <c r="F3" s="28" t="s">
        <v>346</v>
      </c>
    </row>
    <row r="4" spans="1:6" ht="32" customHeight="1">
      <c r="A4" s="22" t="s">
        <v>340</v>
      </c>
      <c r="B4" s="23" t="s">
        <v>2</v>
      </c>
      <c r="C4" s="24" t="s">
        <v>341</v>
      </c>
      <c r="D4" s="25" t="s">
        <v>347</v>
      </c>
      <c r="E4" t="s">
        <v>343</v>
      </c>
      <c r="F4" t="s">
        <v>344</v>
      </c>
    </row>
    <row r="5" spans="1:6" ht="32" customHeight="1">
      <c r="A5" s="22" t="s">
        <v>340</v>
      </c>
      <c r="B5" s="23" t="s">
        <v>3</v>
      </c>
      <c r="C5" s="24" t="s">
        <v>341</v>
      </c>
      <c r="D5" s="25" t="s">
        <v>348</v>
      </c>
      <c r="E5" t="s">
        <v>343</v>
      </c>
      <c r="F5" t="s">
        <v>344</v>
      </c>
    </row>
    <row r="6" spans="1:6" ht="48" customHeight="1">
      <c r="A6" s="22" t="s">
        <v>340</v>
      </c>
      <c r="B6" s="26" t="s">
        <v>4</v>
      </c>
      <c r="C6" s="24" t="s">
        <v>341</v>
      </c>
      <c r="D6" s="27" t="s">
        <v>349</v>
      </c>
      <c r="E6" s="28" t="s">
        <v>343</v>
      </c>
      <c r="F6" s="28" t="s">
        <v>346</v>
      </c>
    </row>
    <row r="7" spans="1:6" ht="32" customHeight="1">
      <c r="A7" s="22" t="s">
        <v>340</v>
      </c>
      <c r="B7" s="23" t="s">
        <v>5</v>
      </c>
      <c r="C7" s="24" t="s">
        <v>341</v>
      </c>
      <c r="D7" s="53" t="s">
        <v>350</v>
      </c>
      <c r="E7" s="29" t="s">
        <v>351</v>
      </c>
      <c r="F7" t="s">
        <v>344</v>
      </c>
    </row>
    <row r="8" spans="1:6" ht="16" customHeight="1">
      <c r="A8" s="22" t="s">
        <v>340</v>
      </c>
      <c r="B8" s="23" t="s">
        <v>6</v>
      </c>
      <c r="C8" s="24" t="s">
        <v>341</v>
      </c>
      <c r="D8" s="53" t="s">
        <v>352</v>
      </c>
      <c r="E8" t="s">
        <v>353</v>
      </c>
      <c r="F8" t="s">
        <v>344</v>
      </c>
    </row>
    <row r="9" spans="1:6" ht="32" customHeight="1">
      <c r="A9" s="22" t="s">
        <v>340</v>
      </c>
      <c r="B9" s="23" t="s">
        <v>7</v>
      </c>
      <c r="C9" s="24" t="s">
        <v>341</v>
      </c>
      <c r="D9" s="25" t="s">
        <v>354</v>
      </c>
      <c r="E9" t="s">
        <v>343</v>
      </c>
      <c r="F9" t="s">
        <v>344</v>
      </c>
    </row>
    <row r="10" spans="1:6" ht="16" customHeight="1">
      <c r="A10" s="22" t="s">
        <v>340</v>
      </c>
      <c r="B10" s="30" t="s">
        <v>8</v>
      </c>
      <c r="C10" s="24" t="s">
        <v>341</v>
      </c>
      <c r="D10" s="25" t="s">
        <v>355</v>
      </c>
      <c r="E10" t="s">
        <v>356</v>
      </c>
      <c r="F10" t="s">
        <v>344</v>
      </c>
    </row>
    <row r="11" spans="1:6" ht="16" customHeight="1">
      <c r="A11" s="22" t="s">
        <v>340</v>
      </c>
      <c r="B11" s="23" t="s">
        <v>9</v>
      </c>
      <c r="C11" s="24" t="s">
        <v>341</v>
      </c>
      <c r="D11" s="53" t="s">
        <v>357</v>
      </c>
      <c r="E11" t="s">
        <v>358</v>
      </c>
      <c r="F11" t="s">
        <v>344</v>
      </c>
    </row>
    <row r="12" spans="1:6" ht="16" customHeight="1">
      <c r="A12" s="22" t="s">
        <v>340</v>
      </c>
      <c r="B12" s="23" t="s">
        <v>10</v>
      </c>
      <c r="C12" s="24" t="s">
        <v>341</v>
      </c>
      <c r="D12" s="53" t="s">
        <v>359</v>
      </c>
      <c r="E12" t="s">
        <v>358</v>
      </c>
      <c r="F12" t="s">
        <v>344</v>
      </c>
    </row>
    <row r="13" spans="1:6" ht="16" customHeight="1">
      <c r="A13" s="22" t="s">
        <v>340</v>
      </c>
      <c r="B13" s="23" t="s">
        <v>11</v>
      </c>
      <c r="C13" s="24" t="s">
        <v>341</v>
      </c>
      <c r="D13" s="53" t="s">
        <v>360</v>
      </c>
      <c r="E13" t="s">
        <v>358</v>
      </c>
      <c r="F13" t="s">
        <v>344</v>
      </c>
    </row>
    <row r="14" spans="1:6" ht="16" customHeight="1">
      <c r="A14" s="22" t="s">
        <v>340</v>
      </c>
      <c r="B14" s="23" t="s">
        <v>12</v>
      </c>
      <c r="C14" s="24" t="s">
        <v>341</v>
      </c>
      <c r="D14" s="53" t="s">
        <v>361</v>
      </c>
      <c r="E14" t="s">
        <v>358</v>
      </c>
      <c r="F14" t="s">
        <v>344</v>
      </c>
    </row>
    <row r="15" spans="1:6" ht="32" customHeight="1">
      <c r="A15" s="22" t="s">
        <v>340</v>
      </c>
      <c r="B15" s="23" t="s">
        <v>13</v>
      </c>
      <c r="C15" s="24" t="s">
        <v>341</v>
      </c>
      <c r="D15" s="53" t="s">
        <v>362</v>
      </c>
      <c r="E15" t="s">
        <v>358</v>
      </c>
      <c r="F15" t="s">
        <v>344</v>
      </c>
    </row>
    <row r="16" spans="1:6" s="33" customFormat="1" ht="72.75" customHeight="1">
      <c r="A16" s="31" t="s">
        <v>363</v>
      </c>
      <c r="B16" s="23" t="s">
        <v>364</v>
      </c>
      <c r="C16" s="24" t="s">
        <v>341</v>
      </c>
      <c r="D16" s="25" t="s">
        <v>365</v>
      </c>
      <c r="E16" s="32" t="s">
        <v>366</v>
      </c>
      <c r="F16" s="33" t="s">
        <v>344</v>
      </c>
    </row>
    <row r="17" spans="1:6" s="33" customFormat="1" ht="72.75" customHeight="1">
      <c r="A17" s="31" t="s">
        <v>367</v>
      </c>
      <c r="B17" s="23" t="s">
        <v>14</v>
      </c>
      <c r="C17" s="24" t="s">
        <v>341</v>
      </c>
      <c r="D17" s="25" t="s">
        <v>368</v>
      </c>
      <c r="E17" s="32" t="s">
        <v>369</v>
      </c>
      <c r="F17" s="33" t="s">
        <v>344</v>
      </c>
    </row>
    <row r="18" spans="1:6" ht="32" customHeight="1">
      <c r="A18" s="34" t="s">
        <v>370</v>
      </c>
      <c r="B18" s="35" t="s">
        <v>15</v>
      </c>
      <c r="C18" s="24" t="s">
        <v>341</v>
      </c>
      <c r="D18" s="53" t="s">
        <v>371</v>
      </c>
      <c r="E18" t="s">
        <v>372</v>
      </c>
      <c r="F18" t="s">
        <v>344</v>
      </c>
    </row>
    <row r="19" spans="1:6" ht="32" customHeight="1">
      <c r="A19" s="34" t="s">
        <v>370</v>
      </c>
      <c r="B19" s="35" t="s">
        <v>16</v>
      </c>
      <c r="C19" s="24" t="s">
        <v>341</v>
      </c>
      <c r="D19" s="53" t="s">
        <v>371</v>
      </c>
      <c r="E19" t="s">
        <v>372</v>
      </c>
      <c r="F19" t="s">
        <v>344</v>
      </c>
    </row>
    <row r="20" spans="1:6" ht="32" customHeight="1">
      <c r="A20" s="34" t="s">
        <v>370</v>
      </c>
      <c r="B20" s="35" t="s">
        <v>17</v>
      </c>
      <c r="C20" s="24" t="s">
        <v>341</v>
      </c>
      <c r="D20" s="53" t="s">
        <v>371</v>
      </c>
      <c r="E20" t="s">
        <v>372</v>
      </c>
      <c r="F20" t="s">
        <v>344</v>
      </c>
    </row>
    <row r="21" spans="1:6" ht="32" customHeight="1">
      <c r="A21" s="34" t="s">
        <v>370</v>
      </c>
      <c r="B21" s="35" t="s">
        <v>18</v>
      </c>
      <c r="C21" s="24" t="s">
        <v>341</v>
      </c>
      <c r="D21" s="53" t="s">
        <v>371</v>
      </c>
      <c r="E21" t="s">
        <v>372</v>
      </c>
      <c r="F21" t="s">
        <v>344</v>
      </c>
    </row>
    <row r="22" spans="1:6" ht="32" customHeight="1">
      <c r="A22" s="34" t="s">
        <v>370</v>
      </c>
      <c r="B22" s="35" t="s">
        <v>19</v>
      </c>
      <c r="C22" s="24" t="s">
        <v>341</v>
      </c>
      <c r="D22" s="53" t="s">
        <v>371</v>
      </c>
      <c r="E22" t="s">
        <v>372</v>
      </c>
      <c r="F22" t="s">
        <v>344</v>
      </c>
    </row>
    <row r="23" spans="1:6" ht="32" customHeight="1">
      <c r="A23" s="34" t="s">
        <v>370</v>
      </c>
      <c r="B23" s="35" t="s">
        <v>20</v>
      </c>
      <c r="C23" s="24" t="s">
        <v>341</v>
      </c>
      <c r="D23" s="53" t="s">
        <v>373</v>
      </c>
      <c r="E23" t="s">
        <v>372</v>
      </c>
      <c r="F23" t="s">
        <v>346</v>
      </c>
    </row>
    <row r="24" spans="1:6" ht="48" customHeight="1">
      <c r="A24" s="34" t="s">
        <v>370</v>
      </c>
      <c r="B24" s="35" t="s">
        <v>21</v>
      </c>
      <c r="C24" s="24" t="s">
        <v>341</v>
      </c>
      <c r="D24" s="36" t="s">
        <v>374</v>
      </c>
      <c r="E24" s="37" t="s">
        <v>372</v>
      </c>
      <c r="F24" s="36" t="s">
        <v>375</v>
      </c>
    </row>
    <row r="25" spans="1:6" ht="32" customHeight="1">
      <c r="A25" s="34" t="s">
        <v>370</v>
      </c>
      <c r="B25" s="38" t="s">
        <v>22</v>
      </c>
      <c r="C25" s="24" t="s">
        <v>341</v>
      </c>
      <c r="D25" s="53" t="s">
        <v>376</v>
      </c>
      <c r="E25" t="s">
        <v>372</v>
      </c>
      <c r="F25" t="s">
        <v>344</v>
      </c>
    </row>
    <row r="26" spans="1:6" ht="32" customHeight="1">
      <c r="A26" s="34" t="s">
        <v>370</v>
      </c>
      <c r="B26" s="38" t="s">
        <v>23</v>
      </c>
      <c r="C26" s="24" t="s">
        <v>341</v>
      </c>
      <c r="D26" s="53" t="s">
        <v>376</v>
      </c>
      <c r="E26" t="s">
        <v>372</v>
      </c>
      <c r="F26" t="s">
        <v>344</v>
      </c>
    </row>
    <row r="27" spans="1:6" ht="32" customHeight="1">
      <c r="A27" s="34" t="s">
        <v>370</v>
      </c>
      <c r="B27" s="38" t="s">
        <v>24</v>
      </c>
      <c r="C27" s="24" t="s">
        <v>341</v>
      </c>
      <c r="D27" s="53" t="s">
        <v>376</v>
      </c>
      <c r="E27" t="s">
        <v>372</v>
      </c>
      <c r="F27" t="s">
        <v>344</v>
      </c>
    </row>
    <row r="28" spans="1:6" ht="32" customHeight="1">
      <c r="A28" s="34" t="s">
        <v>370</v>
      </c>
      <c r="B28" s="38" t="s">
        <v>25</v>
      </c>
      <c r="C28" s="24" t="s">
        <v>341</v>
      </c>
      <c r="D28" s="53" t="s">
        <v>376</v>
      </c>
      <c r="E28" t="s">
        <v>372</v>
      </c>
      <c r="F28" t="s">
        <v>344</v>
      </c>
    </row>
    <row r="29" spans="1:6" ht="32" customHeight="1">
      <c r="A29" s="34" t="s">
        <v>370</v>
      </c>
      <c r="B29" s="38" t="s">
        <v>26</v>
      </c>
      <c r="C29" s="24" t="s">
        <v>341</v>
      </c>
      <c r="D29" s="53" t="s">
        <v>376</v>
      </c>
      <c r="E29" t="s">
        <v>372</v>
      </c>
      <c r="F29" t="s">
        <v>344</v>
      </c>
    </row>
    <row r="30" spans="1:6" ht="32" customHeight="1">
      <c r="A30" s="34" t="s">
        <v>370</v>
      </c>
      <c r="B30" s="38" t="s">
        <v>27</v>
      </c>
      <c r="C30" s="24" t="s">
        <v>341</v>
      </c>
      <c r="D30" s="53" t="s">
        <v>377</v>
      </c>
      <c r="E30" t="s">
        <v>372</v>
      </c>
      <c r="F30" t="s">
        <v>346</v>
      </c>
    </row>
    <row r="31" spans="1:6" ht="48" customHeight="1">
      <c r="A31" s="34" t="s">
        <v>370</v>
      </c>
      <c r="B31" s="38" t="s">
        <v>28</v>
      </c>
      <c r="C31" s="24" t="s">
        <v>341</v>
      </c>
      <c r="D31" s="36" t="s">
        <v>378</v>
      </c>
      <c r="E31" s="37" t="s">
        <v>372</v>
      </c>
      <c r="F31" s="36" t="s">
        <v>375</v>
      </c>
    </row>
    <row r="32" spans="1:6" ht="32" customHeight="1">
      <c r="A32" s="34" t="s">
        <v>370</v>
      </c>
      <c r="B32" s="35" t="s">
        <v>29</v>
      </c>
      <c r="C32" s="24" t="s">
        <v>341</v>
      </c>
      <c r="D32" s="53" t="s">
        <v>379</v>
      </c>
      <c r="E32" t="s">
        <v>372</v>
      </c>
      <c r="F32" t="s">
        <v>344</v>
      </c>
    </row>
    <row r="33" spans="1:6" ht="32" customHeight="1">
      <c r="A33" s="34" t="s">
        <v>370</v>
      </c>
      <c r="B33" s="35" t="s">
        <v>30</v>
      </c>
      <c r="C33" s="24" t="s">
        <v>341</v>
      </c>
      <c r="D33" s="53" t="s">
        <v>379</v>
      </c>
      <c r="E33" t="s">
        <v>372</v>
      </c>
      <c r="F33" t="s">
        <v>344</v>
      </c>
    </row>
    <row r="34" spans="1:6" ht="32" customHeight="1">
      <c r="A34" s="34" t="s">
        <v>370</v>
      </c>
      <c r="B34" s="35" t="s">
        <v>31</v>
      </c>
      <c r="C34" s="24" t="s">
        <v>341</v>
      </c>
      <c r="D34" s="53" t="s">
        <v>379</v>
      </c>
      <c r="E34" t="s">
        <v>372</v>
      </c>
      <c r="F34" t="s">
        <v>344</v>
      </c>
    </row>
    <row r="35" spans="1:6" ht="32" customHeight="1">
      <c r="A35" s="34" t="s">
        <v>370</v>
      </c>
      <c r="B35" s="35" t="s">
        <v>32</v>
      </c>
      <c r="C35" s="24" t="s">
        <v>341</v>
      </c>
      <c r="D35" s="53" t="s">
        <v>379</v>
      </c>
      <c r="E35" t="s">
        <v>372</v>
      </c>
      <c r="F35" t="s">
        <v>344</v>
      </c>
    </row>
    <row r="36" spans="1:6" ht="32" customHeight="1">
      <c r="A36" s="34" t="s">
        <v>370</v>
      </c>
      <c r="B36" s="35" t="s">
        <v>33</v>
      </c>
      <c r="C36" s="24" t="s">
        <v>341</v>
      </c>
      <c r="D36" s="53" t="s">
        <v>379</v>
      </c>
      <c r="E36" t="s">
        <v>372</v>
      </c>
      <c r="F36" t="s">
        <v>344</v>
      </c>
    </row>
    <row r="37" spans="1:6" ht="32" customHeight="1">
      <c r="A37" s="34" t="s">
        <v>370</v>
      </c>
      <c r="B37" s="35" t="s">
        <v>34</v>
      </c>
      <c r="C37" s="24" t="s">
        <v>341</v>
      </c>
      <c r="D37" s="53" t="s">
        <v>380</v>
      </c>
      <c r="E37" t="s">
        <v>372</v>
      </c>
      <c r="F37" t="s">
        <v>346</v>
      </c>
    </row>
    <row r="38" spans="1:6" ht="48" customHeight="1">
      <c r="A38" s="34" t="s">
        <v>370</v>
      </c>
      <c r="B38" s="35" t="s">
        <v>35</v>
      </c>
      <c r="C38" s="24" t="s">
        <v>341</v>
      </c>
      <c r="D38" s="36" t="s">
        <v>381</v>
      </c>
      <c r="E38" s="37" t="s">
        <v>372</v>
      </c>
      <c r="F38" s="36" t="s">
        <v>375</v>
      </c>
    </row>
    <row r="39" spans="1:6" ht="32" customHeight="1">
      <c r="A39" s="34" t="s">
        <v>370</v>
      </c>
      <c r="B39" s="39" t="s">
        <v>36</v>
      </c>
      <c r="C39" s="24" t="s">
        <v>341</v>
      </c>
      <c r="D39" s="53" t="s">
        <v>382</v>
      </c>
      <c r="E39" t="s">
        <v>372</v>
      </c>
      <c r="F39" t="s">
        <v>344</v>
      </c>
    </row>
    <row r="40" spans="1:6" ht="32" customHeight="1">
      <c r="A40" s="34" t="s">
        <v>370</v>
      </c>
      <c r="B40" s="39" t="s">
        <v>37</v>
      </c>
      <c r="C40" s="24" t="s">
        <v>341</v>
      </c>
      <c r="D40" s="53" t="s">
        <v>382</v>
      </c>
      <c r="E40" t="s">
        <v>372</v>
      </c>
      <c r="F40" t="s">
        <v>344</v>
      </c>
    </row>
    <row r="41" spans="1:6" ht="32" customHeight="1">
      <c r="A41" s="34" t="s">
        <v>370</v>
      </c>
      <c r="B41" s="39" t="s">
        <v>38</v>
      </c>
      <c r="C41" s="24" t="s">
        <v>341</v>
      </c>
      <c r="D41" s="53" t="s">
        <v>382</v>
      </c>
      <c r="E41" t="s">
        <v>372</v>
      </c>
      <c r="F41" t="s">
        <v>344</v>
      </c>
    </row>
    <row r="42" spans="1:6" ht="32" customHeight="1">
      <c r="A42" s="34" t="s">
        <v>370</v>
      </c>
      <c r="B42" s="39" t="s">
        <v>39</v>
      </c>
      <c r="C42" s="24" t="s">
        <v>341</v>
      </c>
      <c r="D42" s="53" t="s">
        <v>382</v>
      </c>
      <c r="E42" t="s">
        <v>372</v>
      </c>
      <c r="F42" t="s">
        <v>344</v>
      </c>
    </row>
    <row r="43" spans="1:6" ht="32" customHeight="1">
      <c r="A43" s="34" t="s">
        <v>370</v>
      </c>
      <c r="B43" s="39" t="s">
        <v>40</v>
      </c>
      <c r="C43" s="24" t="s">
        <v>341</v>
      </c>
      <c r="D43" s="53" t="s">
        <v>382</v>
      </c>
      <c r="E43" t="s">
        <v>372</v>
      </c>
      <c r="F43" t="s">
        <v>344</v>
      </c>
    </row>
    <row r="44" spans="1:6" ht="32" customHeight="1">
      <c r="A44" s="34" t="s">
        <v>370</v>
      </c>
      <c r="B44" s="39" t="s">
        <v>41</v>
      </c>
      <c r="C44" s="24" t="s">
        <v>341</v>
      </c>
      <c r="D44" s="53" t="s">
        <v>383</v>
      </c>
      <c r="E44" t="s">
        <v>372</v>
      </c>
      <c r="F44" t="s">
        <v>346</v>
      </c>
    </row>
    <row r="45" spans="1:6" ht="48" customHeight="1">
      <c r="A45" s="34" t="s">
        <v>370</v>
      </c>
      <c r="B45" s="39" t="s">
        <v>42</v>
      </c>
      <c r="C45" s="24" t="s">
        <v>341</v>
      </c>
      <c r="D45" s="36" t="s">
        <v>384</v>
      </c>
      <c r="E45" s="37" t="s">
        <v>372</v>
      </c>
      <c r="F45" s="36" t="s">
        <v>375</v>
      </c>
    </row>
    <row r="46" spans="1:6" ht="32" customHeight="1">
      <c r="A46" s="40" t="s">
        <v>385</v>
      </c>
      <c r="B46" s="23" t="s">
        <v>43</v>
      </c>
      <c r="C46" s="24" t="s">
        <v>341</v>
      </c>
      <c r="D46" s="53" t="s">
        <v>386</v>
      </c>
      <c r="E46" t="s">
        <v>372</v>
      </c>
      <c r="F46" t="s">
        <v>344</v>
      </c>
    </row>
    <row r="47" spans="1:6" ht="32" customHeight="1">
      <c r="A47" s="40" t="s">
        <v>385</v>
      </c>
      <c r="B47" s="23" t="s">
        <v>44</v>
      </c>
      <c r="C47" s="24" t="s">
        <v>341</v>
      </c>
      <c r="D47" s="53" t="s">
        <v>386</v>
      </c>
      <c r="E47" t="s">
        <v>372</v>
      </c>
      <c r="F47" t="s">
        <v>344</v>
      </c>
    </row>
    <row r="48" spans="1:6" ht="32" customHeight="1">
      <c r="A48" s="40" t="s">
        <v>385</v>
      </c>
      <c r="B48" s="23" t="s">
        <v>45</v>
      </c>
      <c r="C48" s="24" t="s">
        <v>341</v>
      </c>
      <c r="D48" s="53" t="s">
        <v>386</v>
      </c>
      <c r="E48" t="s">
        <v>372</v>
      </c>
      <c r="F48" t="s">
        <v>344</v>
      </c>
    </row>
    <row r="49" spans="1:6" ht="32" customHeight="1">
      <c r="A49" s="40" t="s">
        <v>385</v>
      </c>
      <c r="B49" s="23" t="s">
        <v>46</v>
      </c>
      <c r="C49" s="24" t="s">
        <v>341</v>
      </c>
      <c r="D49" s="53" t="s">
        <v>386</v>
      </c>
      <c r="E49" t="s">
        <v>372</v>
      </c>
      <c r="F49" t="s">
        <v>344</v>
      </c>
    </row>
    <row r="50" spans="1:6" ht="32" customHeight="1">
      <c r="A50" s="40" t="s">
        <v>385</v>
      </c>
      <c r="B50" s="23" t="s">
        <v>47</v>
      </c>
      <c r="C50" s="24" t="s">
        <v>341</v>
      </c>
      <c r="D50" s="53" t="s">
        <v>386</v>
      </c>
      <c r="E50" t="s">
        <v>372</v>
      </c>
      <c r="F50" t="s">
        <v>344</v>
      </c>
    </row>
    <row r="51" spans="1:6" ht="32" customHeight="1">
      <c r="A51" s="40" t="s">
        <v>385</v>
      </c>
      <c r="B51" s="23" t="s">
        <v>48</v>
      </c>
      <c r="C51" s="24" t="s">
        <v>341</v>
      </c>
      <c r="D51" s="53" t="s">
        <v>386</v>
      </c>
      <c r="E51" t="s">
        <v>372</v>
      </c>
      <c r="F51" t="s">
        <v>346</v>
      </c>
    </row>
    <row r="52" spans="1:6" ht="32" customHeight="1">
      <c r="A52" s="41" t="s">
        <v>387</v>
      </c>
      <c r="B52" s="23" t="s">
        <v>318</v>
      </c>
      <c r="C52" s="24" t="s">
        <v>388</v>
      </c>
      <c r="D52" s="53" t="s">
        <v>389</v>
      </c>
      <c r="E52" t="s">
        <v>390</v>
      </c>
      <c r="F52" t="s">
        <v>344</v>
      </c>
    </row>
    <row r="53" spans="1:6" ht="48" customHeight="1">
      <c r="A53" s="41" t="s">
        <v>387</v>
      </c>
      <c r="B53" s="23" t="s">
        <v>319</v>
      </c>
      <c r="C53" s="24" t="s">
        <v>388</v>
      </c>
      <c r="D53" s="53" t="s">
        <v>391</v>
      </c>
      <c r="E53" t="s">
        <v>392</v>
      </c>
      <c r="F53" t="s">
        <v>344</v>
      </c>
    </row>
    <row r="54" spans="1:6" ht="16" customHeight="1">
      <c r="A54" s="41" t="s">
        <v>387</v>
      </c>
      <c r="B54" s="26" t="s">
        <v>320</v>
      </c>
      <c r="C54" s="24" t="s">
        <v>388</v>
      </c>
      <c r="D54" s="42" t="s">
        <v>393</v>
      </c>
      <c r="E54" s="28" t="s">
        <v>394</v>
      </c>
      <c r="F54" s="28" t="s">
        <v>346</v>
      </c>
    </row>
    <row r="55" spans="1:6" ht="16" customHeight="1">
      <c r="A55" s="41" t="s">
        <v>387</v>
      </c>
      <c r="B55" s="23" t="s">
        <v>321</v>
      </c>
      <c r="C55" s="24" t="s">
        <v>388</v>
      </c>
      <c r="D55" s="53" t="s">
        <v>395</v>
      </c>
      <c r="E55" t="s">
        <v>394</v>
      </c>
      <c r="F55" t="s">
        <v>344</v>
      </c>
    </row>
    <row r="56" spans="1:6" ht="80" customHeight="1">
      <c r="A56" s="41" t="s">
        <v>387</v>
      </c>
      <c r="B56" s="23" t="s">
        <v>322</v>
      </c>
      <c r="C56" s="24" t="s">
        <v>388</v>
      </c>
      <c r="D56" s="53" t="s">
        <v>396</v>
      </c>
      <c r="E56" t="s">
        <v>397</v>
      </c>
      <c r="F56" t="s">
        <v>344</v>
      </c>
    </row>
    <row r="57" spans="1:6" ht="112" customHeight="1">
      <c r="A57" s="41" t="s">
        <v>387</v>
      </c>
      <c r="B57" s="23" t="s">
        <v>323</v>
      </c>
      <c r="C57" s="24" t="s">
        <v>388</v>
      </c>
      <c r="D57" s="25" t="s">
        <v>398</v>
      </c>
      <c r="E57" s="43" t="s">
        <v>399</v>
      </c>
      <c r="F57" t="s">
        <v>344</v>
      </c>
    </row>
    <row r="58" spans="1:6" ht="16" customHeight="1">
      <c r="A58" s="41" t="s">
        <v>387</v>
      </c>
      <c r="B58" s="23" t="s">
        <v>324</v>
      </c>
      <c r="C58" s="24" t="s">
        <v>388</v>
      </c>
      <c r="D58" s="53" t="s">
        <v>400</v>
      </c>
      <c r="E58" t="s">
        <v>394</v>
      </c>
      <c r="F58" t="s">
        <v>344</v>
      </c>
    </row>
    <row r="59" spans="1:6" ht="32" customHeight="1">
      <c r="A59" s="41" t="s">
        <v>387</v>
      </c>
      <c r="B59" s="23" t="s">
        <v>325</v>
      </c>
      <c r="C59" s="24" t="s">
        <v>388</v>
      </c>
      <c r="D59" s="53" t="s">
        <v>401</v>
      </c>
      <c r="E59" t="s">
        <v>402</v>
      </c>
      <c r="F59" t="s">
        <v>344</v>
      </c>
    </row>
    <row r="60" spans="1:6" ht="48" customHeight="1">
      <c r="A60" s="44" t="s">
        <v>403</v>
      </c>
      <c r="B60" s="23" t="s">
        <v>404</v>
      </c>
      <c r="C60" s="24" t="s">
        <v>388</v>
      </c>
      <c r="D60" s="53" t="s">
        <v>405</v>
      </c>
      <c r="E60" t="s">
        <v>394</v>
      </c>
      <c r="F60" t="s">
        <v>344</v>
      </c>
    </row>
  </sheetData>
  <pageMargins left="0.7" right="0.7" top="0.75" bottom="0.75" header="0.3" footer="0.511811023622047"/>
  <pageSetup orientation="portrait" horizontalDpi="300" verticalDpi="300"/>
  <headerFooter>
    <oddHeader>&amp;C&amp;1 Confidential#</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42"/>
  <sheetViews>
    <sheetView zoomScale="150" zoomScaleNormal="150" workbookViewId="0">
      <selection activeCell="C26" sqref="C26"/>
    </sheetView>
  </sheetViews>
  <sheetFormatPr baseColWidth="10" defaultColWidth="11.5" defaultRowHeight="15"/>
  <cols>
    <col min="1" max="1" width="40.6640625" customWidth="1"/>
    <col min="2" max="2" width="22.6640625" customWidth="1"/>
    <col min="3" max="4" width="13.6640625" customWidth="1"/>
  </cols>
  <sheetData>
    <row r="1" spans="1:5">
      <c r="A1" s="2" t="s">
        <v>0</v>
      </c>
      <c r="B1" s="2" t="s">
        <v>1</v>
      </c>
      <c r="C1" s="2" t="s">
        <v>2</v>
      </c>
      <c r="D1" s="2" t="s">
        <v>406</v>
      </c>
      <c r="E1" s="2" t="s">
        <v>1281</v>
      </c>
    </row>
    <row r="2" spans="1:5">
      <c r="A2" t="s">
        <v>49</v>
      </c>
      <c r="B2" s="1" t="s">
        <v>50</v>
      </c>
      <c r="C2" t="s">
        <v>51</v>
      </c>
      <c r="D2" t="s">
        <v>51</v>
      </c>
      <c r="E2">
        <v>70021464</v>
      </c>
    </row>
    <row r="3" spans="1:5">
      <c r="A3" t="s">
        <v>58</v>
      </c>
      <c r="B3" s="1" t="s">
        <v>59</v>
      </c>
      <c r="C3" t="s">
        <v>60</v>
      </c>
      <c r="D3" t="s">
        <v>60</v>
      </c>
      <c r="E3">
        <v>33380874</v>
      </c>
    </row>
    <row r="4" spans="1:5">
      <c r="A4" t="s">
        <v>63</v>
      </c>
      <c r="B4" s="1" t="s">
        <v>64</v>
      </c>
      <c r="C4" t="s">
        <v>65</v>
      </c>
      <c r="D4" t="s">
        <v>65</v>
      </c>
      <c r="E4">
        <v>25496226</v>
      </c>
    </row>
    <row r="5" spans="1:5">
      <c r="A5" t="s">
        <v>66</v>
      </c>
      <c r="B5" s="1" t="s">
        <v>67</v>
      </c>
      <c r="C5" t="s">
        <v>68</v>
      </c>
      <c r="D5" t="s">
        <v>68</v>
      </c>
      <c r="E5">
        <v>39244418</v>
      </c>
    </row>
    <row r="6" spans="1:5">
      <c r="A6" t="s">
        <v>1084</v>
      </c>
      <c r="B6" s="1" t="s">
        <v>67</v>
      </c>
      <c r="C6" t="s">
        <v>1082</v>
      </c>
      <c r="D6" t="s">
        <v>68</v>
      </c>
      <c r="E6">
        <v>69674002</v>
      </c>
    </row>
    <row r="7" spans="1:5">
      <c r="A7" t="s">
        <v>1085</v>
      </c>
      <c r="B7" s="1" t="s">
        <v>67</v>
      </c>
      <c r="C7" t="s">
        <v>1083</v>
      </c>
      <c r="D7" t="s">
        <v>68</v>
      </c>
      <c r="E7">
        <v>118786941</v>
      </c>
    </row>
    <row r="8" spans="1:5">
      <c r="A8" t="s">
        <v>69</v>
      </c>
      <c r="B8" s="1" t="s">
        <v>70</v>
      </c>
      <c r="C8" t="s">
        <v>71</v>
      </c>
      <c r="D8" t="s">
        <v>71</v>
      </c>
      <c r="E8">
        <v>78519042</v>
      </c>
    </row>
    <row r="9" spans="1:5">
      <c r="A9" t="s">
        <v>72</v>
      </c>
      <c r="B9" s="1" t="s">
        <v>73</v>
      </c>
      <c r="C9" t="s">
        <v>74</v>
      </c>
      <c r="D9" t="s">
        <v>74</v>
      </c>
      <c r="E9">
        <v>97394862</v>
      </c>
    </row>
    <row r="10" spans="1:5">
      <c r="A10" t="s">
        <v>1206</v>
      </c>
      <c r="B10" s="1" t="s">
        <v>73</v>
      </c>
      <c r="C10" t="s">
        <v>1207</v>
      </c>
      <c r="D10" t="s">
        <v>1207</v>
      </c>
      <c r="E10">
        <v>73531392</v>
      </c>
    </row>
    <row r="11" spans="1:5">
      <c r="A11" t="s">
        <v>76</v>
      </c>
      <c r="B11" s="1" t="s">
        <v>77</v>
      </c>
      <c r="C11" t="s">
        <v>78</v>
      </c>
      <c r="D11" t="s">
        <v>78</v>
      </c>
      <c r="E11">
        <v>45296251</v>
      </c>
    </row>
    <row r="12" spans="1:5">
      <c r="A12" t="s">
        <v>80</v>
      </c>
      <c r="B12" s="1" t="s">
        <v>81</v>
      </c>
      <c r="C12" t="s">
        <v>82</v>
      </c>
      <c r="D12" t="s">
        <v>82</v>
      </c>
      <c r="E12">
        <v>82790064</v>
      </c>
    </row>
    <row r="13" spans="1:5">
      <c r="A13" t="s">
        <v>86</v>
      </c>
      <c r="B13" s="1" t="s">
        <v>87</v>
      </c>
      <c r="C13" t="s">
        <v>88</v>
      </c>
      <c r="D13" t="s">
        <v>88</v>
      </c>
      <c r="E13">
        <v>60550624</v>
      </c>
    </row>
    <row r="14" spans="1:5">
      <c r="A14" t="s">
        <v>92</v>
      </c>
      <c r="B14" s="1" t="s">
        <v>93</v>
      </c>
      <c r="C14" t="s">
        <v>94</v>
      </c>
      <c r="D14" t="s">
        <v>94</v>
      </c>
      <c r="E14">
        <v>62733438</v>
      </c>
    </row>
    <row r="15" spans="1:5">
      <c r="A15" t="s">
        <v>97</v>
      </c>
      <c r="B15" s="1" t="s">
        <v>98</v>
      </c>
      <c r="C15" t="s">
        <v>99</v>
      </c>
      <c r="D15" t="s">
        <v>99</v>
      </c>
      <c r="E15">
        <v>99160971</v>
      </c>
    </row>
    <row r="16" spans="1:5">
      <c r="A16" t="s">
        <v>100</v>
      </c>
      <c r="B16" s="1" t="s">
        <v>101</v>
      </c>
      <c r="C16" t="s">
        <v>102</v>
      </c>
      <c r="D16" t="s">
        <v>102</v>
      </c>
      <c r="E16">
        <v>82678930</v>
      </c>
    </row>
    <row r="17" spans="1:5">
      <c r="A17" t="s">
        <v>103</v>
      </c>
      <c r="B17" s="1" t="s">
        <v>104</v>
      </c>
      <c r="C17" t="s">
        <v>105</v>
      </c>
      <c r="D17" t="s">
        <v>105</v>
      </c>
      <c r="E17">
        <v>33300960</v>
      </c>
    </row>
    <row r="18" spans="1:5">
      <c r="A18" t="s">
        <v>106</v>
      </c>
      <c r="B18" s="1" t="s">
        <v>107</v>
      </c>
      <c r="C18" t="s">
        <v>108</v>
      </c>
      <c r="D18" t="s">
        <v>108</v>
      </c>
      <c r="E18">
        <v>78828912</v>
      </c>
    </row>
    <row r="19" spans="1:5">
      <c r="A19" t="s">
        <v>109</v>
      </c>
      <c r="B19" s="1" t="s">
        <v>110</v>
      </c>
      <c r="C19" t="s">
        <v>111</v>
      </c>
      <c r="D19" t="s">
        <v>111</v>
      </c>
      <c r="E19">
        <v>23342560</v>
      </c>
    </row>
    <row r="20" spans="1:5">
      <c r="A20" t="s">
        <v>112</v>
      </c>
      <c r="B20" s="1" t="s">
        <v>113</v>
      </c>
      <c r="C20" t="s">
        <v>114</v>
      </c>
      <c r="D20" t="s">
        <v>114</v>
      </c>
      <c r="E20">
        <v>81839230</v>
      </c>
    </row>
    <row r="21" spans="1:5">
      <c r="A21" t="s">
        <v>1260</v>
      </c>
      <c r="B21" s="1" t="s">
        <v>116</v>
      </c>
      <c r="C21" t="s">
        <v>117</v>
      </c>
      <c r="D21" t="s">
        <v>117</v>
      </c>
      <c r="E21">
        <v>37743930</v>
      </c>
    </row>
    <row r="22" spans="1:5">
      <c r="A22" t="s">
        <v>1261</v>
      </c>
      <c r="B22" s="1" t="s">
        <v>116</v>
      </c>
      <c r="C22" t="s">
        <v>1077</v>
      </c>
      <c r="D22" t="s">
        <v>117</v>
      </c>
      <c r="E22">
        <v>62753138</v>
      </c>
    </row>
    <row r="23" spans="1:5">
      <c r="A23" t="s">
        <v>1262</v>
      </c>
      <c r="B23" s="1" t="s">
        <v>116</v>
      </c>
      <c r="C23" t="s">
        <v>1078</v>
      </c>
      <c r="D23" t="s">
        <v>117</v>
      </c>
      <c r="E23">
        <v>101239560</v>
      </c>
    </row>
    <row r="24" spans="1:5">
      <c r="A24" t="s">
        <v>118</v>
      </c>
      <c r="B24" s="1" t="s">
        <v>119</v>
      </c>
      <c r="C24" t="s">
        <v>120</v>
      </c>
      <c r="D24" t="s">
        <v>120</v>
      </c>
      <c r="E24">
        <v>128637215</v>
      </c>
    </row>
    <row r="25" spans="1:5">
      <c r="A25" t="s">
        <v>121</v>
      </c>
      <c r="B25" s="1" t="s">
        <v>122</v>
      </c>
      <c r="C25" t="s">
        <v>123</v>
      </c>
      <c r="D25" t="s">
        <v>123</v>
      </c>
      <c r="E25">
        <v>78100040</v>
      </c>
    </row>
    <row r="26" spans="1:5">
      <c r="A26" t="s">
        <v>1276</v>
      </c>
      <c r="B26" s="1" t="s">
        <v>122</v>
      </c>
      <c r="C26" t="s">
        <v>1271</v>
      </c>
      <c r="D26" t="s">
        <v>123</v>
      </c>
      <c r="E26">
        <v>63557733</v>
      </c>
    </row>
    <row r="27" spans="1:5">
      <c r="A27" t="s">
        <v>1277</v>
      </c>
      <c r="B27" s="1" t="s">
        <v>122</v>
      </c>
      <c r="C27" t="s">
        <v>1272</v>
      </c>
      <c r="D27" t="s">
        <v>123</v>
      </c>
      <c r="E27">
        <v>43358320</v>
      </c>
    </row>
    <row r="28" spans="1:5">
      <c r="A28" t="s">
        <v>128</v>
      </c>
      <c r="B28" s="1" t="s">
        <v>129</v>
      </c>
      <c r="C28" t="s">
        <v>130</v>
      </c>
      <c r="D28" t="s">
        <v>130</v>
      </c>
      <c r="E28">
        <v>121410000</v>
      </c>
    </row>
    <row r="29" spans="1:5">
      <c r="A29" t="s">
        <v>124</v>
      </c>
      <c r="B29" s="1" t="s">
        <v>125</v>
      </c>
      <c r="C29" t="s">
        <v>126</v>
      </c>
      <c r="D29" t="s">
        <v>126</v>
      </c>
      <c r="E29">
        <v>76481328</v>
      </c>
    </row>
    <row r="30" spans="1:5">
      <c r="A30" t="s">
        <v>1259</v>
      </c>
      <c r="B30" s="1" t="s">
        <v>1232</v>
      </c>
      <c r="C30" t="s">
        <v>1233</v>
      </c>
      <c r="D30" t="s">
        <v>1233</v>
      </c>
      <c r="E30">
        <v>28529291</v>
      </c>
    </row>
    <row r="31" spans="1:5">
      <c r="A31" t="s">
        <v>1254</v>
      </c>
      <c r="B31" s="1" t="s">
        <v>1232</v>
      </c>
      <c r="C31" t="s">
        <v>1252</v>
      </c>
      <c r="D31" t="s">
        <v>1233</v>
      </c>
      <c r="E31">
        <v>43362648</v>
      </c>
    </row>
    <row r="32" spans="1:5">
      <c r="A32" t="s">
        <v>1255</v>
      </c>
      <c r="B32" s="1" t="s">
        <v>1232</v>
      </c>
      <c r="C32" t="s">
        <v>1253</v>
      </c>
      <c r="D32" t="s">
        <v>1233</v>
      </c>
      <c r="E32">
        <v>84522552</v>
      </c>
    </row>
    <row r="33" spans="1:5">
      <c r="A33" t="s">
        <v>131</v>
      </c>
      <c r="B33" s="1" t="s">
        <v>132</v>
      </c>
      <c r="C33" t="s">
        <v>133</v>
      </c>
      <c r="D33" t="s">
        <v>133</v>
      </c>
      <c r="E33">
        <v>70043811</v>
      </c>
    </row>
    <row r="34" spans="1:5">
      <c r="A34" t="s">
        <v>1278</v>
      </c>
      <c r="B34" s="1" t="s">
        <v>132</v>
      </c>
      <c r="C34" t="s">
        <v>1273</v>
      </c>
      <c r="D34" t="s">
        <v>133</v>
      </c>
      <c r="E34">
        <v>102483672</v>
      </c>
    </row>
    <row r="35" spans="1:5">
      <c r="A35" t="s">
        <v>1279</v>
      </c>
      <c r="B35" s="1" t="s">
        <v>132</v>
      </c>
      <c r="C35" t="s">
        <v>1275</v>
      </c>
      <c r="D35" t="s">
        <v>133</v>
      </c>
      <c r="E35">
        <v>38440480</v>
      </c>
    </row>
    <row r="36" spans="1:5">
      <c r="A36" t="s">
        <v>1258</v>
      </c>
      <c r="B36" s="1" t="s">
        <v>1224</v>
      </c>
      <c r="C36" t="s">
        <v>1225</v>
      </c>
      <c r="D36" t="s">
        <v>1225</v>
      </c>
      <c r="E36">
        <v>60762366</v>
      </c>
    </row>
    <row r="37" spans="1:5">
      <c r="A37" t="s">
        <v>1248</v>
      </c>
      <c r="B37" s="1" t="s">
        <v>1224</v>
      </c>
      <c r="C37" t="s">
        <v>1250</v>
      </c>
      <c r="D37" t="s">
        <v>1225</v>
      </c>
      <c r="E37">
        <v>59875785</v>
      </c>
    </row>
    <row r="38" spans="1:5">
      <c r="A38" t="s">
        <v>1249</v>
      </c>
      <c r="B38" s="1" t="s">
        <v>1224</v>
      </c>
      <c r="C38" t="s">
        <v>1251</v>
      </c>
      <c r="D38" t="s">
        <v>1225</v>
      </c>
      <c r="E38">
        <v>84485268</v>
      </c>
    </row>
    <row r="39" spans="1:5">
      <c r="A39" t="s">
        <v>136</v>
      </c>
      <c r="B39" s="1" t="s">
        <v>137</v>
      </c>
      <c r="C39" t="s">
        <v>138</v>
      </c>
      <c r="D39" t="s">
        <v>138</v>
      </c>
      <c r="E39">
        <v>48011496</v>
      </c>
    </row>
    <row r="40" spans="1:5">
      <c r="A40" t="s">
        <v>139</v>
      </c>
      <c r="B40" s="1" t="s">
        <v>140</v>
      </c>
      <c r="C40" t="s">
        <v>141</v>
      </c>
      <c r="D40" t="s">
        <v>141</v>
      </c>
      <c r="E40">
        <v>60408117</v>
      </c>
    </row>
    <row r="41" spans="1:5">
      <c r="A41" t="s">
        <v>142</v>
      </c>
      <c r="B41" s="1" t="s">
        <v>143</v>
      </c>
      <c r="C41" t="s">
        <v>144</v>
      </c>
      <c r="D41" t="s">
        <v>144</v>
      </c>
      <c r="E41">
        <v>134830410</v>
      </c>
    </row>
    <row r="42" spans="1:5">
      <c r="A42" t="s">
        <v>145</v>
      </c>
      <c r="B42" s="1" t="s">
        <v>146</v>
      </c>
      <c r="C42" t="s">
        <v>147</v>
      </c>
      <c r="D42" t="s">
        <v>147</v>
      </c>
      <c r="E42">
        <v>40840000</v>
      </c>
    </row>
    <row r="43" spans="1:5">
      <c r="A43" t="s">
        <v>148</v>
      </c>
      <c r="B43" s="1" t="s">
        <v>149</v>
      </c>
      <c r="C43" t="s">
        <v>150</v>
      </c>
      <c r="D43" t="s">
        <v>150</v>
      </c>
      <c r="E43">
        <v>114818025</v>
      </c>
    </row>
    <row r="44" spans="1:5">
      <c r="A44" t="s">
        <v>152</v>
      </c>
      <c r="B44" s="1" t="s">
        <v>153</v>
      </c>
      <c r="C44" t="s">
        <v>154</v>
      </c>
      <c r="D44" t="s">
        <v>154</v>
      </c>
      <c r="E44">
        <v>44963730</v>
      </c>
    </row>
    <row r="45" spans="1:5">
      <c r="A45" t="s">
        <v>155</v>
      </c>
      <c r="B45" s="1" t="s">
        <v>156</v>
      </c>
      <c r="C45" t="s">
        <v>157</v>
      </c>
      <c r="D45" t="s">
        <v>157</v>
      </c>
      <c r="E45">
        <v>54566276</v>
      </c>
    </row>
    <row r="46" spans="1:5">
      <c r="A46" t="s">
        <v>1110</v>
      </c>
      <c r="B46" s="1" t="s">
        <v>160</v>
      </c>
      <c r="C46" t="s">
        <v>1266</v>
      </c>
      <c r="D46" t="s">
        <v>161</v>
      </c>
      <c r="E46">
        <v>63429975</v>
      </c>
    </row>
    <row r="47" spans="1:5">
      <c r="A47" t="s">
        <v>1111</v>
      </c>
      <c r="B47" s="1" t="s">
        <v>160</v>
      </c>
      <c r="C47" t="s">
        <v>1267</v>
      </c>
      <c r="D47" t="s">
        <v>161</v>
      </c>
      <c r="E47">
        <v>72677990</v>
      </c>
    </row>
    <row r="48" spans="1:5">
      <c r="A48" t="s">
        <v>163</v>
      </c>
      <c r="B48" s="1" t="s">
        <v>164</v>
      </c>
      <c r="C48" t="s">
        <v>165</v>
      </c>
      <c r="D48" t="s">
        <v>165</v>
      </c>
      <c r="E48">
        <v>109774357</v>
      </c>
    </row>
    <row r="49" spans="1:5">
      <c r="A49" t="s">
        <v>167</v>
      </c>
      <c r="B49" s="1" t="s">
        <v>168</v>
      </c>
      <c r="C49" t="s">
        <v>169</v>
      </c>
      <c r="D49" t="s">
        <v>169</v>
      </c>
      <c r="E49">
        <v>32112675</v>
      </c>
    </row>
    <row r="50" spans="1:5">
      <c r="A50" t="s">
        <v>171</v>
      </c>
      <c r="B50" s="1" t="s">
        <v>172</v>
      </c>
      <c r="C50" t="s">
        <v>173</v>
      </c>
      <c r="D50" t="s">
        <v>173</v>
      </c>
      <c r="E50">
        <v>35148532</v>
      </c>
    </row>
    <row r="51" spans="1:5">
      <c r="A51" t="s">
        <v>174</v>
      </c>
      <c r="B51" s="1" t="s">
        <v>175</v>
      </c>
      <c r="C51" t="s">
        <v>176</v>
      </c>
      <c r="D51" t="s">
        <v>176</v>
      </c>
      <c r="E51">
        <v>59152251</v>
      </c>
    </row>
    <row r="52" spans="1:5">
      <c r="A52" t="s">
        <v>1234</v>
      </c>
      <c r="B52" s="1" t="s">
        <v>1235</v>
      </c>
      <c r="C52" t="s">
        <v>1236</v>
      </c>
      <c r="D52" t="s">
        <v>1236</v>
      </c>
      <c r="E52">
        <v>24287232</v>
      </c>
    </row>
    <row r="53" spans="1:5">
      <c r="A53" t="s">
        <v>178</v>
      </c>
      <c r="B53" s="1" t="s">
        <v>179</v>
      </c>
      <c r="C53" t="s">
        <v>180</v>
      </c>
      <c r="D53" t="s">
        <v>180</v>
      </c>
      <c r="E53">
        <v>73961763</v>
      </c>
    </row>
    <row r="54" spans="1:5">
      <c r="A54" t="s">
        <v>182</v>
      </c>
      <c r="B54" s="1" t="s">
        <v>183</v>
      </c>
      <c r="C54" t="s">
        <v>1090</v>
      </c>
      <c r="D54" t="s">
        <v>184</v>
      </c>
      <c r="E54">
        <v>39684256</v>
      </c>
    </row>
    <row r="55" spans="1:5">
      <c r="A55" t="s">
        <v>182</v>
      </c>
      <c r="B55" s="1" t="s">
        <v>183</v>
      </c>
      <c r="C55" t="s">
        <v>1091</v>
      </c>
      <c r="D55" t="s">
        <v>184</v>
      </c>
      <c r="E55">
        <v>105505080</v>
      </c>
    </row>
    <row r="56" spans="1:5">
      <c r="A56" t="s">
        <v>202</v>
      </c>
      <c r="B56" s="1" t="s">
        <v>203</v>
      </c>
      <c r="C56" t="s">
        <v>204</v>
      </c>
      <c r="D56" t="s">
        <v>204</v>
      </c>
      <c r="E56">
        <v>92626336</v>
      </c>
    </row>
    <row r="57" spans="1:5">
      <c r="A57" t="s">
        <v>185</v>
      </c>
      <c r="B57" s="1" t="s">
        <v>186</v>
      </c>
      <c r="C57" t="s">
        <v>187</v>
      </c>
      <c r="D57" t="s">
        <v>187</v>
      </c>
      <c r="E57">
        <v>99236640</v>
      </c>
    </row>
    <row r="58" spans="1:5">
      <c r="A58" t="s">
        <v>1268</v>
      </c>
      <c r="B58" s="1" t="s">
        <v>186</v>
      </c>
      <c r="C58" t="s">
        <v>1102</v>
      </c>
      <c r="D58" t="s">
        <v>187</v>
      </c>
      <c r="E58">
        <v>63083859</v>
      </c>
    </row>
    <row r="59" spans="1:5">
      <c r="A59" t="s">
        <v>1269</v>
      </c>
      <c r="B59" s="1" t="s">
        <v>186</v>
      </c>
      <c r="C59" t="s">
        <v>1103</v>
      </c>
      <c r="D59" t="s">
        <v>187</v>
      </c>
      <c r="E59">
        <v>39061715</v>
      </c>
    </row>
    <row r="60" spans="1:5">
      <c r="A60" t="s">
        <v>188</v>
      </c>
      <c r="B60" s="1" t="s">
        <v>189</v>
      </c>
      <c r="C60" t="s">
        <v>190</v>
      </c>
      <c r="D60" t="s">
        <v>190</v>
      </c>
      <c r="E60">
        <v>28892565</v>
      </c>
    </row>
    <row r="61" spans="1:5">
      <c r="A61" t="s">
        <v>191</v>
      </c>
      <c r="B61" s="1" t="s">
        <v>192</v>
      </c>
      <c r="C61" t="s">
        <v>193</v>
      </c>
      <c r="D61" t="s">
        <v>193</v>
      </c>
      <c r="E61">
        <v>67182564</v>
      </c>
    </row>
    <row r="62" spans="1:5">
      <c r="A62" t="s">
        <v>196</v>
      </c>
      <c r="B62" s="1" t="s">
        <v>197</v>
      </c>
      <c r="C62" t="s">
        <v>198</v>
      </c>
      <c r="D62" t="s">
        <v>198</v>
      </c>
      <c r="E62">
        <v>60747680</v>
      </c>
    </row>
    <row r="63" spans="1:5">
      <c r="A63" t="s">
        <v>199</v>
      </c>
      <c r="B63" s="1" t="s">
        <v>200</v>
      </c>
      <c r="C63" t="s">
        <v>201</v>
      </c>
      <c r="D63" t="s">
        <v>201</v>
      </c>
      <c r="E63">
        <v>94483540</v>
      </c>
    </row>
    <row r="64" spans="1:5">
      <c r="A64" t="s">
        <v>205</v>
      </c>
      <c r="B64" s="1" t="s">
        <v>206</v>
      </c>
      <c r="C64" t="s">
        <v>207</v>
      </c>
      <c r="D64" t="s">
        <v>207</v>
      </c>
      <c r="E64">
        <v>76939285</v>
      </c>
    </row>
    <row r="65" spans="1:5">
      <c r="A65" t="s">
        <v>1263</v>
      </c>
      <c r="B65" s="1" t="s">
        <v>1227</v>
      </c>
      <c r="C65" t="s">
        <v>1228</v>
      </c>
      <c r="D65" t="s">
        <v>1228</v>
      </c>
      <c r="E65">
        <v>29875957</v>
      </c>
    </row>
    <row r="66" spans="1:5">
      <c r="A66" t="s">
        <v>1264</v>
      </c>
      <c r="B66" s="1" t="s">
        <v>1227</v>
      </c>
      <c r="C66" t="s">
        <v>1256</v>
      </c>
      <c r="D66" t="s">
        <v>1228</v>
      </c>
      <c r="E66">
        <v>80743808</v>
      </c>
    </row>
    <row r="67" spans="1:5">
      <c r="A67" t="s">
        <v>1265</v>
      </c>
      <c r="B67" s="1" t="s">
        <v>1227</v>
      </c>
      <c r="C67" t="s">
        <v>1257</v>
      </c>
      <c r="D67" t="s">
        <v>1228</v>
      </c>
      <c r="E67">
        <v>79887735</v>
      </c>
    </row>
    <row r="68" spans="1:5">
      <c r="A68" t="s">
        <v>208</v>
      </c>
      <c r="B68" s="1" t="s">
        <v>209</v>
      </c>
      <c r="C68" t="s">
        <v>210</v>
      </c>
      <c r="D68" t="s">
        <v>210</v>
      </c>
      <c r="E68">
        <v>136348788</v>
      </c>
    </row>
    <row r="69" spans="1:5">
      <c r="A69" t="s">
        <v>211</v>
      </c>
      <c r="B69" s="1" t="s">
        <v>212</v>
      </c>
      <c r="C69" t="s">
        <v>213</v>
      </c>
      <c r="D69" t="s">
        <v>213</v>
      </c>
      <c r="E69">
        <v>17657306</v>
      </c>
    </row>
    <row r="70" spans="1:5">
      <c r="A70" t="s">
        <v>216</v>
      </c>
      <c r="B70" s="1" t="s">
        <v>217</v>
      </c>
      <c r="C70" t="s">
        <v>218</v>
      </c>
      <c r="D70" t="s">
        <v>218</v>
      </c>
      <c r="E70">
        <v>37751186</v>
      </c>
    </row>
    <row r="71" spans="1:5">
      <c r="A71" t="s">
        <v>219</v>
      </c>
      <c r="B71" s="1" t="s">
        <v>220</v>
      </c>
      <c r="C71" t="s">
        <v>221</v>
      </c>
      <c r="D71" t="s">
        <v>221</v>
      </c>
      <c r="E71">
        <v>115369492</v>
      </c>
    </row>
    <row r="72" spans="1:5">
      <c r="A72" t="s">
        <v>222</v>
      </c>
      <c r="B72" s="1" t="s">
        <v>223</v>
      </c>
      <c r="C72" t="s">
        <v>224</v>
      </c>
      <c r="D72" t="s">
        <v>224</v>
      </c>
      <c r="E72">
        <v>70233921</v>
      </c>
    </row>
    <row r="73" spans="1:5">
      <c r="A73" t="s">
        <v>226</v>
      </c>
      <c r="B73" s="1" t="s">
        <v>227</v>
      </c>
      <c r="C73" t="s">
        <v>228</v>
      </c>
      <c r="D73" t="s">
        <v>228</v>
      </c>
      <c r="E73">
        <v>65942610</v>
      </c>
    </row>
    <row r="74" spans="1:5">
      <c r="A74" t="s">
        <v>229</v>
      </c>
      <c r="B74" s="1" t="s">
        <v>230</v>
      </c>
      <c r="C74" t="s">
        <v>231</v>
      </c>
      <c r="D74" t="s">
        <v>231</v>
      </c>
      <c r="E74">
        <v>112239406</v>
      </c>
    </row>
    <row r="75" spans="1:5">
      <c r="A75" t="s">
        <v>232</v>
      </c>
      <c r="B75" s="1" t="s">
        <v>233</v>
      </c>
      <c r="C75" t="s">
        <v>234</v>
      </c>
      <c r="D75" t="s">
        <v>234</v>
      </c>
      <c r="E75">
        <v>130737060</v>
      </c>
    </row>
    <row r="76" spans="1:5">
      <c r="A76" t="s">
        <v>235</v>
      </c>
      <c r="B76" s="1" t="s">
        <v>236</v>
      </c>
      <c r="C76" t="s">
        <v>237</v>
      </c>
      <c r="D76" t="s">
        <v>237</v>
      </c>
      <c r="E76">
        <v>69694084</v>
      </c>
    </row>
    <row r="77" spans="1:5">
      <c r="A77" t="s">
        <v>520</v>
      </c>
      <c r="B77" s="1" t="s">
        <v>521</v>
      </c>
      <c r="C77" t="s">
        <v>522</v>
      </c>
      <c r="D77" t="s">
        <v>522</v>
      </c>
      <c r="E77">
        <v>103372065</v>
      </c>
    </row>
    <row r="78" spans="1:5">
      <c r="A78" t="s">
        <v>238</v>
      </c>
      <c r="B78" s="1" t="s">
        <v>239</v>
      </c>
      <c r="C78" t="s">
        <v>240</v>
      </c>
      <c r="D78" t="s">
        <v>240</v>
      </c>
      <c r="E78">
        <v>87670080</v>
      </c>
    </row>
    <row r="79" spans="1:5">
      <c r="A79" t="s">
        <v>242</v>
      </c>
      <c r="B79" s="1" t="s">
        <v>243</v>
      </c>
      <c r="C79" t="s">
        <v>244</v>
      </c>
      <c r="D79" t="s">
        <v>244</v>
      </c>
      <c r="E79">
        <v>50947765</v>
      </c>
    </row>
    <row r="80" spans="1:5">
      <c r="A80" t="s">
        <v>245</v>
      </c>
      <c r="B80" s="1" t="s">
        <v>246</v>
      </c>
      <c r="C80" t="s">
        <v>247</v>
      </c>
      <c r="D80" t="s">
        <v>247</v>
      </c>
      <c r="E80">
        <v>72249660</v>
      </c>
    </row>
    <row r="81" spans="1:5">
      <c r="A81" t="s">
        <v>249</v>
      </c>
      <c r="B81" s="1" t="s">
        <v>250</v>
      </c>
      <c r="C81" t="s">
        <v>251</v>
      </c>
      <c r="D81" t="s">
        <v>251</v>
      </c>
      <c r="E81">
        <v>52763112</v>
      </c>
    </row>
    <row r="82" spans="1:5">
      <c r="A82" t="s">
        <v>253</v>
      </c>
      <c r="B82" s="1" t="s">
        <v>254</v>
      </c>
      <c r="C82" t="s">
        <v>255</v>
      </c>
      <c r="D82" t="s">
        <v>255</v>
      </c>
      <c r="E82">
        <v>69780765</v>
      </c>
    </row>
    <row r="83" spans="1:5">
      <c r="A83" t="s">
        <v>257</v>
      </c>
      <c r="B83" s="1" t="s">
        <v>258</v>
      </c>
      <c r="C83" t="s">
        <v>259</v>
      </c>
      <c r="D83" t="s">
        <v>259</v>
      </c>
      <c r="E83">
        <v>42004949</v>
      </c>
    </row>
    <row r="84" spans="1:5">
      <c r="A84" t="s">
        <v>260</v>
      </c>
      <c r="B84" s="1" t="s">
        <v>261</v>
      </c>
      <c r="C84" t="s">
        <v>262</v>
      </c>
      <c r="D84" t="s">
        <v>262</v>
      </c>
      <c r="E84">
        <v>71134082</v>
      </c>
    </row>
    <row r="85" spans="1:5">
      <c r="A85" t="s">
        <v>263</v>
      </c>
      <c r="B85" s="1" t="s">
        <v>264</v>
      </c>
      <c r="C85" t="s">
        <v>1096</v>
      </c>
      <c r="D85" t="s">
        <v>265</v>
      </c>
      <c r="E85">
        <v>43969580</v>
      </c>
    </row>
    <row r="86" spans="1:5">
      <c r="A86" t="s">
        <v>263</v>
      </c>
      <c r="B86" s="1" t="s">
        <v>264</v>
      </c>
      <c r="C86" t="s">
        <v>1097</v>
      </c>
      <c r="D86" t="s">
        <v>265</v>
      </c>
      <c r="E86">
        <v>84504664</v>
      </c>
    </row>
    <row r="87" spans="1:5">
      <c r="A87" t="s">
        <v>263</v>
      </c>
      <c r="B87" s="1" t="s">
        <v>264</v>
      </c>
      <c r="C87" t="s">
        <v>1098</v>
      </c>
      <c r="D87" t="s">
        <v>265</v>
      </c>
      <c r="E87">
        <v>39586500</v>
      </c>
    </row>
    <row r="88" spans="1:5">
      <c r="A88" t="s">
        <v>266</v>
      </c>
      <c r="B88" s="1" t="s">
        <v>267</v>
      </c>
      <c r="C88" t="s">
        <v>268</v>
      </c>
      <c r="D88" t="s">
        <v>268</v>
      </c>
      <c r="E88">
        <v>74017563</v>
      </c>
    </row>
    <row r="89" spans="1:5">
      <c r="A89" t="s">
        <v>270</v>
      </c>
      <c r="B89" s="1" t="s">
        <v>271</v>
      </c>
      <c r="C89" t="s">
        <v>272</v>
      </c>
      <c r="D89" t="s">
        <v>272</v>
      </c>
      <c r="E89">
        <v>77987712</v>
      </c>
    </row>
    <row r="90" spans="1:5">
      <c r="A90" t="s">
        <v>273</v>
      </c>
      <c r="B90" s="1" t="s">
        <v>274</v>
      </c>
      <c r="C90" t="s">
        <v>275</v>
      </c>
      <c r="D90" t="s">
        <v>275</v>
      </c>
      <c r="E90">
        <v>77386210</v>
      </c>
    </row>
    <row r="91" spans="1:5">
      <c r="A91" t="s">
        <v>276</v>
      </c>
      <c r="B91" s="1" t="s">
        <v>277</v>
      </c>
      <c r="C91" t="s">
        <v>278</v>
      </c>
      <c r="D91" t="s">
        <v>278</v>
      </c>
      <c r="E91">
        <v>79133416</v>
      </c>
    </row>
    <row r="92" spans="1:5">
      <c r="A92" t="s">
        <v>279</v>
      </c>
      <c r="B92" s="1" t="s">
        <v>280</v>
      </c>
      <c r="C92" t="s">
        <v>281</v>
      </c>
      <c r="D92" t="s">
        <v>281</v>
      </c>
      <c r="E92">
        <v>25502452</v>
      </c>
    </row>
    <row r="93" spans="1:5">
      <c r="A93" t="s">
        <v>282</v>
      </c>
      <c r="B93" s="1" t="s">
        <v>283</v>
      </c>
      <c r="C93" t="s">
        <v>284</v>
      </c>
      <c r="D93" t="s">
        <v>284</v>
      </c>
      <c r="E93">
        <v>76144585</v>
      </c>
    </row>
    <row r="94" spans="1:5">
      <c r="A94" t="s">
        <v>286</v>
      </c>
      <c r="B94" s="1" t="s">
        <v>287</v>
      </c>
      <c r="C94" t="s">
        <v>288</v>
      </c>
      <c r="D94" t="s">
        <v>288</v>
      </c>
      <c r="E94">
        <v>76855748</v>
      </c>
    </row>
    <row r="95" spans="1:5">
      <c r="A95" t="s">
        <v>289</v>
      </c>
      <c r="B95" s="1" t="s">
        <v>290</v>
      </c>
      <c r="C95" t="s">
        <v>291</v>
      </c>
      <c r="D95" t="s">
        <v>291</v>
      </c>
      <c r="E95">
        <v>60912752</v>
      </c>
    </row>
    <row r="96" spans="1:5">
      <c r="A96" t="s">
        <v>293</v>
      </c>
      <c r="B96" s="1" t="s">
        <v>294</v>
      </c>
      <c r="C96" t="s">
        <v>295</v>
      </c>
      <c r="D96" t="s">
        <v>295</v>
      </c>
      <c r="E96">
        <v>129609760</v>
      </c>
    </row>
    <row r="97" spans="1:5">
      <c r="A97" t="s">
        <v>296</v>
      </c>
      <c r="B97" s="1" t="s">
        <v>297</v>
      </c>
      <c r="C97" t="s">
        <v>298</v>
      </c>
      <c r="D97" t="s">
        <v>298</v>
      </c>
      <c r="E97">
        <v>95921568</v>
      </c>
    </row>
    <row r="98" spans="1:5">
      <c r="A98" t="s">
        <v>299</v>
      </c>
      <c r="B98" s="1" t="s">
        <v>300</v>
      </c>
      <c r="C98" t="s">
        <v>301</v>
      </c>
      <c r="D98" t="s">
        <v>301</v>
      </c>
      <c r="E98">
        <v>66336876</v>
      </c>
    </row>
    <row r="99" spans="1:5">
      <c r="A99" t="s">
        <v>302</v>
      </c>
      <c r="B99" s="1" t="s">
        <v>303</v>
      </c>
      <c r="C99" t="s">
        <v>304</v>
      </c>
      <c r="D99" t="s">
        <v>304</v>
      </c>
      <c r="E99">
        <v>38163840</v>
      </c>
    </row>
    <row r="100" spans="1:5">
      <c r="A100" t="s">
        <v>305</v>
      </c>
      <c r="B100" s="1" t="s">
        <v>306</v>
      </c>
      <c r="C100" t="s">
        <v>307</v>
      </c>
      <c r="D100" t="s">
        <v>307</v>
      </c>
      <c r="E100">
        <v>88397412</v>
      </c>
    </row>
    <row r="101" spans="1:5">
      <c r="A101" t="s">
        <v>308</v>
      </c>
      <c r="B101" s="1" t="s">
        <v>309</v>
      </c>
      <c r="C101" t="s">
        <v>310</v>
      </c>
      <c r="D101" t="s">
        <v>310</v>
      </c>
      <c r="E101">
        <v>79550621</v>
      </c>
    </row>
    <row r="102" spans="1:5">
      <c r="A102" t="s">
        <v>312</v>
      </c>
      <c r="B102" s="1" t="s">
        <v>313</v>
      </c>
      <c r="C102" t="s">
        <v>314</v>
      </c>
      <c r="D102" t="s">
        <v>314</v>
      </c>
      <c r="E102">
        <v>119633856</v>
      </c>
    </row>
    <row r="103" spans="1:5">
      <c r="A103" s="60" t="s">
        <v>854</v>
      </c>
      <c r="B103" s="154" t="s">
        <v>855</v>
      </c>
      <c r="C103" s="60" t="s">
        <v>856</v>
      </c>
      <c r="D103" t="s">
        <v>856</v>
      </c>
      <c r="E103">
        <v>62803763</v>
      </c>
    </row>
    <row r="104" spans="1:5">
      <c r="A104" s="155" t="s">
        <v>854</v>
      </c>
      <c r="B104" s="155" t="s">
        <v>855</v>
      </c>
      <c r="C104" s="155" t="s">
        <v>859</v>
      </c>
      <c r="D104" t="s">
        <v>859</v>
      </c>
      <c r="E104">
        <v>39739512</v>
      </c>
    </row>
    <row r="105" spans="1:5">
      <c r="A105" s="60" t="s">
        <v>860</v>
      </c>
      <c r="B105" s="154"/>
      <c r="C105" s="60" t="s">
        <v>861</v>
      </c>
      <c r="D105" t="s">
        <v>861</v>
      </c>
      <c r="E105">
        <v>70381700</v>
      </c>
    </row>
    <row r="106" spans="1:5">
      <c r="A106" s="154" t="s">
        <v>863</v>
      </c>
      <c r="B106" s="154"/>
      <c r="C106" s="154" t="s">
        <v>864</v>
      </c>
      <c r="D106" t="s">
        <v>864</v>
      </c>
      <c r="E106">
        <v>51406800</v>
      </c>
    </row>
    <row r="107" spans="1:5">
      <c r="A107" s="60" t="s">
        <v>865</v>
      </c>
      <c r="B107" s="154"/>
      <c r="C107" s="60" t="s">
        <v>866</v>
      </c>
      <c r="D107" t="s">
        <v>866</v>
      </c>
      <c r="E107">
        <v>76464100</v>
      </c>
    </row>
    <row r="108" spans="1:5">
      <c r="A108" s="60" t="s">
        <v>869</v>
      </c>
      <c r="B108" s="154"/>
      <c r="C108" s="60" t="s">
        <v>870</v>
      </c>
      <c r="D108" t="s">
        <v>870</v>
      </c>
      <c r="E108">
        <v>69270430</v>
      </c>
    </row>
    <row r="109" spans="1:5">
      <c r="A109" s="60" t="s">
        <v>872</v>
      </c>
      <c r="B109" s="154"/>
      <c r="C109" s="60" t="s">
        <v>873</v>
      </c>
      <c r="D109" t="s">
        <v>873</v>
      </c>
      <c r="E109">
        <v>70407225</v>
      </c>
    </row>
    <row r="110" spans="1:5">
      <c r="A110" s="60" t="s">
        <v>874</v>
      </c>
      <c r="B110" s="154"/>
      <c r="C110" s="60" t="s">
        <v>875</v>
      </c>
      <c r="D110" t="s">
        <v>875</v>
      </c>
      <c r="E110">
        <v>19085101</v>
      </c>
    </row>
    <row r="111" spans="1:5">
      <c r="A111" s="60" t="s">
        <v>877</v>
      </c>
      <c r="B111" s="154"/>
      <c r="C111" s="60" t="s">
        <v>878</v>
      </c>
      <c r="D111" t="s">
        <v>878</v>
      </c>
      <c r="E111">
        <v>62706150</v>
      </c>
    </row>
    <row r="112" spans="1:5">
      <c r="A112" s="60" t="s">
        <v>881</v>
      </c>
      <c r="B112" s="154"/>
      <c r="C112" s="60" t="s">
        <v>882</v>
      </c>
      <c r="D112" t="s">
        <v>882</v>
      </c>
      <c r="E112">
        <v>36130500</v>
      </c>
    </row>
    <row r="113" spans="1:5">
      <c r="A113" s="60" t="s">
        <v>885</v>
      </c>
      <c r="B113" s="154"/>
      <c r="C113" s="60" t="s">
        <v>886</v>
      </c>
      <c r="D113" t="s">
        <v>886</v>
      </c>
      <c r="E113">
        <v>37631381</v>
      </c>
    </row>
    <row r="114" spans="1:5">
      <c r="A114" s="60" t="s">
        <v>889</v>
      </c>
      <c r="B114" s="154"/>
      <c r="C114" s="60" t="s">
        <v>890</v>
      </c>
      <c r="D114" t="s">
        <v>890</v>
      </c>
      <c r="E114">
        <v>35400630</v>
      </c>
    </row>
    <row r="115" spans="1:5">
      <c r="A115" s="60" t="s">
        <v>892</v>
      </c>
      <c r="B115" s="154"/>
      <c r="C115" s="60" t="s">
        <v>893</v>
      </c>
      <c r="D115" t="s">
        <v>893</v>
      </c>
      <c r="E115">
        <v>52330640</v>
      </c>
    </row>
    <row r="116" spans="1:5">
      <c r="A116" s="60" t="s">
        <v>894</v>
      </c>
      <c r="B116" s="154"/>
      <c r="C116" s="60" t="s">
        <v>895</v>
      </c>
      <c r="D116" t="s">
        <v>895</v>
      </c>
      <c r="E116">
        <v>29780960</v>
      </c>
    </row>
    <row r="117" spans="1:5">
      <c r="A117" s="60" t="s">
        <v>896</v>
      </c>
      <c r="B117" s="154"/>
      <c r="C117" s="60" t="s">
        <v>897</v>
      </c>
      <c r="D117" t="s">
        <v>897</v>
      </c>
      <c r="E117">
        <v>100039948</v>
      </c>
    </row>
    <row r="118" spans="1:5">
      <c r="A118" s="60" t="s">
        <v>900</v>
      </c>
      <c r="B118" s="154"/>
      <c r="C118" s="60" t="s">
        <v>901</v>
      </c>
      <c r="D118" t="s">
        <v>901</v>
      </c>
      <c r="E118">
        <v>78088428</v>
      </c>
    </row>
    <row r="119" spans="1:5">
      <c r="A119" s="60" t="s">
        <v>902</v>
      </c>
      <c r="B119" s="154"/>
      <c r="C119" s="60" t="s">
        <v>903</v>
      </c>
      <c r="D119" t="s">
        <v>903</v>
      </c>
      <c r="E119">
        <v>54317631</v>
      </c>
    </row>
    <row r="120" spans="1:5">
      <c r="A120" s="60" t="s">
        <v>904</v>
      </c>
      <c r="B120" s="154"/>
      <c r="C120" s="60" t="s">
        <v>905</v>
      </c>
      <c r="D120" t="s">
        <v>905</v>
      </c>
      <c r="E120">
        <v>29597396</v>
      </c>
    </row>
    <row r="121" spans="1:5">
      <c r="A121" s="60" t="s">
        <v>906</v>
      </c>
      <c r="B121" s="154"/>
      <c r="C121" s="60" t="s">
        <v>907</v>
      </c>
      <c r="D121" t="s">
        <v>907</v>
      </c>
      <c r="E121">
        <v>87880752</v>
      </c>
    </row>
    <row r="122" spans="1:5">
      <c r="A122" s="154" t="s">
        <v>908</v>
      </c>
      <c r="B122" s="154"/>
      <c r="C122" s="154" t="s">
        <v>909</v>
      </c>
      <c r="D122" t="s">
        <v>909</v>
      </c>
      <c r="E122">
        <v>58968395</v>
      </c>
    </row>
    <row r="123" spans="1:5">
      <c r="A123" t="s">
        <v>917</v>
      </c>
      <c r="B123" t="s">
        <v>918</v>
      </c>
      <c r="C123" t="s">
        <v>919</v>
      </c>
      <c r="D123" t="s">
        <v>919</v>
      </c>
      <c r="E123">
        <v>37084140</v>
      </c>
    </row>
    <row r="124" spans="1:5">
      <c r="A124" t="s">
        <v>920</v>
      </c>
      <c r="B124" t="s">
        <v>921</v>
      </c>
      <c r="C124" t="s">
        <v>922</v>
      </c>
      <c r="D124" t="s">
        <v>922</v>
      </c>
      <c r="E124">
        <v>78168888</v>
      </c>
    </row>
    <row r="125" spans="1:5">
      <c r="A125" t="s">
        <v>925</v>
      </c>
      <c r="B125" t="s">
        <v>927</v>
      </c>
      <c r="C125" t="s">
        <v>926</v>
      </c>
      <c r="D125" t="s">
        <v>926</v>
      </c>
      <c r="E125">
        <v>125157219</v>
      </c>
    </row>
    <row r="126" spans="1:5">
      <c r="A126" t="s">
        <v>928</v>
      </c>
      <c r="B126" t="s">
        <v>929</v>
      </c>
      <c r="C126" t="s">
        <v>930</v>
      </c>
      <c r="D126" t="s">
        <v>930</v>
      </c>
      <c r="E126">
        <v>101079528</v>
      </c>
    </row>
    <row r="127" spans="1:5">
      <c r="A127" t="s">
        <v>933</v>
      </c>
      <c r="B127" t="s">
        <v>934</v>
      </c>
      <c r="C127" t="s">
        <v>935</v>
      </c>
      <c r="D127" t="s">
        <v>935</v>
      </c>
      <c r="E127">
        <v>122306965</v>
      </c>
    </row>
    <row r="128" spans="1:5">
      <c r="A128" t="s">
        <v>937</v>
      </c>
      <c r="B128" t="s">
        <v>938</v>
      </c>
      <c r="C128" t="s">
        <v>939</v>
      </c>
      <c r="D128" t="s">
        <v>939</v>
      </c>
      <c r="E128">
        <v>16233225</v>
      </c>
    </row>
    <row r="129" spans="1:5">
      <c r="A129" t="s">
        <v>940</v>
      </c>
      <c r="B129" t="s">
        <v>941</v>
      </c>
      <c r="C129" t="s">
        <v>942</v>
      </c>
      <c r="D129" t="s">
        <v>942</v>
      </c>
      <c r="E129">
        <v>68989152</v>
      </c>
    </row>
    <row r="130" spans="1:5">
      <c r="A130" t="s">
        <v>943</v>
      </c>
      <c r="B130" t="s">
        <v>944</v>
      </c>
      <c r="C130" t="s">
        <v>945</v>
      </c>
      <c r="D130" t="s">
        <v>945</v>
      </c>
      <c r="E130">
        <v>62982374</v>
      </c>
    </row>
    <row r="131" spans="1:5">
      <c r="A131" t="s">
        <v>946</v>
      </c>
      <c r="B131" t="s">
        <v>947</v>
      </c>
      <c r="C131" t="s">
        <v>948</v>
      </c>
      <c r="D131" t="s">
        <v>948</v>
      </c>
      <c r="E131">
        <v>34261206</v>
      </c>
    </row>
    <row r="132" spans="1:5">
      <c r="A132" t="s">
        <v>949</v>
      </c>
      <c r="B132" t="s">
        <v>950</v>
      </c>
      <c r="C132" t="s">
        <v>951</v>
      </c>
      <c r="D132" t="s">
        <v>951</v>
      </c>
      <c r="E132">
        <v>87853128</v>
      </c>
    </row>
    <row r="133" spans="1:5">
      <c r="A133" t="s">
        <v>954</v>
      </c>
      <c r="B133" t="s">
        <v>955</v>
      </c>
      <c r="C133" t="s">
        <v>956</v>
      </c>
      <c r="D133" t="s">
        <v>956</v>
      </c>
      <c r="E133">
        <v>47109720</v>
      </c>
    </row>
    <row r="134" spans="1:5">
      <c r="A134" t="s">
        <v>959</v>
      </c>
      <c r="B134" t="s">
        <v>960</v>
      </c>
      <c r="C134" t="s">
        <v>961</v>
      </c>
      <c r="D134" t="s">
        <v>961</v>
      </c>
      <c r="E134">
        <v>92299438</v>
      </c>
    </row>
    <row r="135" spans="1:5">
      <c r="A135" t="s">
        <v>963</v>
      </c>
      <c r="B135" t="s">
        <v>964</v>
      </c>
      <c r="C135" t="s">
        <v>965</v>
      </c>
      <c r="D135" t="s">
        <v>965</v>
      </c>
      <c r="E135">
        <v>54443404</v>
      </c>
    </row>
    <row r="136" spans="1:5">
      <c r="A136" t="s">
        <v>967</v>
      </c>
      <c r="B136" t="s">
        <v>968</v>
      </c>
      <c r="C136" t="s">
        <v>969</v>
      </c>
      <c r="D136" t="s">
        <v>969</v>
      </c>
      <c r="E136">
        <v>100685360</v>
      </c>
    </row>
    <row r="137" spans="1:5">
      <c r="A137" t="s">
        <v>1123</v>
      </c>
      <c r="B137" t="s">
        <v>1130</v>
      </c>
      <c r="C137" t="s">
        <v>1131</v>
      </c>
      <c r="D137" t="s">
        <v>1131</v>
      </c>
      <c r="E137">
        <v>40717290</v>
      </c>
    </row>
    <row r="138" spans="1:5">
      <c r="A138" t="s">
        <v>1124</v>
      </c>
      <c r="B138" t="s">
        <v>1132</v>
      </c>
      <c r="C138" t="s">
        <v>1133</v>
      </c>
      <c r="D138" t="s">
        <v>1133</v>
      </c>
      <c r="E138">
        <v>111177092</v>
      </c>
    </row>
    <row r="139" spans="1:5">
      <c r="A139" t="s">
        <v>1125</v>
      </c>
      <c r="B139" t="s">
        <v>1135</v>
      </c>
      <c r="C139" t="s">
        <v>1136</v>
      </c>
      <c r="D139" t="s">
        <v>1136</v>
      </c>
      <c r="E139">
        <v>70649992</v>
      </c>
    </row>
    <row r="140" spans="1:5">
      <c r="A140" t="s">
        <v>1126</v>
      </c>
      <c r="B140">
        <v>0</v>
      </c>
      <c r="C140" t="s">
        <v>1138</v>
      </c>
      <c r="D140" t="s">
        <v>1138</v>
      </c>
      <c r="E140">
        <v>53968761</v>
      </c>
    </row>
    <row r="141" spans="1:5">
      <c r="A141" t="s">
        <v>1127</v>
      </c>
      <c r="B141" t="s">
        <v>1140</v>
      </c>
      <c r="C141" t="s">
        <v>1141</v>
      </c>
      <c r="D141" t="s">
        <v>1141</v>
      </c>
      <c r="E141">
        <v>57707874</v>
      </c>
    </row>
    <row r="142" spans="1:5">
      <c r="A142" t="s">
        <v>1128</v>
      </c>
      <c r="B142" t="s">
        <v>1142</v>
      </c>
      <c r="C142" t="s">
        <v>1143</v>
      </c>
      <c r="D142" t="s">
        <v>1143</v>
      </c>
      <c r="E142">
        <v>81240852</v>
      </c>
    </row>
  </sheetData>
  <pageMargins left="0.7" right="0.7" top="0.75" bottom="0.75" header="0.3" footer="0.511811023622047"/>
  <pageSetup orientation="portrait" horizontalDpi="300" verticalDpi="300"/>
  <headerFooter>
    <oddHeader>&amp;C&amp;1 Confidential#</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 Confidential#</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vt:lpstr>
      <vt:lpstr>ITR V2 input data</vt:lpstr>
      <vt:lpstr>ITR V2 esg data</vt:lpstr>
      <vt:lpstr>Extra V2 esg data</vt:lpstr>
      <vt:lpstr>ITR target input data</vt:lpstr>
      <vt:lpstr>Extra target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revision>120</cp:revision>
  <cp:lastPrinted>2022-02-14T13:19:46Z</cp:lastPrinted>
  <dcterms:created xsi:type="dcterms:W3CDTF">2022-02-08T09:02:08Z</dcterms:created>
  <dcterms:modified xsi:type="dcterms:W3CDTF">2023-05-03T16:24:11Z</dcterms:modified>
  <dc:language>en-US</dc:language>
</cp:coreProperties>
</file>