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threadedComments/threadedComment1.xml" ContentType="application/vnd.ms-excel.threadedcomments+xml"/>
  <Override PartName="/xl/comments3.xml" ContentType="application/vnd.openxmlformats-officedocument.spreadsheetml.comments+xml"/>
  <Override PartName="/xl/threadedComments/threadedComment2.xml" ContentType="application/vnd.ms-excel.threadedcomments+xml"/>
  <Override PartName="/xl/comments4.xml" ContentType="application/vnd.openxmlformats-officedocument.spreadsheetml.comments+xml"/>
  <Override PartName="/xl/threadedComments/threadedComment3.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0"/>
  <workbookPr defaultThemeVersion="166925"/>
  <mc:AlternateContent xmlns:mc="http://schemas.openxmlformats.org/markup-compatibility/2006">
    <mc:Choice Requires="x15">
      <x15ac:absPath xmlns:x15ac="http://schemas.microsoft.com/office/spreadsheetml/2010/11/ac" url="/Users/michael/Dropbox/My Mac (MacBook-Pro.local)/Documents/GitHub/os-climate/ITR/test/inputs/"/>
    </mc:Choice>
  </mc:AlternateContent>
  <xr:revisionPtr revIDLastSave="0" documentId="13_ncr:1_{59C06C9E-1EEE-384F-835A-F88DEDA0B8A7}" xr6:coauthVersionLast="47" xr6:coauthVersionMax="47" xr10:uidLastSave="{00000000-0000-0000-0000-000000000000}"/>
  <bookViews>
    <workbookView xWindow="0" yWindow="11500" windowWidth="35840" windowHeight="9200" tabRatio="500" activeTab="6" xr2:uid="{00000000-000D-0000-FFFF-FFFF00000000}"/>
  </bookViews>
  <sheets>
    <sheet name="Read me " sheetId="1" r:id="rId1"/>
    <sheet name="ITR V2 input data" sheetId="7" r:id="rId2"/>
    <sheet name="Future ITR V2 input data" sheetId="15" r:id="rId3"/>
    <sheet name="ITR V2 esg data" sheetId="12" r:id="rId4"/>
    <sheet name="Future ITR V2 esg data" sheetId="8" r:id="rId5"/>
    <sheet name="ITR target input data" sheetId="13" r:id="rId6"/>
    <sheet name="Future ITR target input data" sheetId="3" r:id="rId7"/>
    <sheet name="Definitions" sheetId="4" r:id="rId8"/>
    <sheet name="Portfolio" sheetId="5" r:id="rId9"/>
    <sheet name="Future Portfolio" sheetId="14" r:id="rId10"/>
    <sheet name="User Notes" sheetId="6" r:id="rId1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24" i="3" l="1"/>
  <c r="J22" i="3"/>
  <c r="Q148" i="8"/>
  <c r="P148" i="8"/>
  <c r="O148" i="8"/>
  <c r="O18" i="12" l="1"/>
  <c r="N18" i="12"/>
  <c r="M18" i="12"/>
  <c r="L18" i="12"/>
  <c r="K18" i="12"/>
  <c r="I15" i="12"/>
  <c r="O12" i="12"/>
  <c r="Q6" i="12"/>
  <c r="P6" i="12"/>
  <c r="O9" i="15"/>
  <c r="O10" i="15"/>
  <c r="O2" i="7"/>
  <c r="N11" i="15"/>
  <c r="O11" i="15" s="1"/>
  <c r="O8" i="15"/>
  <c r="O7" i="15"/>
  <c r="L6" i="15"/>
  <c r="O6" i="15" s="1"/>
  <c r="L5" i="15"/>
  <c r="N5" i="15" s="1"/>
  <c r="N4" i="15"/>
  <c r="O4" i="15" s="1"/>
  <c r="E2" i="5"/>
  <c r="O28" i="12"/>
  <c r="O27" i="12"/>
  <c r="N27" i="12"/>
  <c r="M27" i="12"/>
  <c r="L27" i="12"/>
  <c r="K27" i="12"/>
  <c r="O26" i="12"/>
  <c r="N26" i="12"/>
  <c r="M26" i="12"/>
  <c r="L26" i="12"/>
  <c r="K26" i="12"/>
  <c r="O25" i="12"/>
  <c r="O24" i="12"/>
  <c r="I27" i="12"/>
  <c r="O22" i="12"/>
  <c r="N22" i="12"/>
  <c r="M22" i="12"/>
  <c r="L22" i="12"/>
  <c r="K22" i="12"/>
  <c r="O29" i="12"/>
  <c r="N29" i="12"/>
  <c r="M29" i="12"/>
  <c r="L29" i="12"/>
  <c r="K29" i="12"/>
  <c r="I29" i="12"/>
  <c r="I28" i="12"/>
  <c r="I26" i="12"/>
  <c r="I25" i="12"/>
  <c r="I24" i="12"/>
  <c r="O5" i="15" l="1"/>
  <c r="N6" i="15"/>
  <c r="J29" i="3" l="1"/>
  <c r="Q221" i="8"/>
  <c r="P221" i="8"/>
  <c r="O221" i="8"/>
  <c r="N221" i="8"/>
  <c r="Q212" i="8"/>
  <c r="P212" i="8"/>
  <c r="O212" i="8"/>
  <c r="N212" i="8"/>
  <c r="J27" i="3"/>
  <c r="J25" i="3"/>
  <c r="J28" i="3"/>
  <c r="J26" i="3"/>
  <c r="O3" i="7"/>
  <c r="J9" i="3" l="1"/>
  <c r="J8" i="3"/>
  <c r="M7" i="3"/>
  <c r="M6" i="3"/>
  <c r="M5" i="3"/>
  <c r="M4" i="3"/>
  <c r="M3" i="3"/>
  <c r="M2" i="3"/>
  <c r="N27" i="8"/>
  <c r="M27" i="8"/>
  <c r="L27" i="8"/>
  <c r="N25" i="8"/>
  <c r="M25" i="8"/>
  <c r="L25" i="8"/>
  <c r="M14" i="3"/>
  <c r="M13" i="3"/>
  <c r="Q103" i="8"/>
  <c r="P103" i="8"/>
  <c r="O103" i="8"/>
  <c r="P93" i="8"/>
  <c r="O93" i="8"/>
  <c r="N93" i="8"/>
  <c r="O84" i="8"/>
  <c r="N84" i="8"/>
  <c r="M84" i="8"/>
  <c r="N75" i="8"/>
  <c r="M75" i="8"/>
  <c r="L75" i="8"/>
  <c r="P59" i="8" l="1"/>
  <c r="P120" i="8" l="1"/>
  <c r="P44" i="8" l="1"/>
  <c r="O44"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Ndungu, Grace Wangeci (AIM SE)</author>
  </authors>
  <commentList>
    <comment ref="T5" authorId="0" shapeId="0" xr:uid="{ED9F3EED-C4AF-B744-BC36-A26BC02EA1BC}">
      <text>
        <r>
          <rPr>
            <sz val="11"/>
            <color rgb="FF000000"/>
            <rFont val="Calibri"/>
            <family val="2"/>
            <charset val="1"/>
          </rPr>
          <t>Ndungu, Grace Wangeci (AIM SE):
Average shares outstanding as indicated in the annual report is used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tc={5714637E-4EAB-2D44-8B6C-72AE25F1CC0B}</author>
    <author>tc={83A740BB-E831-9343-A7F5-E759F8DDBF90}</author>
    <author>tc={C536835D-A5D2-6647-B0D1-B3E78B058C65}</author>
    <author>tc={BB9E0177-4840-8B45-84D5-5541C2AC6063}</author>
  </authors>
  <commentList>
    <comment ref="E7" authorId="0" shapeId="0" xr:uid="{5714637E-4EAB-2D44-8B6C-72AE25F1CC0B}">
      <text>
        <t xml:space="preserve">[Threaded comment]
Your version of Excel allows you to read this threaded comment; however, any edits to it will get removed if the file is opened in a newer version of Excel. Learn more: https://go.microsoft.com/fwlink/?linkid=870924
Comment:
    There are different quantities of product displayed in addition to cement. No guidance on which one to choose </t>
      </text>
    </comment>
    <comment ref="E13" authorId="1" shapeId="0" xr:uid="{83A740BB-E831-9343-A7F5-E759F8DDBF90}">
      <text>
        <t xml:space="preserve">[Threaded comment]
Your version of Excel allows you to read this threaded comment; however, any edits to it will get removed if the file is opened in a newer version of Excel. Learn more: https://go.microsoft.com/fwlink/?linkid=870924
Comment:
    There are different quantities of product displayed in addition to cement. No guidance on which one to choose </t>
      </text>
    </comment>
    <comment ref="E19" authorId="2" shapeId="0" xr:uid="{C536835D-A5D2-6647-B0D1-B3E78B058C65}">
      <text>
        <t xml:space="preserve">[Threaded comment]
Your version of Excel allows you to read this threaded comment; however, any edits to it will get removed if the file is opened in a newer version of Excel. Learn more: https://go.microsoft.com/fwlink/?linkid=870924
Comment:
    There are different quantities of product displayed in addition to cement. No guidance on which one to choose </t>
      </text>
    </comment>
    <comment ref="E34" authorId="3" shapeId="0" xr:uid="{BB9E0177-4840-8B45-84D5-5541C2AC6063}">
      <text>
        <t xml:space="preserve">[Threaded comment]
Your version of Excel allows you to read this threaded comment; however, any edits to it will get removed if the file is opened in a newer version of Excel. Learn more: https://go.microsoft.com/fwlink/?linkid=870924
Comment:
    There are different quantities of product displayed in addition to cement. No guidance on which one to choose </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tc={76CDE1E1-308A-FB47-8509-463024D3AE24}</author>
    <author>tc={5870F9B0-5B60-9F48-A6BB-0E2E8C6E693D}</author>
    <author>tc={4034B1D1-FFA3-4842-B201-94EC34289DD0}</author>
    <author>tc={32B31AF7-9BA3-B943-A839-EA0FAD6E2B2B}</author>
    <author>Michael Tiemann</author>
    <author>tc={EDC7ABA2-41F9-C24E-9B41-E9CB0E2F8239}</author>
    <author>tc={E488A460-29A6-B747-8C45-087B6030E798}</author>
    <author>tc={8B303961-236C-A146-B63A-225689016676}</author>
    <author>tc={FE272FE2-16A1-0448-9F74-729C2B68A1A6}</author>
  </authors>
  <commentList>
    <comment ref="E116" authorId="0" shapeId="0" xr:uid="{76CDE1E1-308A-FB47-8509-463024D3AE24}">
      <text>
        <t xml:space="preserve">[Threaded comment]
Your version of Excel allows you to read this threaded comment; however, any edits to it will get removed if the file is opened in a newer version of Excel. Learn more: https://go.microsoft.com/fwlink/?linkid=870924
Comment:
    There are different quantities of product displayed in addition to cement. No guidance on which one to choose </t>
      </text>
    </comment>
    <comment ref="E125" authorId="1" shapeId="0" xr:uid="{5870F9B0-5B60-9F48-A6BB-0E2E8C6E693D}">
      <text>
        <t xml:space="preserve">[Threaded comment]
Your version of Excel allows you to read this threaded comment; however, any edits to it will get removed if the file is opened in a newer version of Excel. Learn more: https://go.microsoft.com/fwlink/?linkid=870924
Comment:
    There are different quantities of product displayed in addition to cement. No guidance on which one to choose </t>
      </text>
    </comment>
    <comment ref="E130" authorId="2" shapeId="0" xr:uid="{4034B1D1-FFA3-4842-B201-94EC34289DD0}">
      <text>
        <t xml:space="preserve">[Threaded comment]
Your version of Excel allows you to read this threaded comment; however, any edits to it will get removed if the file is opened in a newer version of Excel. Learn more: https://go.microsoft.com/fwlink/?linkid=870924
Comment:
    There are different quantities of product displayed in addition to cement. No guidance on which one to choose </t>
      </text>
    </comment>
    <comment ref="E136" authorId="3" shapeId="0" xr:uid="{32B31AF7-9BA3-B943-A839-EA0FAD6E2B2B}">
      <text>
        <t xml:space="preserve">[Threaded comment]
Your version of Excel allows you to read this threaded comment; however, any edits to it will get removed if the file is opened in a newer version of Excel. Learn more: https://go.microsoft.com/fwlink/?linkid=870924
Comment:
    There are different quantities of product displayed in addition to cement. No guidance on which one to choose </t>
      </text>
    </comment>
    <comment ref="O161" authorId="4" shapeId="0" xr:uid="{7F04DD24-D2FA-104E-80B1-68087A4F125A}">
      <text>
        <r>
          <rPr>
            <sz val="11"/>
            <color rgb="FF000000"/>
            <rFont val="+mn-lt"/>
            <charset val="1"/>
          </rPr>
          <t>Ndungu, Grace Wangeci (AIM SE):</t>
        </r>
        <r>
          <rPr>
            <sz val="11"/>
            <color rgb="FF000000"/>
            <rFont val="+mn-lt"/>
            <charset val="1"/>
          </rPr>
          <t xml:space="preserve">
</t>
        </r>
        <r>
          <rPr>
            <sz val="11"/>
            <color rgb="FF000000"/>
            <rFont val="+mn-lt"/>
            <charset val="1"/>
          </rPr>
          <t>In the 2020 Annual Report (AR), there is a statement indicating a different figure for 2020 specific net CO2 emissions to be 544 kgCO2/t</t>
        </r>
      </text>
    </comment>
    <comment ref="E180" authorId="5" shapeId="0" xr:uid="{EDC7ABA2-41F9-C24E-9B41-E9CB0E2F8239}">
      <text>
        <t xml:space="preserve">[Threaded comment]
Your version of Excel allows you to read this threaded comment; however, any edits to it will get removed if the file is opened in a newer version of Excel. Learn more: https://go.microsoft.com/fwlink/?linkid=870924
Comment:
    There are different quantities of product displayed in addition to cement. No guidance on which one to choose </t>
      </text>
    </comment>
    <comment ref="E194" authorId="6" shapeId="0" xr:uid="{E488A460-29A6-B747-8C45-087B6030E798}">
      <text>
        <t xml:space="preserve">[Threaded comment]
Your version of Excel allows you to read this threaded comment; however, any edits to it will get removed if the file is opened in a newer version of Excel. Learn more: https://go.microsoft.com/fwlink/?linkid=870924
Comment:
    There are different quantities of product displayed in addition to cement. No guidance on which one to choose </t>
      </text>
    </comment>
    <comment ref="E208" authorId="7" shapeId="0" xr:uid="{8B303961-236C-A146-B63A-225689016676}">
      <text>
        <t xml:space="preserve">[Threaded comment]
Your version of Excel allows you to read this threaded comment; however, any edits to it will get removed if the file is opened in a newer version of Excel. Learn more: https://go.microsoft.com/fwlink/?linkid=870924
Comment:
    There are different quantities of product displayed in addition to cement. No guidance on which one to choose </t>
      </text>
    </comment>
    <comment ref="E223" authorId="8" shapeId="0" xr:uid="{FE272FE2-16A1-0448-9F74-729C2B68A1A6}">
      <text>
        <t xml:space="preserve">[Threaded comment]
Your version of Excel allows you to read this threaded comment; however, any edits to it will get removed if the file is opened in a newer version of Excel. Learn more: https://go.microsoft.com/fwlink/?linkid=870924
Comment:
    There are different quantities of product displayed in addition to cement. No guidance on which one to choose </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Michael Tiemann</author>
    <author>tc={CA8C9C04-1742-E447-9A4E-9ACBCF0FD8F5}</author>
  </authors>
  <commentList>
    <comment ref="G4" authorId="0" shapeId="0" xr:uid="{62367D63-C9BA-0A4A-BF86-AAD57736C9F5}">
      <text>
        <r>
          <rPr>
            <b/>
            <sz val="10"/>
            <color rgb="FF000000"/>
            <rFont val="Tahoma"/>
            <family val="2"/>
          </rPr>
          <t>Michael Tiemann:</t>
        </r>
        <r>
          <rPr>
            <sz val="10"/>
            <color rgb="FF000000"/>
            <rFont val="Tahoma"/>
            <family val="2"/>
          </rPr>
          <t xml:space="preserve">
</t>
        </r>
        <r>
          <rPr>
            <sz val="10"/>
            <color rgb="FF000000"/>
            <rFont val="Tahoma"/>
            <family val="2"/>
          </rPr>
          <t xml:space="preserve">These should have specific S3 categories: S3.3 and S3.11
</t>
        </r>
        <r>
          <rPr>
            <sz val="10"/>
            <color rgb="FF000000"/>
            <rFont val="Tahoma"/>
            <family val="2"/>
          </rPr>
          <t>Also, S1+S2+S3 should be S1+S3 (but S2 is in the noise, so OK)</t>
        </r>
      </text>
    </comment>
    <comment ref="G16" authorId="0" shapeId="0" xr:uid="{EA22A833-69CB-9C4E-B8C2-81229FDB8632}">
      <text>
        <r>
          <rPr>
            <b/>
            <sz val="10"/>
            <color rgb="FF000000"/>
            <rFont val="Tahoma"/>
            <family val="2"/>
          </rPr>
          <t>Michael Tiemann:</t>
        </r>
        <r>
          <rPr>
            <sz val="10"/>
            <color rgb="FF000000"/>
            <rFont val="Tahoma"/>
            <family val="2"/>
          </rPr>
          <t xml:space="preserve">
</t>
        </r>
        <r>
          <rPr>
            <sz val="10"/>
            <color rgb="FF000000"/>
            <rFont val="Tahoma"/>
            <family val="2"/>
          </rPr>
          <t>gas: use of sold products</t>
        </r>
      </text>
    </comment>
    <comment ref="M21" authorId="1" shapeId="0" xr:uid="{CA8C9C04-1742-E447-9A4E-9ACBCF0FD8F5}">
      <text>
        <t>[Threaded comment]
Your version of Excel allows you to read this threaded comment; however, any edits to it will get removed if the file is opened in a newer version of Excel. Learn more: https://go.microsoft.com/fwlink/?linkid=870924
Comment:
    -20% kg CO2e/t of purchased clinker and cement
-20% kg CO2e/t of purchased fuels
-24% kg CO2e/t of material transported</t>
      </text>
    </comment>
    <comment ref="J22" authorId="0" shapeId="0" xr:uid="{498F1A5C-729F-9E49-A860-423C4B8B5A95}">
      <text>
        <r>
          <rPr>
            <b/>
            <sz val="10"/>
            <color rgb="FF000000"/>
            <rFont val="Tahoma"/>
            <family val="2"/>
          </rPr>
          <t>Michael Tiemann:</t>
        </r>
        <r>
          <rPr>
            <sz val="10"/>
            <color rgb="FF000000"/>
            <rFont val="Tahoma"/>
            <family val="2"/>
          </rPr>
          <t xml:space="preserve">
</t>
        </r>
        <r>
          <rPr>
            <sz val="10"/>
            <color rgb="FF000000"/>
            <rFont val="Tahoma"/>
            <family val="2"/>
          </rPr>
          <t>Number needed so that 24% reduction is 400 kg CO2e/(t Cement)</t>
        </r>
      </text>
    </comment>
    <comment ref="J24" authorId="0" shapeId="0" xr:uid="{F8A58469-B52A-AF45-9BFD-46DD6F776D30}">
      <text>
        <r>
          <rPr>
            <b/>
            <sz val="10"/>
            <color rgb="FF000000"/>
            <rFont val="Tahoma"/>
            <family val="2"/>
          </rPr>
          <t>Michael Tiemann:</t>
        </r>
        <r>
          <rPr>
            <sz val="10"/>
            <color rgb="FF000000"/>
            <rFont val="Tahoma"/>
            <family val="2"/>
          </rPr>
          <t xml:space="preserve">
</t>
        </r>
        <r>
          <rPr>
            <sz val="10"/>
            <color rgb="FF000000"/>
            <rFont val="Tahoma"/>
            <family val="2"/>
          </rPr>
          <t>Actual target is only purchased cement and clinker, not all S3 emissions</t>
        </r>
      </text>
    </comment>
  </commentList>
</comments>
</file>

<file path=xl/sharedStrings.xml><?xml version="1.0" encoding="utf-8"?>
<sst xmlns="http://schemas.openxmlformats.org/spreadsheetml/2006/main" count="1631" uniqueCount="309">
  <si>
    <t>company_name</t>
  </si>
  <si>
    <t>company_lei</t>
  </si>
  <si>
    <t>company_id</t>
  </si>
  <si>
    <t>country</t>
  </si>
  <si>
    <t>region</t>
  </si>
  <si>
    <t>sector</t>
  </si>
  <si>
    <t>exposure</t>
  </si>
  <si>
    <t>currency</t>
  </si>
  <si>
    <t>report_date</t>
  </si>
  <si>
    <t>market_cap</t>
  </si>
  <si>
    <t>revenue</t>
  </si>
  <si>
    <t>ev</t>
  </si>
  <si>
    <t>evic</t>
  </si>
  <si>
    <t>assets</t>
  </si>
  <si>
    <t>production_metric</t>
  </si>
  <si>
    <t>2016_ghg_s1</t>
  </si>
  <si>
    <t>2017_ghg_s1</t>
  </si>
  <si>
    <t>2018_ghg_s1</t>
  </si>
  <si>
    <t>2019_ghg_s1</t>
  </si>
  <si>
    <t>2020_ghg_s1</t>
  </si>
  <si>
    <t>2021_ghg_s1</t>
  </si>
  <si>
    <t>2022_ghg_s1</t>
  </si>
  <si>
    <t>2016_ghg_s2</t>
  </si>
  <si>
    <t>2017_ghg_s2</t>
  </si>
  <si>
    <t>2018_ghg_s2</t>
  </si>
  <si>
    <t>2019_ghg_s2</t>
  </si>
  <si>
    <t>2020_ghg_s2</t>
  </si>
  <si>
    <t>2021_ghg_s2</t>
  </si>
  <si>
    <t>2022_ghg_s2</t>
  </si>
  <si>
    <t>2016_ghg_s1s2</t>
  </si>
  <si>
    <t>2017_ghg_s1s2</t>
  </si>
  <si>
    <t>2018_ghg_s1s2</t>
  </si>
  <si>
    <t>2019_ghg_s1s2</t>
  </si>
  <si>
    <t>2020_ghg_s1s2</t>
  </si>
  <si>
    <t>2021_ghg_s1s2</t>
  </si>
  <si>
    <t>2022_ghg_s1s2</t>
  </si>
  <si>
    <t>2016_ghg_s3</t>
  </si>
  <si>
    <t>2017_ghg_s3</t>
  </si>
  <si>
    <t>2018_ghg_s3</t>
  </si>
  <si>
    <t>2019_ghg_s3</t>
  </si>
  <si>
    <t>2020_ghg_s3</t>
  </si>
  <si>
    <t>2021_ghg_s3</t>
  </si>
  <si>
    <t>2022_ghg_s3</t>
  </si>
  <si>
    <t>2016_production</t>
  </si>
  <si>
    <t>2017_production</t>
  </si>
  <si>
    <t>2018_production</t>
  </si>
  <si>
    <t>2019_production</t>
  </si>
  <si>
    <t>2020_production</t>
  </si>
  <si>
    <t>2021_production</t>
  </si>
  <si>
    <t>Electricity Utilities</t>
  </si>
  <si>
    <t>equity</t>
  </si>
  <si>
    <t>USD</t>
  </si>
  <si>
    <t>GWh</t>
  </si>
  <si>
    <t>TWh</t>
  </si>
  <si>
    <t>Utilities</t>
  </si>
  <si>
    <t>Autos</t>
  </si>
  <si>
    <t>GB</t>
  </si>
  <si>
    <t>Europe</t>
  </si>
  <si>
    <t>Enel Americas S.A.</t>
  </si>
  <si>
    <t>549300LKH11TFCJLZK20</t>
  </si>
  <si>
    <t>US29274F1049</t>
  </si>
  <si>
    <t>CL</t>
  </si>
  <si>
    <t>Global</t>
  </si>
  <si>
    <t>National Grid PLC</t>
  </si>
  <si>
    <t>8R95QZMKZLJX5Q2XR704</t>
  </si>
  <si>
    <t>US6362744095</t>
  </si>
  <si>
    <t>netzero_year</t>
  </si>
  <si>
    <t>target_type</t>
  </si>
  <si>
    <t>target_scope</t>
  </si>
  <si>
    <t>target_start_year</t>
  </si>
  <si>
    <t>target_base_year</t>
  </si>
  <si>
    <t>target_base_year_qty</t>
  </si>
  <si>
    <t>target_base_year_unit</t>
  </si>
  <si>
    <t>target_year</t>
  </si>
  <si>
    <t>target_reduction_ambition</t>
  </si>
  <si>
    <t>intensity</t>
  </si>
  <si>
    <t>S1+S2</t>
  </si>
  <si>
    <t>absolute</t>
  </si>
  <si>
    <t>S1+S2+S3</t>
  </si>
  <si>
    <t>S1</t>
  </si>
  <si>
    <t>S3</t>
  </si>
  <si>
    <t>S2</t>
  </si>
  <si>
    <t>Data category</t>
  </si>
  <si>
    <t>Data field</t>
  </si>
  <si>
    <t>Input tab</t>
  </si>
  <si>
    <t>Description</t>
  </si>
  <si>
    <t>Expected value (type/unit)</t>
  </si>
  <si>
    <t>Mandatory/Optional</t>
  </si>
  <si>
    <t>Fundamental Data</t>
  </si>
  <si>
    <t>ITR input data</t>
  </si>
  <si>
    <t>Name of the company in your portfolio</t>
  </si>
  <si>
    <t xml:space="preserve">Text </t>
  </si>
  <si>
    <t>Mandatory</t>
  </si>
  <si>
    <t>Legal entity identifier</t>
  </si>
  <si>
    <t>Optional</t>
  </si>
  <si>
    <t>ISIN (Identifier for the company in your portfolio, used to map target and fundamental data to the company)</t>
  </si>
  <si>
    <t>Country where the company has its headquarter. Used for analysis purposes only.</t>
  </si>
  <si>
    <t>Region where the company has its headquarter. Used for analysis purposes only. The tool uses IPP AR6 regions: https://www.ipcc.ch/report/ar6/wg1/</t>
  </si>
  <si>
    <t>Options: Electricity Utilities, Steel, Oil &amp; Gas, Autos</t>
  </si>
  <si>
    <t>Electricity Utilities, Steel, Oil &amp; Gas, Autos</t>
  </si>
  <si>
    <t>Investment exposure (equity or bond)</t>
  </si>
  <si>
    <t>Equity, Bond</t>
  </si>
  <si>
    <t>Currency of the financial data. All entries should be converted into the SAME currency - EUR or USD</t>
  </si>
  <si>
    <t xml:space="preserve">Date of retrieving the financial data </t>
  </si>
  <si>
    <t>Date (DD.MM.YYYY)</t>
  </si>
  <si>
    <t>Value of public stock in single dollars/euros</t>
  </si>
  <si>
    <t>Monetary value</t>
  </si>
  <si>
    <t>Company revenues in single dollars/euros</t>
  </si>
  <si>
    <t>Enterprise value in single dollars / euros</t>
  </si>
  <si>
    <t>Enterprise value including cash in single dollars / euros</t>
  </si>
  <si>
    <t>Value of assets owned by company in single dollars/euros</t>
  </si>
  <si>
    <t>Emission Metrics</t>
  </si>
  <si>
    <t>emission_metric</t>
  </si>
  <si>
    <t>Emissions Metric (typically CO2)</t>
  </si>
  <si>
    <t>CO2: kg CO2, t CO2, Mt CO2, Gt CO2, etc.</t>
  </si>
  <si>
    <t>Production Metrics</t>
  </si>
  <si>
    <t>Intensity Metric (unit of output measured for sector)</t>
  </si>
  <si>
    <t xml:space="preserve">Electricity:  MWh, TWh, GJ, PJ; 
Steel: Fe_ton, M Fe_ton;  
Oil &amp; Gas: mboe, PJ;  
Autos: passenger km, passenger mi </t>
  </si>
  <si>
    <t>Emission Data</t>
  </si>
  <si>
    <t>Intensity numerator: Scope 1 emissions timeseries for the past 5 years</t>
  </si>
  <si>
    <t>Number</t>
  </si>
  <si>
    <t>Intensity numerator: Scope 1 emissions timeseries for 2021</t>
  </si>
  <si>
    <t xml:space="preserve">Intensity numerator:  scope 1 emissions timeseries for 2022, only available in 2023. Do not input projected data. </t>
  </si>
  <si>
    <t>DO NOT FILL (data only available next year)</t>
  </si>
  <si>
    <t>Intensity numerator: Scope 2 emissions timeseries for the past 5 years</t>
  </si>
  <si>
    <t>Intensity numerator: Scope 2 emissions timeseries for 2021</t>
  </si>
  <si>
    <t xml:space="preserve">Intensity numerator:  scope 2 emissions timeseries for 2022, only available in 2023. Do not input projected data. </t>
  </si>
  <si>
    <t>Intensity numerator: Scope 1+2 emissions timeseries for the past 5 years</t>
  </si>
  <si>
    <t>Intensity numerator: Scope 1+2 emissions timeseries for 2021</t>
  </si>
  <si>
    <t xml:space="preserve">Intensity numerator:  scope 1+ 2 emissions timeseries for 2022, only available in 2023. Do not input projected data. </t>
  </si>
  <si>
    <t>Intensity numerator: Scope 3 emissions timeseries for the past 5 years</t>
  </si>
  <si>
    <t>Intensity numerator: Scope 3 emissions timeseries for 2021</t>
  </si>
  <si>
    <t xml:space="preserve">Intensity numerator:  scope 3 emissions timeseries for 2022, only available in 2023. Do not input projected data. </t>
  </si>
  <si>
    <t xml:space="preserve">Production data - Power or Steel </t>
  </si>
  <si>
    <t>Intensity denominator: annual steel or power production of the company for the past 5 years</t>
  </si>
  <si>
    <t>Target Data</t>
  </si>
  <si>
    <t>ITR target input data</t>
  </si>
  <si>
    <t xml:space="preserve">Type of target. Can be absolute or intensity based GHG emission reduction target. </t>
  </si>
  <si>
    <t>Absolute, Intensity</t>
  </si>
  <si>
    <t>Target scope (S3 will be taken into account later - however one can include it already to avoid having to refill the template in a few weeks )</t>
  </si>
  <si>
    <t>S1, S2, S1S2, S1S2S3</t>
  </si>
  <si>
    <t>year the target was announced</t>
  </si>
  <si>
    <t>Year (YYYY)</t>
  </si>
  <si>
    <t>Base year of the target</t>
  </si>
  <si>
    <t>Production or Intensity figures  (eg 12 if the target base year emission is 12 t CO2, or 0.98 if the base year intensity is 0.98 Mt CO2/MWh). Targets can be expressed in units as described below (see target_base_year_units field)</t>
  </si>
  <si>
    <t>decimal</t>
  </si>
  <si>
    <t xml:space="preserve">target intensity metric referring to emissions and production data. Units for the numerator (in CO2) and denominator (electricityutilities, steel production, oil &amp; gas, autos) are indicated in the following field. </t>
  </si>
  <si>
    <t>CO2: kg CO2, t CO2, Mt CO2, Gt CO2, etc.; 
Electricity: MWh, TWh, GJ, PJ; 
Steel: Fe_ton, M Fe_ton; 
Oil &amp; Gas: mboe, PJ; 
Autos: passenger mi, M passenger km</t>
  </si>
  <si>
    <t xml:space="preserve">year the target should be reached </t>
  </si>
  <si>
    <t>The emission reduction that is set as ambition in the target.</t>
  </si>
  <si>
    <t>percentage</t>
  </si>
  <si>
    <t>Net Zero Ambition</t>
  </si>
  <si>
    <t>netzero_date</t>
  </si>
  <si>
    <t>Target year of net-zero commitment. 0 means the company has not set a target year or that their target for 2050 is not zero.</t>
  </si>
  <si>
    <t>company_isin</t>
  </si>
  <si>
    <t>fx_quote</t>
  </si>
  <si>
    <t>fx_rate</t>
  </si>
  <si>
    <t>metric</t>
  </si>
  <si>
    <t>unit</t>
  </si>
  <si>
    <t>s1</t>
  </si>
  <si>
    <t>s2</t>
  </si>
  <si>
    <t>location</t>
  </si>
  <si>
    <t>s1s2</t>
  </si>
  <si>
    <t>s3</t>
  </si>
  <si>
    <t>combined</t>
  </si>
  <si>
    <t>production</t>
  </si>
  <si>
    <t>pdf</t>
  </si>
  <si>
    <t>market</t>
  </si>
  <si>
    <t>net</t>
  </si>
  <si>
    <t>kt CO2e</t>
  </si>
  <si>
    <t>t CO2e</t>
  </si>
  <si>
    <t>Mt CO2e</t>
  </si>
  <si>
    <t>g CO2e/kWh</t>
  </si>
  <si>
    <t>total</t>
  </si>
  <si>
    <t>generation</t>
  </si>
  <si>
    <t>xlsx</t>
  </si>
  <si>
    <t>residential</t>
  </si>
  <si>
    <t>commercial</t>
  </si>
  <si>
    <t>industrial</t>
  </si>
  <si>
    <t>all other retailers</t>
  </si>
  <si>
    <t>wholesale</t>
  </si>
  <si>
    <t>base_year</t>
  </si>
  <si>
    <t>https://www.enel.com/content/dam/enel-com/documenti/investitori/sostenibilita/2021/sustainability-report_2021.pdf</t>
  </si>
  <si>
    <t>electricity</t>
  </si>
  <si>
    <t>gas</t>
  </si>
  <si>
    <t>page</t>
  </si>
  <si>
    <t>base year</t>
  </si>
  <si>
    <t>own</t>
  </si>
  <si>
    <t>s1 intensity</t>
  </si>
  <si>
    <t>boundary</t>
  </si>
  <si>
    <t>us</t>
  </si>
  <si>
    <t>us+uk</t>
  </si>
  <si>
    <t>s1s2 intensity</t>
  </si>
  <si>
    <t>submetric</t>
  </si>
  <si>
    <t>upstream gas</t>
  </si>
  <si>
    <t>upstream coal</t>
  </si>
  <si>
    <t>debt</t>
  </si>
  <si>
    <t>cash</t>
  </si>
  <si>
    <t>shares outstanding</t>
  </si>
  <si>
    <t>share price on report date</t>
  </si>
  <si>
    <t>France</t>
  </si>
  <si>
    <t>EUR</t>
  </si>
  <si>
    <t>Switzerland</t>
  </si>
  <si>
    <t>CHF</t>
  </si>
  <si>
    <t>Germany</t>
  </si>
  <si>
    <t>Japan</t>
  </si>
  <si>
    <t>Cement</t>
  </si>
  <si>
    <t>Holcim AG</t>
  </si>
  <si>
    <t>CH0012214059</t>
  </si>
  <si>
    <t>529900M5G5HGXW4Z4S17</t>
  </si>
  <si>
    <t>HeidelbergCement AG</t>
  </si>
  <si>
    <t>LZ2C6E0W5W7LQMX5ZI37</t>
  </si>
  <si>
    <t>DE0006047004</t>
  </si>
  <si>
    <t>x</t>
  </si>
  <si>
    <t>Holcim Sustainability Performance Report 2021</t>
  </si>
  <si>
    <t>Sustainability Performance Report 2020 (holcim.com)</t>
  </si>
  <si>
    <t>LafargeHolcim Sustainability Performance Report 2019</t>
  </si>
  <si>
    <t>HeidelbergCement Annual Report 2021 (heidelbergmaterials.com)</t>
  </si>
  <si>
    <t>HeidelbergCement Annual Report 2020 (heidelbergmaterials.com)</t>
  </si>
  <si>
    <t>cement</t>
  </si>
  <si>
    <t>Mt Cement</t>
  </si>
  <si>
    <t>Mt Aggregates</t>
  </si>
  <si>
    <t>Mt Concrete</t>
  </si>
  <si>
    <t>Mt Asphalt</t>
  </si>
  <si>
    <t>aggregates</t>
  </si>
  <si>
    <t>concrete</t>
  </si>
  <si>
    <t>kg CO2e per (t Cement)</t>
  </si>
  <si>
    <t>kg CO2e/(t Cement)</t>
  </si>
  <si>
    <t>asphalt</t>
  </si>
  <si>
    <t>kWh</t>
  </si>
  <si>
    <t>https://www.nationalgrid.com/document/146706/download</t>
  </si>
  <si>
    <t>https://www.nationalgrid.com/document/146711/download</t>
  </si>
  <si>
    <t>t CO2e/GWh</t>
  </si>
  <si>
    <t>bcm CH4</t>
  </si>
  <si>
    <t>Mscf CH4</t>
  </si>
  <si>
    <t>US6362744095+Electricity Utilities</t>
  </si>
  <si>
    <t>US6362744095+Gas Utilities</t>
  </si>
  <si>
    <t>biogenic</t>
  </si>
  <si>
    <t>Ørsted</t>
  </si>
  <si>
    <t>W9NG6WMZIYEU8VEDOG48</t>
  </si>
  <si>
    <t>DK0060094928</t>
  </si>
  <si>
    <t>DK</t>
  </si>
  <si>
    <t>DKK</t>
  </si>
  <si>
    <t>https://orsted.com/-/media/annual2019/esg-performance-report-2019.pdf</t>
  </si>
  <si>
    <t>https://orsted.com/esgperformance2020</t>
  </si>
  <si>
    <t>https://orstedcdn.azureedge.net/-/media/annual2021/orsted-esg-performance-report-2021.ashx?rev=c025b5bb5f304fdbaaef0f94c70a60a8</t>
  </si>
  <si>
    <t>https://orsted.com/en/sustainability/sustainability-report</t>
  </si>
  <si>
    <t>DK0060094928+Electricity Utilities</t>
  </si>
  <si>
    <t>DK0060094928+Gas Utilities</t>
  </si>
  <si>
    <t>Ørsted Utility</t>
  </si>
  <si>
    <t>Ørsted Electric</t>
  </si>
  <si>
    <t>Ørsted Gas</t>
  </si>
  <si>
    <t>National Grid Electric</t>
  </si>
  <si>
    <t>National Grid Gas</t>
  </si>
  <si>
    <t>https://www.enel.com/content/dam/enel-com/documenti/investitori/sostenibilita/2019/sustainability-report_2019.pdf</t>
  </si>
  <si>
    <t>US29274F1049+Electricity Utilities</t>
  </si>
  <si>
    <t>https://www.enel.com/content/dam/enel-com/documenti/investitori/investire-in-enel/programmi-principali/en/sustainability-linked-financing-framework_february2023.pdf</t>
  </si>
  <si>
    <t>US29274F1049+Gas Utilities</t>
  </si>
  <si>
    <t>Enel Americas Electric</t>
  </si>
  <si>
    <t>Enel Americas Gas</t>
  </si>
  <si>
    <t>investment_value [EUR]</t>
  </si>
  <si>
    <t>E.ON</t>
  </si>
  <si>
    <t>EDP SA</t>
  </si>
  <si>
    <t>Nissan Motor Co Ltd</t>
  </si>
  <si>
    <t>Cie de Saint-Gobain SA</t>
  </si>
  <si>
    <t>Q9MAIUP40P25UFBFG033</t>
  </si>
  <si>
    <t>DE000ENAG999</t>
  </si>
  <si>
    <t>529900CLC3WDMGI9VH80</t>
  </si>
  <si>
    <t>PTEDP0AM0009</t>
  </si>
  <si>
    <t>Portugal</t>
  </si>
  <si>
    <t>353800DRBDH1LUTNAY26</t>
  </si>
  <si>
    <t>JP3672400003</t>
  </si>
  <si>
    <t>Renault SAS</t>
  </si>
  <si>
    <t>969500V06Q2Q3ELCWD59</t>
  </si>
  <si>
    <t>FR0000131906</t>
  </si>
  <si>
    <t>213800LNEAQECBWERP38</t>
  </si>
  <si>
    <t>FR0000125007</t>
  </si>
  <si>
    <t>GB2022_gesamt_EN_final.pdf</t>
  </si>
  <si>
    <t>EON_2021_Sustainability_Report.pdf</t>
  </si>
  <si>
    <t>GB20_US_final_internet.pdf</t>
  </si>
  <si>
    <t>DE000ENAG999+Electricity Utilities</t>
  </si>
  <si>
    <t>DE000ENAG999+Gas Utilities</t>
  </si>
  <si>
    <t>Integrated Report 2022 - website version.pdf</t>
  </si>
  <si>
    <t>https://www.edp.com/sites/default/files/2023-03/CTP_EN_Climate%20Transtion%20Plan.pdf</t>
  </si>
  <si>
    <t>ESGDB23_E_All.pdf</t>
  </si>
  <si>
    <t>SR22_E_All.pdf</t>
  </si>
  <si>
    <t>SR21_E_All.pdf</t>
  </si>
  <si>
    <t>g CO2e/pkm</t>
  </si>
  <si>
    <t>s3 intensity</t>
  </si>
  <si>
    <t>Mpkm</t>
  </si>
  <si>
    <t>integrated-annual-report_2022.pdf</t>
  </si>
  <si>
    <t>gross</t>
  </si>
  <si>
    <t xml:space="preserve">8R95QZMKZLJX5Q2XR704
</t>
  </si>
  <si>
    <t>National Grid RBR 2022-23 FINAL_3.pdf</t>
  </si>
  <si>
    <t>upstream</t>
  </si>
  <si>
    <t>downstream</t>
  </si>
  <si>
    <t>investments</t>
  </si>
  <si>
    <t>Mt CO2</t>
  </si>
  <si>
    <t>t CO2e/vehicle</t>
  </si>
  <si>
    <t>climate-report-renault-group.pdf</t>
  </si>
  <si>
    <t>https://www.renaultgroup.com/wp-content/uploads/2021/04/climate-report-renault-group.pdf</t>
  </si>
  <si>
    <t>vehicle</t>
  </si>
  <si>
    <t>s1s2s3 intensity</t>
  </si>
  <si>
    <t>s2 intensity</t>
  </si>
  <si>
    <t>equivalence</t>
  </si>
  <si>
    <t>pkm/vehicle</t>
  </si>
  <si>
    <t>4,9</t>
  </si>
  <si>
    <t>https://www.heidelbergmaterials.com/sites/default/files/2023-10/HM_ASR22_Key_figures_051023.xlsx</t>
  </si>
  <si>
    <t>https://www.heidelbergmaterials.com/sites/default/files/2023-05/HM_Annual_and_Sustainability_Report_2022.pdf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</si>
</sst>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yyyy\-mm\-dd;@"/>
    <numFmt numFmtId="165" formatCode="yyyy\-mm\-dd"/>
    <numFmt numFmtId="166" formatCode="_(* #,##0_);_(* \(#,##0\);_(* &quot;-&quot;??_);_(@_)"/>
    <numFmt numFmtId="167" formatCode="0.0"/>
  </numFmts>
  <fonts count="22">
    <font>
      <sz val="11"/>
      <color rgb="FF000000"/>
      <name val="Calibri"/>
      <family val="2"/>
      <charset val="1"/>
    </font>
    <font>
      <sz val="11"/>
      <color rgb="FFA6A6A6"/>
      <name val="Calibri (Body)"/>
      <charset val="1"/>
    </font>
    <font>
      <i/>
      <sz val="11"/>
      <color rgb="FF808080"/>
      <name val="Calibri"/>
      <family val="2"/>
      <charset val="1"/>
    </font>
    <font>
      <b/>
      <sz val="11"/>
      <color rgb="FF000000"/>
      <name val="Calibri"/>
      <family val="2"/>
      <charset val="1"/>
    </font>
    <font>
      <b/>
      <i/>
      <sz val="11"/>
      <color rgb="FF808080"/>
      <name val="Calibri"/>
      <family val="2"/>
      <charset val="1"/>
    </font>
    <font>
      <i/>
      <sz val="11"/>
      <color rgb="FFFF0000"/>
      <name val="Calibri"/>
      <family val="2"/>
      <charset val="1"/>
    </font>
    <font>
      <sz val="11"/>
      <name val="Calibri"/>
      <family val="2"/>
      <charset val="1"/>
    </font>
    <font>
      <sz val="11"/>
      <color rgb="FFFF0000"/>
      <name val="Calibri"/>
      <family val="2"/>
      <charset val="1"/>
    </font>
    <font>
      <b/>
      <sz val="11"/>
      <name val="Calibri"/>
      <family val="2"/>
      <charset val="1"/>
    </font>
    <font>
      <b/>
      <sz val="11"/>
      <color rgb="FF808080"/>
      <name val="Calibri"/>
      <family val="2"/>
      <charset val="1"/>
    </font>
    <font>
      <i/>
      <sz val="11"/>
      <color rgb="FF000000"/>
      <name val="Calibri"/>
      <family val="2"/>
      <charset val="1"/>
    </font>
    <font>
      <sz val="11"/>
      <color rgb="FF000000"/>
      <name val="Calibri"/>
      <family val="2"/>
    </font>
    <font>
      <b/>
      <sz val="11"/>
      <name val="Calibri"/>
      <family val="2"/>
    </font>
    <font>
      <b/>
      <sz val="11"/>
      <color rgb="FF888888"/>
      <name val="Calibri"/>
      <family val="2"/>
    </font>
    <font>
      <sz val="11"/>
      <color rgb="FF888888"/>
      <name val="Calibri"/>
      <family val="2"/>
      <charset val="1"/>
    </font>
    <font>
      <u/>
      <sz val="11"/>
      <color theme="10"/>
      <name val="Calibri"/>
      <family val="2"/>
      <charset val="1"/>
    </font>
    <font>
      <sz val="10"/>
      <color rgb="FF000000"/>
      <name val="Tahoma"/>
      <family val="2"/>
    </font>
    <font>
      <b/>
      <sz val="10"/>
      <color rgb="FF000000"/>
      <name val="Tahoma"/>
      <family val="2"/>
    </font>
    <font>
      <sz val="11"/>
      <color rgb="FF000000"/>
      <name val="+mn-lt"/>
      <charset val="1"/>
    </font>
    <font>
      <sz val="11"/>
      <name val="Calibri"/>
      <family val="2"/>
    </font>
    <font>
      <sz val="11"/>
      <color rgb="FF000000"/>
      <name val="Calibri"/>
      <family val="2"/>
    </font>
    <font>
      <sz val="11"/>
      <color rgb="FF232323"/>
      <name val="Calibri"/>
      <family val="2"/>
    </font>
  </fonts>
  <fills count="17">
    <fill>
      <patternFill patternType="none"/>
    </fill>
    <fill>
      <patternFill patternType="gray125"/>
    </fill>
    <fill>
      <patternFill patternType="solid">
        <fgColor rgb="FFFFC000"/>
        <bgColor rgb="FFFF9900"/>
      </patternFill>
    </fill>
    <fill>
      <patternFill patternType="solid">
        <fgColor rgb="FF4472C4"/>
        <bgColor rgb="FF666699"/>
      </patternFill>
    </fill>
    <fill>
      <patternFill patternType="solid">
        <fgColor rgb="FFA5A5A5"/>
        <bgColor rgb="FFA6A6A6"/>
      </patternFill>
    </fill>
    <fill>
      <patternFill patternType="solid">
        <fgColor rgb="FFC9C9C9"/>
        <bgColor rgb="FFCCCCFF"/>
      </patternFill>
    </fill>
    <fill>
      <patternFill patternType="solid">
        <fgColor rgb="FFE7E6E6"/>
        <bgColor rgb="FFE2F0D9"/>
      </patternFill>
    </fill>
    <fill>
      <patternFill patternType="solid">
        <fgColor rgb="FFED7D31"/>
        <bgColor rgb="FFFF8080"/>
      </patternFill>
    </fill>
    <fill>
      <patternFill patternType="solid">
        <fgColor rgb="FFFFD966"/>
        <bgColor rgb="FFFFCC99"/>
      </patternFill>
    </fill>
    <fill>
      <patternFill patternType="solid">
        <fgColor rgb="FFA9D18E"/>
        <bgColor rgb="FFC9C9C9"/>
      </patternFill>
    </fill>
    <fill>
      <patternFill patternType="solid">
        <fgColor rgb="FFFFF2CC"/>
        <bgColor rgb="FFF2F2F2"/>
      </patternFill>
    </fill>
    <fill>
      <patternFill patternType="solid">
        <fgColor rgb="FF808080"/>
        <bgColor rgb="FF666699"/>
      </patternFill>
    </fill>
    <fill>
      <patternFill patternType="solid">
        <fgColor rgb="FFFFFF00"/>
        <bgColor indexed="64"/>
      </patternFill>
    </fill>
    <fill>
      <patternFill patternType="solid">
        <fgColor rgb="FFEEEEEE"/>
      </patternFill>
    </fill>
    <fill>
      <patternFill patternType="solid">
        <fgColor rgb="FFFFFFFF"/>
      </patternFill>
    </fill>
    <fill>
      <patternFill patternType="solid">
        <fgColor rgb="FFE1BFFF"/>
        <bgColor rgb="FFC9C9C9"/>
      </patternFill>
    </fill>
    <fill>
      <patternFill patternType="solid">
        <fgColor theme="9" tint="0.79998168889431442"/>
        <bgColor indexed="64"/>
      </patternFill>
    </fill>
  </fills>
  <borders count="24">
    <border>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auto="1"/>
      </left>
      <right style="thin">
        <color auto="1"/>
      </right>
      <top style="thin">
        <color auto="1"/>
      </top>
      <bottom style="thin">
        <color auto="1"/>
      </bottom>
      <diagonal/>
    </border>
    <border>
      <left style="thin">
        <color rgb="FFC6C6C6"/>
      </left>
      <right style="thin">
        <color rgb="FFC6C6C6"/>
      </right>
      <top style="thin">
        <color rgb="FFC6C6C6"/>
      </top>
      <bottom style="thin">
        <color rgb="FFC6C6C6"/>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top style="thin">
        <color rgb="FF000000"/>
      </top>
      <bottom/>
      <diagonal/>
    </border>
    <border>
      <left/>
      <right style="thin">
        <color auto="1"/>
      </right>
      <top style="thin">
        <color auto="1"/>
      </top>
      <bottom/>
      <diagonal/>
    </border>
    <border>
      <left style="thin">
        <color auto="1"/>
      </left>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bottom/>
      <diagonal/>
    </border>
    <border>
      <left/>
      <right/>
      <top/>
      <bottom style="thin">
        <color auto="1"/>
      </bottom>
      <diagonal/>
    </border>
    <border>
      <left style="thin">
        <color auto="1"/>
      </left>
      <right style="thin">
        <color auto="1"/>
      </right>
      <top/>
      <bottom style="thin">
        <color rgb="FF000000"/>
      </bottom>
      <diagonal/>
    </border>
    <border>
      <left style="thin">
        <color auto="1"/>
      </left>
      <right style="thin">
        <color auto="1"/>
      </right>
      <top style="thin">
        <color rgb="FF000000"/>
      </top>
      <bottom style="thin">
        <color auto="1"/>
      </bottom>
      <diagonal/>
    </border>
    <border>
      <left style="thin">
        <color auto="1"/>
      </left>
      <right style="thin">
        <color auto="1"/>
      </right>
      <top style="thin">
        <color auto="1"/>
      </top>
      <bottom style="thin">
        <color rgb="FF000000"/>
      </bottom>
      <diagonal/>
    </border>
    <border>
      <left/>
      <right/>
      <top/>
      <bottom style="thin">
        <color rgb="FF000000"/>
      </bottom>
      <diagonal/>
    </border>
    <border>
      <left style="thin">
        <color auto="1"/>
      </left>
      <right style="thin">
        <color auto="1"/>
      </right>
      <top style="thin">
        <color rgb="FF000000"/>
      </top>
      <bottom/>
      <diagonal/>
    </border>
    <border>
      <left/>
      <right style="thin">
        <color indexed="64"/>
      </right>
      <top/>
      <bottom style="thin">
        <color rgb="FF000000"/>
      </bottom>
      <diagonal/>
    </border>
    <border>
      <left style="thin">
        <color rgb="FFC6C6C6"/>
      </left>
      <right style="thin">
        <color rgb="FFC6C6C6"/>
      </right>
      <top style="thin">
        <color rgb="FFC6C6C6"/>
      </top>
      <bottom style="thin">
        <color indexed="64"/>
      </bottom>
      <diagonal/>
    </border>
    <border>
      <left style="thin">
        <color rgb="FFC6C6C6"/>
      </left>
      <right style="thin">
        <color rgb="FFC6C6C6"/>
      </right>
      <top style="thin">
        <color indexed="64"/>
      </top>
      <bottom style="thin">
        <color rgb="FFC6C6C6"/>
      </bottom>
      <diagonal/>
    </border>
  </borders>
  <cellStyleXfs count="3">
    <xf numFmtId="0" fontId="0" fillId="0" borderId="0"/>
    <xf numFmtId="0" fontId="15" fillId="0" borderId="0" applyNumberFormat="0" applyFill="0" applyBorder="0" applyAlignment="0" applyProtection="0"/>
    <xf numFmtId="0" fontId="20" fillId="0" borderId="0"/>
  </cellStyleXfs>
  <cellXfs count="147">
    <xf numFmtId="0" fontId="0" fillId="0" borderId="0" xfId="0"/>
    <xf numFmtId="0" fontId="1" fillId="0" borderId="0" xfId="0" applyFont="1"/>
    <xf numFmtId="0" fontId="3" fillId="2" borderId="0" xfId="0" applyFont="1" applyFill="1"/>
    <xf numFmtId="11" fontId="0" fillId="0" borderId="0" xfId="0" applyNumberFormat="1"/>
    <xf numFmtId="0" fontId="8" fillId="8" borderId="0" xfId="0" applyFont="1" applyFill="1"/>
    <xf numFmtId="0" fontId="8" fillId="9" borderId="0" xfId="0" applyFont="1" applyFill="1"/>
    <xf numFmtId="0" fontId="9" fillId="9" borderId="0" xfId="0" applyFont="1" applyFill="1"/>
    <xf numFmtId="0" fontId="3" fillId="9" borderId="0" xfId="0" applyFont="1" applyFill="1"/>
    <xf numFmtId="0" fontId="3" fillId="10" borderId="1" xfId="0" applyFont="1" applyFill="1" applyBorder="1" applyAlignment="1">
      <alignment vertical="center"/>
    </xf>
    <xf numFmtId="0" fontId="3" fillId="10" borderId="2" xfId="0" applyFont="1" applyFill="1" applyBorder="1" applyAlignment="1">
      <alignment vertical="center" wrapText="1"/>
    </xf>
    <xf numFmtId="0" fontId="3" fillId="10" borderId="2" xfId="0" applyFont="1" applyFill="1" applyBorder="1" applyAlignment="1">
      <alignment wrapText="1"/>
    </xf>
    <xf numFmtId="0" fontId="3" fillId="10" borderId="2" xfId="0" applyFont="1" applyFill="1" applyBorder="1"/>
    <xf numFmtId="0" fontId="3" fillId="10" borderId="3" xfId="0" applyFont="1" applyFill="1" applyBorder="1"/>
    <xf numFmtId="0" fontId="0" fillId="2" borderId="0" xfId="0" applyFill="1" applyAlignment="1">
      <alignment vertical="center"/>
    </xf>
    <xf numFmtId="0" fontId="3" fillId="0" borderId="0" xfId="0" applyFont="1" applyAlignment="1">
      <alignment horizontal="left" vertical="center" wrapText="1"/>
    </xf>
    <xf numFmtId="0" fontId="0" fillId="0" borderId="0" xfId="0" applyAlignment="1">
      <alignment horizontal="left" vertical="center" wrapText="1"/>
    </xf>
    <xf numFmtId="0" fontId="0" fillId="0" borderId="0" xfId="0" applyAlignment="1">
      <alignment vertical="center" wrapText="1"/>
    </xf>
    <xf numFmtId="0" fontId="4" fillId="0" borderId="0" xfId="0" applyFont="1" applyAlignment="1">
      <alignment horizontal="left" vertical="center" wrapText="1"/>
    </xf>
    <xf numFmtId="0" fontId="2" fillId="0" borderId="0" xfId="0" applyFont="1" applyAlignment="1">
      <alignment vertical="center" wrapText="1"/>
    </xf>
    <xf numFmtId="0" fontId="2" fillId="0" borderId="0" xfId="0" applyFont="1"/>
    <xf numFmtId="0" fontId="11" fillId="0" borderId="0" xfId="0" applyFont="1" applyAlignment="1">
      <alignment wrapText="1"/>
    </xf>
    <xf numFmtId="164" fontId="3" fillId="0" borderId="0" xfId="0" applyNumberFormat="1" applyFont="1" applyAlignment="1">
      <alignment horizontal="left" vertical="center" wrapText="1"/>
    </xf>
    <xf numFmtId="0" fontId="0" fillId="3" borderId="0" xfId="0" applyFill="1" applyAlignment="1">
      <alignment vertical="center" wrapText="1"/>
    </xf>
    <xf numFmtId="0" fontId="3" fillId="0" borderId="0" xfId="0" applyFont="1" applyAlignment="1">
      <alignment vertical="center" wrapText="1"/>
    </xf>
    <xf numFmtId="0" fontId="0" fillId="0" borderId="0" xfId="0" applyAlignment="1">
      <alignment vertical="center"/>
    </xf>
    <xf numFmtId="0" fontId="0" fillId="4" borderId="0" xfId="0" applyFill="1" applyAlignment="1">
      <alignment vertical="center"/>
    </xf>
    <xf numFmtId="0" fontId="3" fillId="6" borderId="0" xfId="0" applyFont="1" applyFill="1" applyAlignment="1">
      <alignment vertical="center" wrapText="1"/>
    </xf>
    <xf numFmtId="0" fontId="5" fillId="0" borderId="0" xfId="0" applyFont="1" applyAlignment="1">
      <alignment wrapText="1"/>
    </xf>
    <xf numFmtId="0" fontId="10" fillId="0" borderId="0" xfId="0" applyFont="1"/>
    <xf numFmtId="0" fontId="3" fillId="5" borderId="0" xfId="0" applyFont="1" applyFill="1" applyAlignment="1">
      <alignment vertical="center" wrapText="1"/>
    </xf>
    <xf numFmtId="0" fontId="3" fillId="11" borderId="0" xfId="0" applyFont="1" applyFill="1" applyAlignment="1">
      <alignment vertical="center" wrapText="1"/>
    </xf>
    <xf numFmtId="0" fontId="0" fillId="7" borderId="0" xfId="0" applyFill="1" applyAlignment="1">
      <alignment vertical="center" wrapText="1"/>
    </xf>
    <xf numFmtId="0" fontId="0" fillId="9" borderId="0" xfId="0" applyFill="1" applyAlignment="1">
      <alignment vertical="center"/>
    </xf>
    <xf numFmtId="0" fontId="2" fillId="0" borderId="0" xfId="0" applyFont="1" applyAlignment="1">
      <alignment wrapText="1"/>
    </xf>
    <xf numFmtId="0" fontId="3" fillId="0" borderId="0" xfId="0" applyFont="1" applyAlignment="1">
      <alignment wrapText="1"/>
    </xf>
    <xf numFmtId="0" fontId="6" fillId="8" borderId="0" xfId="0" applyFont="1" applyFill="1" applyAlignment="1">
      <alignment vertical="center"/>
    </xf>
    <xf numFmtId="0" fontId="0" fillId="12" borderId="0" xfId="0" applyFill="1"/>
    <xf numFmtId="0" fontId="1" fillId="12" borderId="0" xfId="0" applyFont="1" applyFill="1"/>
    <xf numFmtId="0" fontId="6" fillId="12" borderId="0" xfId="0" applyFont="1" applyFill="1"/>
    <xf numFmtId="9" fontId="0" fillId="12" borderId="0" xfId="0" applyNumberFormat="1" applyFill="1"/>
    <xf numFmtId="0" fontId="0" fillId="0" borderId="0" xfId="0" applyAlignment="1">
      <alignment wrapText="1"/>
    </xf>
    <xf numFmtId="0" fontId="6" fillId="0" borderId="0" xfId="0" applyFont="1"/>
    <xf numFmtId="0" fontId="7" fillId="0" borderId="0" xfId="0" applyFont="1"/>
    <xf numFmtId="3" fontId="0" fillId="0" borderId="0" xfId="0" applyNumberFormat="1"/>
    <xf numFmtId="9" fontId="0" fillId="0" borderId="0" xfId="0" applyNumberFormat="1"/>
    <xf numFmtId="0" fontId="12" fillId="0" borderId="4" xfId="0" applyFont="1" applyBorder="1" applyAlignment="1">
      <alignment horizontal="left" vertical="center"/>
    </xf>
    <xf numFmtId="0" fontId="12" fillId="2" borderId="4" xfId="0" applyFont="1" applyFill="1" applyBorder="1" applyAlignment="1">
      <alignment horizontal="center" vertical="top"/>
    </xf>
    <xf numFmtId="0" fontId="13" fillId="2" borderId="4" xfId="0" applyFont="1" applyFill="1" applyBorder="1" applyAlignment="1">
      <alignment horizontal="center" vertical="top"/>
    </xf>
    <xf numFmtId="165" fontId="12" fillId="2" borderId="4" xfId="0" applyNumberFormat="1" applyFont="1" applyFill="1" applyBorder="1" applyAlignment="1">
      <alignment horizontal="center" vertical="top"/>
    </xf>
    <xf numFmtId="0" fontId="14" fillId="0" borderId="0" xfId="0" applyFont="1"/>
    <xf numFmtId="165" fontId="0" fillId="0" borderId="0" xfId="0" applyNumberFormat="1"/>
    <xf numFmtId="0" fontId="12" fillId="0" borderId="4" xfId="0" applyFont="1" applyBorder="1" applyAlignment="1">
      <alignment horizontal="center" vertical="top"/>
    </xf>
    <xf numFmtId="0" fontId="12" fillId="3" borderId="4" xfId="0" applyFont="1" applyFill="1" applyBorder="1" applyAlignment="1">
      <alignment horizontal="center" vertical="top"/>
    </xf>
    <xf numFmtId="165" fontId="12" fillId="0" borderId="4" xfId="0" applyNumberFormat="1" applyFont="1" applyBorder="1" applyAlignment="1">
      <alignment horizontal="center" vertical="top"/>
    </xf>
    <xf numFmtId="0" fontId="12" fillId="13" borderId="5" xfId="0" applyFont="1" applyFill="1" applyBorder="1" applyAlignment="1">
      <alignment horizontal="center" vertical="top"/>
    </xf>
    <xf numFmtId="0" fontId="12" fillId="14" borderId="5" xfId="0" applyFont="1" applyFill="1" applyBorder="1" applyAlignment="1">
      <alignment horizontal="center" vertical="top"/>
    </xf>
    <xf numFmtId="0" fontId="0" fillId="13" borderId="5" xfId="0" applyFill="1" applyBorder="1"/>
    <xf numFmtId="0" fontId="0" fillId="14" borderId="5" xfId="0" applyFill="1" applyBorder="1"/>
    <xf numFmtId="0" fontId="15" fillId="13" borderId="5" xfId="1" applyFill="1" applyBorder="1"/>
    <xf numFmtId="0" fontId="15" fillId="14" borderId="5" xfId="1" applyFill="1" applyBorder="1"/>
    <xf numFmtId="1" fontId="12" fillId="0" borderId="0" xfId="0" applyNumberFormat="1" applyFont="1" applyAlignment="1">
      <alignment horizontal="center" vertical="top"/>
    </xf>
    <xf numFmtId="1" fontId="0" fillId="0" borderId="0" xfId="0" applyNumberFormat="1"/>
    <xf numFmtId="0" fontId="8" fillId="15" borderId="0" xfId="0" applyFont="1" applyFill="1"/>
    <xf numFmtId="0" fontId="15" fillId="0" borderId="0" xfId="1"/>
    <xf numFmtId="0" fontId="0" fillId="0" borderId="9" xfId="0" applyBorder="1"/>
    <xf numFmtId="14" fontId="0" fillId="0" borderId="0" xfId="0" applyNumberFormat="1"/>
    <xf numFmtId="0" fontId="12" fillId="0" borderId="6" xfId="0" applyFont="1" applyBorder="1" applyAlignment="1">
      <alignment horizontal="center" vertical="top"/>
    </xf>
    <xf numFmtId="165" fontId="0" fillId="12" borderId="0" xfId="0" applyNumberFormat="1" applyFill="1"/>
    <xf numFmtId="166" fontId="0" fillId="0" borderId="0" xfId="0" applyNumberFormat="1"/>
    <xf numFmtId="0" fontId="12" fillId="12" borderId="4" xfId="0" applyFont="1" applyFill="1" applyBorder="1" applyAlignment="1">
      <alignment horizontal="left" vertical="center"/>
    </xf>
    <xf numFmtId="0" fontId="14" fillId="12" borderId="0" xfId="0" applyFont="1" applyFill="1"/>
    <xf numFmtId="166" fontId="0" fillId="12" borderId="0" xfId="0" applyNumberFormat="1" applyFill="1"/>
    <xf numFmtId="0" fontId="12" fillId="0" borderId="17" xfId="0" applyFont="1" applyBorder="1" applyAlignment="1">
      <alignment horizontal="center" vertical="top"/>
    </xf>
    <xf numFmtId="164" fontId="3" fillId="0" borderId="0" xfId="0" applyNumberFormat="1" applyFont="1"/>
    <xf numFmtId="0" fontId="12" fillId="0" borderId="18" xfId="0" applyFont="1" applyBorder="1" applyAlignment="1">
      <alignment horizontal="center" vertical="top"/>
    </xf>
    <xf numFmtId="0" fontId="0" fillId="0" borderId="19" xfId="0" applyBorder="1"/>
    <xf numFmtId="0" fontId="12" fillId="0" borderId="8" xfId="0" applyFont="1" applyBorder="1" applyAlignment="1">
      <alignment horizontal="center" vertical="top"/>
    </xf>
    <xf numFmtId="165" fontId="0" fillId="0" borderId="19" xfId="0" applyNumberFormat="1" applyBorder="1"/>
    <xf numFmtId="0" fontId="0" fillId="0" borderId="11" xfId="0" applyBorder="1"/>
    <xf numFmtId="0" fontId="0" fillId="0" borderId="15" xfId="0" applyBorder="1"/>
    <xf numFmtId="165" fontId="0" fillId="0" borderId="15" xfId="0" applyNumberFormat="1" applyBorder="1"/>
    <xf numFmtId="0" fontId="0" fillId="0" borderId="12" xfId="0" applyBorder="1"/>
    <xf numFmtId="0" fontId="0" fillId="0" borderId="13" xfId="0" applyBorder="1"/>
    <xf numFmtId="165" fontId="0" fillId="0" borderId="13" xfId="0" applyNumberFormat="1" applyBorder="1"/>
    <xf numFmtId="164" fontId="3" fillId="0" borderId="13" xfId="0" applyNumberFormat="1" applyFont="1" applyBorder="1"/>
    <xf numFmtId="164" fontId="3" fillId="0" borderId="15" xfId="0" applyNumberFormat="1" applyFont="1" applyBorder="1"/>
    <xf numFmtId="0" fontId="12" fillId="0" borderId="0" xfId="0" applyFont="1" applyAlignment="1">
      <alignment horizontal="center" vertical="top"/>
    </xf>
    <xf numFmtId="0" fontId="12" fillId="16" borderId="5" xfId="0" applyFont="1" applyFill="1" applyBorder="1" applyAlignment="1">
      <alignment horizontal="center" vertical="top"/>
    </xf>
    <xf numFmtId="0" fontId="0" fillId="16" borderId="5" xfId="0" applyFill="1" applyBorder="1"/>
    <xf numFmtId="0" fontId="15" fillId="16" borderId="5" xfId="1" applyFill="1" applyBorder="1"/>
    <xf numFmtId="0" fontId="0" fillId="16" borderId="0" xfId="0" applyFill="1"/>
    <xf numFmtId="0" fontId="11" fillId="0" borderId="0" xfId="0" applyFont="1"/>
    <xf numFmtId="0" fontId="12" fillId="0" borderId="4" xfId="0" applyFont="1" applyBorder="1" applyAlignment="1">
      <alignment vertical="center"/>
    </xf>
    <xf numFmtId="11" fontId="19" fillId="0" borderId="0" xfId="0" applyNumberFormat="1" applyFont="1" applyAlignment="1">
      <alignment horizontal="center" vertical="top"/>
    </xf>
    <xf numFmtId="0" fontId="12" fillId="0" borderId="7" xfId="0" applyFont="1" applyBorder="1" applyAlignment="1">
      <alignment horizontal="left" vertical="center"/>
    </xf>
    <xf numFmtId="0" fontId="12" fillId="0" borderId="0" xfId="0" applyFont="1" applyAlignment="1">
      <alignment horizontal="left" vertical="center"/>
    </xf>
    <xf numFmtId="0" fontId="19" fillId="0" borderId="0" xfId="0" applyFont="1" applyAlignment="1">
      <alignment horizontal="left" vertical="center"/>
    </xf>
    <xf numFmtId="0" fontId="21" fillId="0" borderId="0" xfId="0" applyFont="1"/>
    <xf numFmtId="3" fontId="0" fillId="14" borderId="5" xfId="0" applyNumberFormat="1" applyFill="1" applyBorder="1"/>
    <xf numFmtId="3" fontId="0" fillId="13" borderId="5" xfId="0" applyNumberFormat="1" applyFill="1" applyBorder="1"/>
    <xf numFmtId="3" fontId="0" fillId="16" borderId="5" xfId="0" applyNumberFormat="1" applyFill="1" applyBorder="1"/>
    <xf numFmtId="2" fontId="0" fillId="0" borderId="0" xfId="0" applyNumberFormat="1"/>
    <xf numFmtId="167" fontId="0" fillId="0" borderId="0" xfId="0" applyNumberFormat="1"/>
    <xf numFmtId="167" fontId="0" fillId="14" borderId="5" xfId="0" applyNumberFormat="1" applyFill="1" applyBorder="1"/>
    <xf numFmtId="167" fontId="0" fillId="13" borderId="5" xfId="0" applyNumberFormat="1" applyFill="1" applyBorder="1"/>
    <xf numFmtId="167" fontId="0" fillId="16" borderId="5" xfId="0" applyNumberFormat="1" applyFill="1" applyBorder="1"/>
    <xf numFmtId="1" fontId="0" fillId="13" borderId="5" xfId="0" applyNumberFormat="1" applyFill="1" applyBorder="1"/>
    <xf numFmtId="1" fontId="0" fillId="14" borderId="5" xfId="0" applyNumberFormat="1" applyFill="1" applyBorder="1"/>
    <xf numFmtId="1" fontId="0" fillId="16" borderId="5" xfId="0" applyNumberFormat="1" applyFill="1" applyBorder="1"/>
    <xf numFmtId="2" fontId="0" fillId="13" borderId="5" xfId="0" applyNumberFormat="1" applyFill="1" applyBorder="1"/>
    <xf numFmtId="2" fontId="0" fillId="14" borderId="5" xfId="0" applyNumberFormat="1" applyFill="1" applyBorder="1"/>
    <xf numFmtId="2" fontId="0" fillId="16" borderId="5" xfId="0" applyNumberFormat="1" applyFill="1" applyBorder="1"/>
    <xf numFmtId="167" fontId="0" fillId="12" borderId="5" xfId="0" applyNumberFormat="1" applyFill="1" applyBorder="1"/>
    <xf numFmtId="0" fontId="21" fillId="12" borderId="0" xfId="0" applyFont="1" applyFill="1"/>
    <xf numFmtId="2" fontId="0" fillId="12" borderId="0" xfId="0" applyNumberFormat="1" applyFill="1"/>
    <xf numFmtId="0" fontId="0" fillId="13" borderId="22" xfId="0" applyFill="1" applyBorder="1"/>
    <xf numFmtId="0" fontId="0" fillId="14" borderId="22" xfId="0" applyFill="1" applyBorder="1"/>
    <xf numFmtId="0" fontId="0" fillId="16" borderId="22" xfId="0" applyFill="1" applyBorder="1"/>
    <xf numFmtId="1" fontId="0" fillId="0" borderId="13" xfId="0" applyNumberFormat="1" applyBorder="1"/>
    <xf numFmtId="0" fontId="0" fillId="16" borderId="13" xfId="0" applyFill="1" applyBorder="1"/>
    <xf numFmtId="0" fontId="0" fillId="13" borderId="23" xfId="0" applyFill="1" applyBorder="1"/>
    <xf numFmtId="0" fontId="12" fillId="0" borderId="8" xfId="0" applyFont="1" applyBorder="1" applyAlignment="1">
      <alignment horizontal="left" vertical="center"/>
    </xf>
    <xf numFmtId="0" fontId="12" fillId="0" borderId="4" xfId="0" applyFont="1" applyBorder="1" applyAlignment="1">
      <alignment horizontal="left" vertical="center"/>
    </xf>
    <xf numFmtId="0" fontId="12" fillId="0" borderId="8" xfId="0" applyFont="1" applyBorder="1" applyAlignment="1">
      <alignment vertical="center"/>
    </xf>
    <xf numFmtId="0" fontId="12" fillId="0" borderId="4" xfId="0" applyFont="1" applyBorder="1" applyAlignment="1">
      <alignment vertical="center"/>
    </xf>
    <xf numFmtId="0" fontId="12" fillId="0" borderId="20" xfId="0" applyFont="1" applyBorder="1" applyAlignment="1">
      <alignment horizontal="left" vertical="center"/>
    </xf>
    <xf numFmtId="0" fontId="12" fillId="0" borderId="7" xfId="0" applyFont="1" applyBorder="1" applyAlignment="1">
      <alignment horizontal="left" vertical="center"/>
    </xf>
    <xf numFmtId="0" fontId="12" fillId="0" borderId="6" xfId="0" applyFont="1" applyBorder="1" applyAlignment="1">
      <alignment horizontal="left" vertical="center"/>
    </xf>
    <xf numFmtId="0" fontId="12" fillId="0" borderId="17" xfId="0" applyFont="1" applyBorder="1" applyAlignment="1">
      <alignment vertical="center"/>
    </xf>
    <xf numFmtId="0" fontId="12" fillId="0" borderId="17" xfId="0" applyFont="1" applyBorder="1" applyAlignment="1">
      <alignment horizontal="left" vertical="center"/>
    </xf>
    <xf numFmtId="0" fontId="12" fillId="0" borderId="6" xfId="0" applyFont="1" applyBorder="1" applyAlignment="1">
      <alignment vertical="center"/>
    </xf>
    <xf numFmtId="0" fontId="12" fillId="0" borderId="7" xfId="0" applyFont="1" applyBorder="1" applyAlignment="1">
      <alignment vertical="center"/>
    </xf>
    <xf numFmtId="0" fontId="12" fillId="0" borderId="16" xfId="0" applyFont="1" applyBorder="1" applyAlignment="1">
      <alignment vertical="center"/>
    </xf>
    <xf numFmtId="0" fontId="12" fillId="0" borderId="16" xfId="0" applyFont="1" applyBorder="1" applyAlignment="1">
      <alignment horizontal="left" vertical="center"/>
    </xf>
    <xf numFmtId="0" fontId="12" fillId="0" borderId="10" xfId="0" applyFont="1" applyBorder="1" applyAlignment="1">
      <alignment horizontal="left" vertical="center"/>
    </xf>
    <xf numFmtId="0" fontId="12" fillId="0" borderId="14" xfId="0" applyFont="1" applyBorder="1" applyAlignment="1">
      <alignment horizontal="left" vertical="center"/>
    </xf>
    <xf numFmtId="0" fontId="12" fillId="0" borderId="21" xfId="0" applyFont="1" applyBorder="1" applyAlignment="1">
      <alignment horizontal="left" vertical="center"/>
    </xf>
    <xf numFmtId="0" fontId="12" fillId="0" borderId="18" xfId="0" applyFont="1" applyBorder="1" applyAlignment="1">
      <alignment vertical="center"/>
    </xf>
    <xf numFmtId="0" fontId="12" fillId="0" borderId="18" xfId="0" applyFont="1" applyBorder="1" applyAlignment="1">
      <alignment horizontal="left" vertical="center"/>
    </xf>
    <xf numFmtId="0" fontId="0" fillId="0" borderId="0" xfId="0" applyBorder="1"/>
    <xf numFmtId="164" fontId="3" fillId="0" borderId="0" xfId="0" applyNumberFormat="1" applyFont="1" applyBorder="1"/>
    <xf numFmtId="1" fontId="0" fillId="0" borderId="0" xfId="0" applyNumberFormat="1" applyBorder="1"/>
    <xf numFmtId="167" fontId="0" fillId="0" borderId="0" xfId="0" applyNumberFormat="1" applyBorder="1"/>
    <xf numFmtId="0" fontId="0" fillId="0" borderId="0" xfId="0" applyFill="1" applyBorder="1"/>
    <xf numFmtId="0" fontId="7" fillId="0" borderId="0" xfId="0" applyFont="1" applyFill="1"/>
    <xf numFmtId="0" fontId="0" fillId="0" borderId="0" xfId="0" applyFill="1"/>
    <xf numFmtId="4" fontId="0" fillId="12" borderId="0" xfId="0" applyNumberFormat="1" applyFill="1"/>
  </cellXfs>
  <cellStyles count="3">
    <cellStyle name="Hyperlink" xfId="1" builtinId="8"/>
    <cellStyle name="Normal" xfId="0" builtinId="0"/>
    <cellStyle name="Normal 2 2" xfId="2" xr:uid="{B62C9684-7BE4-F74F-AFE8-96D9DF812818}"/>
  </cellStyles>
  <dxfs count="0"/>
  <tableStyles count="0" defaultTableStyle="TableStyleMedium2" defaultPivotStyle="PivotStyleLight16"/>
  <colors>
    <indexedColors>
      <rgbColor rgb="FF000000"/>
      <rgbColor rgb="FFF2F2F2"/>
      <rgbColor rgb="FFFF0000"/>
      <rgbColor rgb="FF00FF00"/>
      <rgbColor rgb="FF0000FF"/>
      <rgbColor rgb="FFFFFF00"/>
      <rgbColor rgb="FFFF00FF"/>
      <rgbColor rgb="FF00FFFF"/>
      <rgbColor rgb="FF800000"/>
      <rgbColor rgb="FF008000"/>
      <rgbColor rgb="FF000080"/>
      <rgbColor rgb="FF808000"/>
      <rgbColor rgb="FF800080"/>
      <rgbColor rgb="FF008080"/>
      <rgbColor rgb="FFC9C9C9"/>
      <rgbColor rgb="FF808080"/>
      <rgbColor rgb="FFA6A6A6"/>
      <rgbColor rgb="FF993366"/>
      <rgbColor rgb="FFFFF2CC"/>
      <rgbColor rgb="FFE7E6E6"/>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E2F0D9"/>
      <rgbColor rgb="FFFFD966"/>
      <rgbColor rgb="FFA9D18E"/>
      <rgbColor rgb="FFFF99CC"/>
      <rgbColor rgb="FFCC99FF"/>
      <rgbColor rgb="FFFFCC99"/>
      <rgbColor rgb="FF4472C4"/>
      <rgbColor rgb="FF33CCCC"/>
      <rgbColor rgb="FF99CC00"/>
      <rgbColor rgb="FFFFC000"/>
      <rgbColor rgb="FFFF9900"/>
      <rgbColor rgb="FFED7D31"/>
      <rgbColor rgb="FF666699"/>
      <rgbColor rgb="FFA5A5A5"/>
      <rgbColor rgb="FF003366"/>
      <rgbColor rgb="FF339966"/>
      <rgbColor rgb="FF003300"/>
      <rgbColor rgb="FF333300"/>
      <rgbColor rgb="FF993300"/>
      <rgbColor rgb="FF993366"/>
      <rgbColor rgb="FF333399"/>
      <rgbColor rgb="FF232323"/>
      <rgbColor rgb="00003366"/>
      <rgbColor rgb="00339966"/>
      <rgbColor rgb="00003300"/>
      <rgbColor rgb="00333300"/>
      <rgbColor rgb="00993300"/>
      <rgbColor rgb="00993366"/>
      <rgbColor rgb="00333399"/>
      <rgbColor rgb="00333333"/>
    </indexedColors>
    <mruColors>
      <color rgb="FFE1BFFF"/>
      <color rgb="FFE5D0FE"/>
      <color rgb="FFB096C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10</xdr:col>
      <xdr:colOff>297160</xdr:colOff>
      <xdr:row>52</xdr:row>
      <xdr:rowOff>60120</xdr:rowOff>
    </xdr:to>
    <xdr:sp macro="" textlink="">
      <xdr:nvSpPr>
        <xdr:cNvPr id="2" name="TextBox 1">
          <a:extLst>
            <a:ext uri="{FF2B5EF4-FFF2-40B4-BE49-F238E27FC236}">
              <a16:creationId xmlns:a16="http://schemas.microsoft.com/office/drawing/2014/main" id="{4936A436-A307-A540-93E1-1C335151C930}"/>
            </a:ext>
          </a:extLst>
        </xdr:cNvPr>
        <xdr:cNvSpPr/>
      </xdr:nvSpPr>
      <xdr:spPr>
        <a:xfrm>
          <a:off x="660400" y="194733"/>
          <a:ext cx="6240760" cy="9991520"/>
        </a:xfrm>
        <a:prstGeom prst="rect">
          <a:avLst/>
        </a:prstGeom>
        <a:solidFill>
          <a:srgbClr val="FFFFFF"/>
        </a:solidFill>
        <a:ln w="9525">
          <a:solidFill>
            <a:srgbClr val="BCBCBC"/>
          </a:solidFill>
          <a:round/>
        </a:ln>
      </xdr:spPr>
      <xdr:style>
        <a:lnRef idx="0">
          <a:scrgbClr r="0" g="0" b="0"/>
        </a:lnRef>
        <a:fillRef idx="0">
          <a:scrgbClr r="0" g="0" b="0"/>
        </a:fillRef>
        <a:effectRef idx="0">
          <a:scrgbClr r="0" g="0" b="0"/>
        </a:effectRef>
        <a:fontRef idx="minor"/>
      </xdr:style>
      <xdr:txBody>
        <a:bodyPr vertOverflow="clip" horzOverflow="clip" lIns="90000" tIns="45000" rIns="90000" bIns="45000" anchor="t">
          <a:noAutofit/>
        </a:bodyPr>
        <a:lstStyle/>
        <a:p>
          <a:pPr>
            <a:lnSpc>
              <a:spcPct val="100000"/>
            </a:lnSpc>
          </a:pPr>
          <a:r>
            <a:rPr lang="en-US" sz="1100" b="1" strike="noStrike" spc="-1">
              <a:solidFill>
                <a:srgbClr val="000000"/>
              </a:solidFill>
              <a:latin typeface="Calibri"/>
            </a:rPr>
            <a:t>ITR Input data template </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The ITR tool can compute the temperature alignment equivalent for companies in four highest emitting sectors: Utilities, Steel, Oil and Gas and Automobiles.</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To calculate  temperature alignment scores, the tool requires several types of data, in 2 separate tabs:</a:t>
          </a:r>
          <a:endParaRPr lang="en-US" sz="1100" b="0" strike="noStrike" spc="-1">
            <a:latin typeface="Times New Roman"/>
          </a:endParaRPr>
        </a:p>
        <a:p>
          <a:pPr>
            <a:lnSpc>
              <a:spcPct val="100000"/>
            </a:lnSpc>
          </a:pPr>
          <a:r>
            <a:rPr lang="en-US" sz="1100" b="0" i="1" strike="noStrike" spc="-1">
              <a:solidFill>
                <a:srgbClr val="000000"/>
              </a:solidFill>
              <a:latin typeface="Calibri"/>
            </a:rPr>
            <a:t>- </a:t>
          </a:r>
          <a:r>
            <a:rPr lang="en-US" sz="1100" b="0" i="1" u="sng" strike="noStrike" spc="-1">
              <a:solidFill>
                <a:srgbClr val="000000"/>
              </a:solidFill>
              <a:uFillTx/>
              <a:latin typeface="Calibri"/>
            </a:rPr>
            <a:t>ITR Input data</a:t>
          </a:r>
          <a:r>
            <a:rPr lang="en-US" sz="1100" b="0" strike="noStrike" spc="-1">
              <a:solidFill>
                <a:srgbClr val="000000"/>
              </a:solidFill>
              <a:latin typeface="Calibri"/>
            </a:rPr>
            <a:t>:</a:t>
          </a:r>
          <a:endParaRPr lang="en-US" sz="1100" b="0" strike="noStrike" spc="-1">
            <a:latin typeface="Times New Roman"/>
          </a:endParaRPr>
        </a:p>
        <a:p>
          <a:pPr>
            <a:lnSpc>
              <a:spcPct val="100000"/>
            </a:lnSpc>
          </a:pPr>
          <a:r>
            <a:rPr lang="en-US" sz="1100" b="1" strike="noStrike" spc="-1">
              <a:solidFill>
                <a:srgbClr val="000000"/>
              </a:solidFill>
              <a:latin typeface="Calibri"/>
            </a:rPr>
            <a:t>Fundamental data: </a:t>
          </a:r>
          <a:r>
            <a:rPr lang="en-US" sz="1100" b="0" strike="noStrike" spc="-1">
              <a:solidFill>
                <a:srgbClr val="000000"/>
              </a:solidFill>
              <a:latin typeface="Calibri"/>
            </a:rPr>
            <a:t>information on a security level about your investments such as name, identifiers, and investment values.</a:t>
          </a:r>
          <a:endParaRPr lang="en-US" sz="1100" b="0" strike="noStrike" spc="-1">
            <a:latin typeface="Times New Roman"/>
          </a:endParaRPr>
        </a:p>
        <a:p>
          <a:pPr>
            <a:lnSpc>
              <a:spcPct val="100000"/>
            </a:lnSpc>
          </a:pPr>
          <a:r>
            <a:rPr lang="en-US" sz="1100" b="1" strike="noStrike" spc="-1">
              <a:solidFill>
                <a:srgbClr val="000000"/>
              </a:solidFill>
              <a:latin typeface="Calibri"/>
            </a:rPr>
            <a:t>Emissions data: </a:t>
          </a:r>
          <a:r>
            <a:rPr lang="en-US" sz="1100" b="0" strike="noStrike" spc="-1">
              <a:solidFill>
                <a:srgbClr val="000000"/>
              </a:solidFill>
              <a:latin typeface="Calibri"/>
            </a:rPr>
            <a:t>Reported GHG emissions for the past 5 years (timeseries) for scope 1 and scope 2 of investee companies </a:t>
          </a:r>
          <a:endParaRPr lang="en-US" sz="1100" b="0" strike="noStrike" spc="-1">
            <a:latin typeface="Times New Roman"/>
          </a:endParaRPr>
        </a:p>
        <a:p>
          <a:pPr>
            <a:lnSpc>
              <a:spcPct val="100000"/>
            </a:lnSpc>
          </a:pPr>
          <a:r>
            <a:rPr lang="en-US" sz="1100" b="1" strike="noStrike" spc="-1">
              <a:solidFill>
                <a:srgbClr val="000000"/>
              </a:solidFill>
              <a:latin typeface="Calibri"/>
            </a:rPr>
            <a:t>Production data</a:t>
          </a:r>
          <a:r>
            <a:rPr lang="en-US" sz="1100" b="0" strike="noStrike" spc="-1">
              <a:solidFill>
                <a:srgbClr val="000000"/>
              </a:solidFill>
              <a:latin typeface="Calibri"/>
            </a:rPr>
            <a:t>: reported production data specific to each sector of investee companies, for the past 5 years</a:t>
          </a:r>
          <a:endParaRPr lang="en-US" sz="1100" b="0" strike="noStrike" spc="-1">
            <a:latin typeface="Times New Roman"/>
          </a:endParaRPr>
        </a:p>
        <a:p>
          <a:pPr>
            <a:lnSpc>
              <a:spcPct val="100000"/>
            </a:lnSpc>
          </a:pPr>
          <a:r>
            <a:rPr lang="en-US" sz="1100" b="0" i="1" strike="noStrike" spc="-1">
              <a:solidFill>
                <a:srgbClr val="000000"/>
              </a:solidFill>
              <a:latin typeface="Calibri"/>
            </a:rPr>
            <a:t>- </a:t>
          </a:r>
          <a:r>
            <a:rPr lang="en-US" sz="1100" b="0" i="1" u="sng" strike="noStrike" spc="-1">
              <a:solidFill>
                <a:srgbClr val="000000"/>
              </a:solidFill>
              <a:uFillTx/>
              <a:latin typeface="Calibri"/>
            </a:rPr>
            <a:t>ITR Target input data:</a:t>
          </a:r>
          <a:endParaRPr lang="en-US" sz="1100" b="0" strike="noStrike" spc="-1">
            <a:latin typeface="Times New Roman"/>
          </a:endParaRPr>
        </a:p>
        <a:p>
          <a:pPr>
            <a:lnSpc>
              <a:spcPct val="100000"/>
            </a:lnSpc>
          </a:pPr>
          <a:r>
            <a:rPr lang="en-US" sz="1100" b="1" strike="noStrike" spc="-1">
              <a:solidFill>
                <a:srgbClr val="000000"/>
              </a:solidFill>
              <a:latin typeface="Calibri"/>
            </a:rPr>
            <a:t>Target data: </a:t>
          </a:r>
          <a:r>
            <a:rPr lang="en-US" sz="1100" b="0" strike="noStrike" spc="-1">
              <a:solidFill>
                <a:srgbClr val="000000"/>
              </a:solidFill>
              <a:latin typeface="Calibri"/>
            </a:rPr>
            <a:t>Data about the scope &amp; characteristics of the target set by investee companies</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As a user, you will need to supply information about the portfolio and all investee companies on a security level in the "</a:t>
          </a:r>
          <a:r>
            <a:rPr lang="en-US" sz="1100" b="1" strike="noStrike" spc="-1">
              <a:solidFill>
                <a:srgbClr val="000000"/>
              </a:solidFill>
              <a:latin typeface="Calibri"/>
            </a:rPr>
            <a:t>ITR input data</a:t>
          </a:r>
          <a:r>
            <a:rPr lang="en-US" sz="1100" b="0" strike="noStrike" spc="-1">
              <a:solidFill>
                <a:srgbClr val="000000"/>
              </a:solidFill>
              <a:latin typeface="Calibri"/>
            </a:rPr>
            <a:t>" tab and in the "</a:t>
          </a:r>
          <a:r>
            <a:rPr lang="en-US" sz="1100" b="1" strike="noStrike" spc="-1">
              <a:solidFill>
                <a:srgbClr val="000000"/>
              </a:solidFill>
              <a:latin typeface="Calibri"/>
            </a:rPr>
            <a:t>ITR target input data</a:t>
          </a:r>
          <a:r>
            <a:rPr lang="en-US" sz="1100" b="0" strike="noStrike" spc="-1">
              <a:solidFill>
                <a:srgbClr val="000000"/>
              </a:solidFill>
              <a:latin typeface="Calibri"/>
            </a:rPr>
            <a:t>" tab. The </a:t>
          </a:r>
          <a:r>
            <a:rPr lang="en-US" sz="1100" b="1" strike="noStrike" spc="-1">
              <a:solidFill>
                <a:srgbClr val="000000"/>
              </a:solidFill>
              <a:latin typeface="Calibri"/>
            </a:rPr>
            <a:t>input data </a:t>
          </a:r>
          <a:r>
            <a:rPr lang="en-US" sz="1100" b="0" strike="noStrike" spc="-1">
              <a:solidFill>
                <a:srgbClr val="000000"/>
              </a:solidFill>
              <a:latin typeface="Calibri"/>
            </a:rPr>
            <a:t>includes both fundamental data as well as historic information on emissions and production levels for the past 5 years that are required to compute ITR results. The target data includes </a:t>
          </a:r>
          <a:r>
            <a:rPr lang="en-US" sz="1100" b="1" strike="noStrike" spc="-1">
              <a:solidFill>
                <a:srgbClr val="000000"/>
              </a:solidFill>
              <a:latin typeface="Calibri"/>
            </a:rPr>
            <a:t>reduction ambition, scope, begin and end year of the target </a:t>
          </a:r>
          <a:r>
            <a:rPr lang="en-US" sz="1100" b="0" strike="noStrike" spc="-1">
              <a:solidFill>
                <a:srgbClr val="000000"/>
              </a:solidFill>
              <a:latin typeface="Calibri"/>
            </a:rPr>
            <a:t>also required to compute the ITR result. </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Once you have filled the input and target templates... </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The tool comes with several scenarios related to emission intensity and production projections from OECM and TPI.  It is possible to add other benchmark scenarios to the tool, but beyond the scope of this document.</a:t>
          </a:r>
          <a:endParaRPr lang="en-US" sz="1100" b="0" strike="noStrike" spc="-1">
            <a:latin typeface="Times New Roman"/>
          </a:endParaRPr>
        </a:p>
        <a:p>
          <a:pPr>
            <a:lnSpc>
              <a:spcPct val="100000"/>
            </a:lnSpc>
          </a:pPr>
          <a:r>
            <a:rPr lang="en-US" sz="1100" b="0" strike="noStrike" spc="-1">
              <a:solidFill>
                <a:srgbClr val="000000"/>
              </a:solidFill>
              <a:latin typeface="Calibri"/>
            </a:rPr>
            <a:t>Please contact the ITR tool team if you would like to add additional scenarios for testing or evaluation purposes.</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The tool will compute projections based on benchmark projections, as well as both stated targets (target projections) and an extrapolation of the past 5 years of performance (trajectory projections).  The target projections are computed against both near-term (typically 2030) and long-term goals (stated netzero attainment goals, typically 2040 or 2050). With those projections computed, the tool will calculate the Implied Temperature Rise of each portfolio company as pair of temperature scores that that the user can then evaluate in a number of ways.</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Output:</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The GUI of the tool allows the user to assign, on a position-by-position basis,  a probability that the subject company will succeed in hitting their (presumably more aggressive) stated targets vs. merely continuing on the path of the past 5 years of carbon reductions.  When probabilities are not set the tool assigns a probability of 50%.</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strike="noStrike" spc="-1">
              <a:solidFill>
                <a:srgbClr val="000000"/>
              </a:solidFill>
              <a:latin typeface="Calibri"/>
            </a:rPr>
            <a:t>The user can also select how they want to weight each position's temperature score to compute an overall temperature score for their portfolio.  The effects of the weightings can be visualized in the tools GUI, and can also be downloaded as an additional column of data as an enrichment to the submitted portfolio.  The weighting methods are:</a:t>
          </a:r>
          <a:endParaRPr lang="en-US" sz="1100" b="0" strike="noStrike" spc="-1">
            <a:latin typeface="Times New Roman"/>
          </a:endParaRPr>
        </a:p>
        <a:p>
          <a:pPr>
            <a:lnSpc>
              <a:spcPct val="100000"/>
            </a:lnSpc>
          </a:pPr>
          <a:r>
            <a:rPr lang="en-US" sz="1100" b="0" strike="noStrike" spc="-1">
              <a:solidFill>
                <a:srgbClr val="000000"/>
              </a:solidFill>
              <a:latin typeface="Calibri"/>
            </a:rPr>
            <a:t>* WATS = weighted average size of position in portfolio</a:t>
          </a:r>
          <a:endParaRPr lang="en-US" sz="1100" b="0" strike="noStrike" spc="-1">
            <a:latin typeface="Times New Roman"/>
          </a:endParaRPr>
        </a:p>
        <a:p>
          <a:pPr>
            <a:lnSpc>
              <a:spcPct val="100000"/>
            </a:lnSpc>
          </a:pPr>
          <a:r>
            <a:rPr lang="en-US" sz="1100" b="0" strike="noStrike" spc="-1">
              <a:solidFill>
                <a:srgbClr val="000000"/>
              </a:solidFill>
              <a:latin typeface="Calibri"/>
            </a:rPr>
            <a:t>* TETS = weighted based on total emissions</a:t>
          </a:r>
          <a:endParaRPr lang="en-US" sz="1100" b="0" strike="noStrike" spc="-1">
            <a:latin typeface="Times New Roman"/>
          </a:endParaRPr>
        </a:p>
        <a:p>
          <a:pPr>
            <a:lnSpc>
              <a:spcPct val="100000"/>
            </a:lnSpc>
          </a:pPr>
          <a:r>
            <a:rPr lang="en-US" sz="1100" b="0" strike="noStrike" spc="-1">
              <a:solidFill>
                <a:srgbClr val="000000"/>
              </a:solidFill>
              <a:latin typeface="Calibri"/>
            </a:rPr>
            <a:t>* MOTS = market cap weights</a:t>
          </a:r>
          <a:endParaRPr lang="en-US" sz="1100" b="0" strike="noStrike" spc="-1">
            <a:latin typeface="Times New Roman"/>
          </a:endParaRPr>
        </a:p>
        <a:p>
          <a:pPr>
            <a:lnSpc>
              <a:spcPct val="100000"/>
            </a:lnSpc>
          </a:pPr>
          <a:r>
            <a:rPr lang="en-US" sz="1100" b="0" strike="noStrike" spc="-1">
              <a:solidFill>
                <a:srgbClr val="000000"/>
              </a:solidFill>
              <a:latin typeface="Calibri"/>
            </a:rPr>
            <a:t>* EOTS = enterprise value weights</a:t>
          </a:r>
          <a:endParaRPr lang="en-US" sz="1100" b="0" strike="noStrike" spc="-1">
            <a:latin typeface="Times New Roman"/>
          </a:endParaRPr>
        </a:p>
        <a:p>
          <a:pPr>
            <a:lnSpc>
              <a:spcPct val="100000"/>
            </a:lnSpc>
          </a:pPr>
          <a:r>
            <a:rPr lang="en-US" sz="1100" b="0" strike="noStrike" spc="-1">
              <a:solidFill>
                <a:srgbClr val="000000"/>
              </a:solidFill>
              <a:latin typeface="Calibri"/>
            </a:rPr>
            <a:t>* ECOTS = EVIC weights</a:t>
          </a:r>
          <a:endParaRPr lang="en-US" sz="1100" b="0" strike="noStrike" spc="-1">
            <a:latin typeface="Times New Roman"/>
          </a:endParaRPr>
        </a:p>
        <a:p>
          <a:pPr>
            <a:lnSpc>
              <a:spcPct val="100000"/>
            </a:lnSpc>
          </a:pPr>
          <a:r>
            <a:rPr lang="en-US" sz="1100" b="0" strike="noStrike" spc="-1">
              <a:solidFill>
                <a:srgbClr val="000000"/>
              </a:solidFill>
              <a:latin typeface="Calibri"/>
            </a:rPr>
            <a:t>* AOTS = asset weights</a:t>
          </a:r>
          <a:endParaRPr lang="en-US" sz="1100" b="0" strike="noStrike" spc="-1">
            <a:latin typeface="Times New Roman"/>
          </a:endParaRPr>
        </a:p>
        <a:p>
          <a:pPr>
            <a:lnSpc>
              <a:spcPct val="100000"/>
            </a:lnSpc>
          </a:pPr>
          <a:r>
            <a:rPr lang="en-US" sz="1100" b="0" strike="noStrike" spc="-1">
              <a:solidFill>
                <a:srgbClr val="000000"/>
              </a:solidFill>
              <a:latin typeface="Calibri"/>
            </a:rPr>
            <a:t>* ROTS = revenue weights</a:t>
          </a:r>
          <a:endParaRPr lang="en-US" sz="1100" b="0" strike="noStrike" spc="-1">
            <a:latin typeface="Times New Roman"/>
          </a:endParaRPr>
        </a:p>
        <a:p>
          <a:pPr>
            <a:lnSpc>
              <a:spcPct val="100000"/>
            </a:lnSpc>
          </a:pPr>
          <a:endParaRPr lang="en-US" sz="1100" b="0" strike="noStrike" spc="-1">
            <a:latin typeface="Times New Roman"/>
          </a:endParaRPr>
        </a:p>
        <a:p>
          <a:pPr>
            <a:lnSpc>
              <a:spcPct val="100000"/>
            </a:lnSpc>
          </a:pPr>
          <a:r>
            <a:rPr lang="en-US" sz="1100" b="0" i="1" strike="noStrike" spc="-1">
              <a:solidFill>
                <a:srgbClr val="000000"/>
              </a:solidFill>
              <a:latin typeface="Calibri"/>
            </a:rPr>
            <a:t>If you have any questions, please reach out to: </a:t>
          </a:r>
          <a:endParaRPr lang="en-US" sz="1100" b="0" strike="noStrike" spc="-1">
            <a:latin typeface="Times New Roman"/>
          </a:endParaRPr>
        </a:p>
        <a:p>
          <a:pPr>
            <a:lnSpc>
              <a:spcPct val="100000"/>
            </a:lnSpc>
          </a:pPr>
          <a:r>
            <a:rPr lang="en-US" sz="1100" b="0" strike="noStrike" spc="-1">
              <a:solidFill>
                <a:srgbClr val="000000"/>
              </a:solidFill>
              <a:latin typeface="Calibri"/>
            </a:rPr>
            <a:t>Franz.Croonenbrock@metafinanz.de</a:t>
          </a:r>
          <a:endParaRPr lang="en-US" sz="1100" b="0" strike="noStrike" spc="-1">
            <a:latin typeface="Times New Roman"/>
          </a:endParaRPr>
        </a:p>
        <a:p>
          <a:pPr>
            <a:lnSpc>
              <a:spcPct val="100000"/>
            </a:lnSpc>
          </a:pPr>
          <a:r>
            <a:rPr lang="en-US" sz="1100" b="0" strike="noStrike" spc="-1">
              <a:solidFill>
                <a:srgbClr val="000000"/>
              </a:solidFill>
              <a:latin typeface="Calibri"/>
            </a:rPr>
            <a:t>roland.oehen-kanzow@metafinanz.de</a:t>
          </a:r>
          <a:endParaRPr lang="en-US" sz="1100" b="0" strike="noStrike" spc="-1">
            <a:latin typeface="Times New Roman"/>
          </a:endParaRPr>
        </a:p>
        <a:p>
          <a:pPr>
            <a:lnSpc>
              <a:spcPct val="100000"/>
            </a:lnSpc>
          </a:pPr>
          <a:endParaRPr lang="en-US" sz="1100" b="0" strike="noStrike" spc="-1">
            <a:latin typeface="Times New Roman"/>
          </a:endParaRPr>
        </a:p>
      </xdr:txBody>
    </xdr:sp>
    <xdr:clientData/>
  </xdr:twoCellAnchor>
</xdr:wsDr>
</file>

<file path=xl/persons/person.xml><?xml version="1.0" encoding="utf-8"?>
<personList xmlns="http://schemas.microsoft.com/office/spreadsheetml/2018/threadedcomments" xmlns:x="http://schemas.openxmlformats.org/spreadsheetml/2006/main">
  <person displayName="Ndungu, Grace Wangeci (AIM SE)" id="{EFF0660C-3480-D24C-848E-FC8C4ACC0EA9}" userId="S::grace-wangeci.ndungu@allianz.com::38e4d5fd-58c6-4237-a1d1-e5147837591e"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E7" dT="2022-11-02T15:12:43.87" personId="{EFF0660C-3480-D24C-848E-FC8C4ACC0EA9}" id="{5714637E-4EAB-2D44-8B6C-72AE25F1CC0B}">
    <text xml:space="preserve">There are different quantities of product displayed in addition to cement. No guidance on which one to choose </text>
  </threadedComment>
  <threadedComment ref="E13" dT="2022-11-02T15:12:43.87" personId="{EFF0660C-3480-D24C-848E-FC8C4ACC0EA9}" id="{83A740BB-E831-9343-A7F5-E759F8DDBF90}">
    <text xml:space="preserve">There are different quantities of product displayed in addition to cement. No guidance on which one to choose </text>
  </threadedComment>
  <threadedComment ref="E19" dT="2022-11-02T15:12:43.87" personId="{EFF0660C-3480-D24C-848E-FC8C4ACC0EA9}" id="{C536835D-A5D2-6647-B0D1-B3E78B058C65}">
    <text xml:space="preserve">There are different quantities of product displayed in addition to cement. No guidance on which one to choose </text>
  </threadedComment>
  <threadedComment ref="E34" dT="2022-11-02T15:12:43.87" personId="{EFF0660C-3480-D24C-848E-FC8C4ACC0EA9}" id="{BB9E0177-4840-8B45-84D5-5541C2AC6063}">
    <text xml:space="preserve">There are different quantities of product displayed in addition to cement. No guidance on which one to choose </text>
  </threadedComment>
</ThreadedComments>
</file>

<file path=xl/threadedComments/threadedComment2.xml><?xml version="1.0" encoding="utf-8"?>
<ThreadedComments xmlns="http://schemas.microsoft.com/office/spreadsheetml/2018/threadedcomments" xmlns:x="http://schemas.openxmlformats.org/spreadsheetml/2006/main">
  <threadedComment ref="E116" dT="2022-11-02T15:12:43.87" personId="{EFF0660C-3480-D24C-848E-FC8C4ACC0EA9}" id="{76CDE1E1-308A-FB47-8509-463024D3AE24}">
    <text xml:space="preserve">There are different quantities of product displayed in addition to cement. No guidance on which one to choose </text>
  </threadedComment>
  <threadedComment ref="E125" dT="2022-11-02T15:12:43.87" personId="{EFF0660C-3480-D24C-848E-FC8C4ACC0EA9}" id="{5870F9B0-5B60-9F48-A6BB-0E2E8C6E693D}">
    <text xml:space="preserve">There are different quantities of product displayed in addition to cement. No guidance on which one to choose </text>
  </threadedComment>
  <threadedComment ref="E130" dT="2022-11-02T15:12:43.87" personId="{EFF0660C-3480-D24C-848E-FC8C4ACC0EA9}" id="{4034B1D1-FFA3-4842-B201-94EC34289DD0}">
    <text xml:space="preserve">There are different quantities of product displayed in addition to cement. No guidance on which one to choose </text>
  </threadedComment>
  <threadedComment ref="E136" dT="2022-11-02T15:12:43.87" personId="{EFF0660C-3480-D24C-848E-FC8C4ACC0EA9}" id="{32B31AF7-9BA3-B943-A839-EA0FAD6E2B2B}">
    <text xml:space="preserve">There are different quantities of product displayed in addition to cement. No guidance on which one to choose </text>
  </threadedComment>
  <threadedComment ref="E180" dT="2022-11-02T15:12:43.87" personId="{EFF0660C-3480-D24C-848E-FC8C4ACC0EA9}" id="{EDC7ABA2-41F9-C24E-9B41-E9CB0E2F8239}">
    <text xml:space="preserve">There are different quantities of product displayed in addition to cement. No guidance on which one to choose </text>
  </threadedComment>
  <threadedComment ref="E194" dT="2022-11-02T15:12:43.87" personId="{EFF0660C-3480-D24C-848E-FC8C4ACC0EA9}" id="{E488A460-29A6-B747-8C45-087B6030E798}">
    <text xml:space="preserve">There are different quantities of product displayed in addition to cement. No guidance on which one to choose </text>
  </threadedComment>
  <threadedComment ref="E208" dT="2022-11-02T15:12:43.87" personId="{EFF0660C-3480-D24C-848E-FC8C4ACC0EA9}" id="{8B303961-236C-A146-B63A-225689016676}">
    <text xml:space="preserve">There are different quantities of product displayed in addition to cement. No guidance on which one to choose </text>
  </threadedComment>
  <threadedComment ref="E223" dT="2022-11-02T15:12:43.87" personId="{EFF0660C-3480-D24C-848E-FC8C4ACC0EA9}" id="{FE272FE2-16A1-0448-9F74-729C2B68A1A6}">
    <text xml:space="preserve">There are different quantities of product displayed in addition to cement. No guidance on which one to choose </text>
  </threadedComment>
</ThreadedComments>
</file>

<file path=xl/threadedComments/threadedComment3.xml><?xml version="1.0" encoding="utf-8"?>
<ThreadedComments xmlns="http://schemas.microsoft.com/office/spreadsheetml/2018/threadedcomments" xmlns:x="http://schemas.openxmlformats.org/spreadsheetml/2006/main">
  <threadedComment ref="M21" dT="2022-11-02T09:26:43.58" personId="{EFF0660C-3480-D24C-848E-FC8C4ACC0EA9}" id="{CA8C9C04-1742-E447-9A4E-9ACBCF0FD8F5}">
    <text>-20% kg CO2e/t of purchased clinker and cement
-20% kg CO2e/t of purchased fuels
-24% kg CO2e/t of material transported</text>
  </threadedComment>
</ThreadedComments>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8" Type="http://schemas.openxmlformats.org/officeDocument/2006/relationships/hyperlink" Target="https://orsted.com/-/media/annual2019/esg-performance-report-2019.pdf" TargetMode="External"/><Relationship Id="rId13" Type="http://schemas.openxmlformats.org/officeDocument/2006/relationships/hyperlink" Target="https://orstedcdn.azureedge.net/-/media/annual2021/orsted-esg-performance-report-2021.ashx?rev=c025b5bb5f304fdbaaef0f94c70a60a8" TargetMode="External"/><Relationship Id="rId3" Type="http://schemas.openxmlformats.org/officeDocument/2006/relationships/hyperlink" Target="https://www.holcim.com/sites/holcim/files/documents/02272020-sustainability-lafargeholcim_fy_2019_data_report-en-update2.pdf" TargetMode="External"/><Relationship Id="rId7" Type="http://schemas.openxmlformats.org/officeDocument/2006/relationships/hyperlink" Target="https://www.nationalgrid.com/document/146711/download" TargetMode="External"/><Relationship Id="rId12" Type="http://schemas.openxmlformats.org/officeDocument/2006/relationships/hyperlink" Target="https://www.enel.com/content/dam/enel-com/documenti/investitori/sostenibilita/2019/sustainability-report_2019.pdf" TargetMode="External"/><Relationship Id="rId17" Type="http://schemas.microsoft.com/office/2017/10/relationships/threadedComment" Target="../threadedComments/threadedComment2.xml"/><Relationship Id="rId2" Type="http://schemas.openxmlformats.org/officeDocument/2006/relationships/hyperlink" Target="https://www.holcim.com/sites/holcim/files/documents/26022021-sustainability-lafargeholcim_sustainability-performance-report-2020-en_187627639.pdf" TargetMode="External"/><Relationship Id="rId16" Type="http://schemas.openxmlformats.org/officeDocument/2006/relationships/comments" Target="../comments3.xml"/><Relationship Id="rId1" Type="http://schemas.openxmlformats.org/officeDocument/2006/relationships/hyperlink" Target="https://www.holcim.com/sites/holcim/files/2022-03/25022022-sustainability-holcim_fy_2021_report-en.pdf" TargetMode="External"/><Relationship Id="rId6" Type="http://schemas.openxmlformats.org/officeDocument/2006/relationships/hyperlink" Target="https://www.nationalgrid.com/document/146706/download" TargetMode="External"/><Relationship Id="rId11" Type="http://schemas.openxmlformats.org/officeDocument/2006/relationships/hyperlink" Target="https://www.enel.com/content/dam/enel-com/documenti/investitori/sostenibilita/2021/sustainability-report_2021.pdf" TargetMode="External"/><Relationship Id="rId5" Type="http://schemas.openxmlformats.org/officeDocument/2006/relationships/hyperlink" Target="https://www.heidelbergmaterials.com/sites/default/files/assets/document/c8/17/annual-report-heidelbergcement-2020.pdf" TargetMode="External"/><Relationship Id="rId15" Type="http://schemas.openxmlformats.org/officeDocument/2006/relationships/vmlDrawing" Target="../drawings/vmlDrawing3.vml"/><Relationship Id="rId10" Type="http://schemas.openxmlformats.org/officeDocument/2006/relationships/hyperlink" Target="https://orsted.com/en/sustainability/sustainability-report" TargetMode="External"/><Relationship Id="rId4" Type="http://schemas.openxmlformats.org/officeDocument/2006/relationships/hyperlink" Target="https://www.heidelbergmaterials.com/sites/default/files/2022-03/annual-report-heidelbergcement-2021_1.pdf" TargetMode="External"/><Relationship Id="rId9" Type="http://schemas.openxmlformats.org/officeDocument/2006/relationships/hyperlink" Target="https://orsted.com/esgperformance2020" TargetMode="External"/><Relationship Id="rId14" Type="http://schemas.openxmlformats.org/officeDocument/2006/relationships/hyperlink" Target="https://www.heidelbergmaterials.com/sites/default/files/2023-10/HM_ASR22_Key_figures_051023.xlsx"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www.renaultgroup.com/wp-content/uploads/2021/04/climate-report-renault-group.pdf" TargetMode="External"/><Relationship Id="rId2" Type="http://schemas.openxmlformats.org/officeDocument/2006/relationships/hyperlink" Target="https://www.renaultgroup.com/wp-content/uploads/2021/04/climate-report-renault-group.pdf" TargetMode="External"/><Relationship Id="rId1" Type="http://schemas.openxmlformats.org/officeDocument/2006/relationships/hyperlink" Target="https://www.renaultgroup.com/wp-content/uploads/2021/04/climate-report-renault-group.pdf" TargetMode="External"/></Relationships>
</file>

<file path=xl/worksheets/_rels/sheet7.xml.rels><?xml version="1.0" encoding="UTF-8" standalone="yes"?>
<Relationships xmlns="http://schemas.openxmlformats.org/package/2006/relationships"><Relationship Id="rId8" Type="http://schemas.openxmlformats.org/officeDocument/2006/relationships/comments" Target="../comments4.xml"/><Relationship Id="rId3" Type="http://schemas.openxmlformats.org/officeDocument/2006/relationships/hyperlink" Target="https://orsted.com/en/sustainability/sustainability-report" TargetMode="External"/><Relationship Id="rId7" Type="http://schemas.openxmlformats.org/officeDocument/2006/relationships/vmlDrawing" Target="../drawings/vmlDrawing4.vml"/><Relationship Id="rId2" Type="http://schemas.openxmlformats.org/officeDocument/2006/relationships/hyperlink" Target="https://orsted.com/en/sustainability/sustainability-report" TargetMode="External"/><Relationship Id="rId1" Type="http://schemas.openxmlformats.org/officeDocument/2006/relationships/hyperlink" Target="https://orsted.com/en/sustainability/sustainability-report" TargetMode="External"/><Relationship Id="rId6" Type="http://schemas.openxmlformats.org/officeDocument/2006/relationships/hyperlink" Target="https://www.heidelbergmaterials.com/sites/default/files/2023-05/HM_Annual_and_Sustainability_Report_2022.pdf" TargetMode="External"/><Relationship Id="rId5" Type="http://schemas.openxmlformats.org/officeDocument/2006/relationships/hyperlink" Target="https://www.edp.com/sites/default/files/2023-03/CTP_EN_Climate%20Transtion%20Plan.pdf" TargetMode="External"/><Relationship Id="rId4" Type="http://schemas.openxmlformats.org/officeDocument/2006/relationships/hyperlink" Target="https://orsted.com/en/sustainability/sustainability-report" TargetMode="External"/><Relationship Id="rId9" Type="http://schemas.microsoft.com/office/2017/10/relationships/threadedComment" Target="../threadedComments/threadedComment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topLeftCell="A27" zoomScale="150" zoomScaleNormal="150" workbookViewId="0"/>
  </sheetViews>
  <sheetFormatPr baseColWidth="10" defaultColWidth="8.6640625" defaultRowHeight="15"/>
  <sheetData/>
  <pageMargins left="0.7" right="0.7" top="0.75" bottom="0.75" header="0.3" footer="0.511811023622047"/>
  <pageSetup paperSize="9" orientation="portrait" horizontalDpi="300" verticalDpi="300"/>
  <headerFooter>
    <oddHeader>&amp;C&amp;1 Confidential#</oddHeader>
  </headerFooter>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0CCA52-935E-C94A-A824-085FC2C31749}">
  <dimension ref="A1:E16"/>
  <sheetViews>
    <sheetView zoomScale="150" zoomScaleNormal="150" workbookViewId="0">
      <selection activeCell="A17" sqref="A17:XFD17"/>
    </sheetView>
  </sheetViews>
  <sheetFormatPr baseColWidth="10" defaultColWidth="11.5" defaultRowHeight="15"/>
  <cols>
    <col min="1" max="1" width="40.6640625" customWidth="1"/>
    <col min="2" max="2" width="22.6640625" customWidth="1"/>
    <col min="3" max="4" width="13.6640625" customWidth="1"/>
  </cols>
  <sheetData>
    <row r="1" spans="1:5">
      <c r="A1" s="2" t="s">
        <v>0</v>
      </c>
      <c r="B1" s="2" t="s">
        <v>1</v>
      </c>
      <c r="C1" s="2" t="s">
        <v>2</v>
      </c>
      <c r="D1" s="2" t="s">
        <v>154</v>
      </c>
      <c r="E1" s="2" t="s">
        <v>260</v>
      </c>
    </row>
    <row r="2" spans="1:5">
      <c r="A2" t="s">
        <v>58</v>
      </c>
      <c r="B2" s="1" t="s">
        <v>59</v>
      </c>
      <c r="C2" t="s">
        <v>60</v>
      </c>
      <c r="D2" t="s">
        <v>60</v>
      </c>
      <c r="E2">
        <v>70043811</v>
      </c>
    </row>
    <row r="3" spans="1:5">
      <c r="A3" t="s">
        <v>258</v>
      </c>
      <c r="B3" s="1" t="s">
        <v>59</v>
      </c>
      <c r="C3" t="s">
        <v>255</v>
      </c>
      <c r="D3" t="s">
        <v>60</v>
      </c>
      <c r="E3">
        <v>102483672</v>
      </c>
    </row>
    <row r="4" spans="1:5">
      <c r="A4" t="s">
        <v>259</v>
      </c>
      <c r="B4" s="1" t="s">
        <v>59</v>
      </c>
      <c r="C4" t="s">
        <v>257</v>
      </c>
      <c r="D4" t="s">
        <v>60</v>
      </c>
      <c r="E4">
        <v>38440480</v>
      </c>
    </row>
    <row r="5" spans="1:5">
      <c r="A5" t="s">
        <v>63</v>
      </c>
      <c r="B5" s="1" t="s">
        <v>64</v>
      </c>
      <c r="C5" t="s">
        <v>65</v>
      </c>
      <c r="D5" t="s">
        <v>65</v>
      </c>
      <c r="E5">
        <v>99236640</v>
      </c>
    </row>
    <row r="6" spans="1:5">
      <c r="A6" t="s">
        <v>252</v>
      </c>
      <c r="B6" s="1" t="s">
        <v>64</v>
      </c>
      <c r="C6" t="s">
        <v>235</v>
      </c>
      <c r="D6" t="s">
        <v>65</v>
      </c>
      <c r="E6">
        <v>63083859</v>
      </c>
    </row>
    <row r="7" spans="1:5">
      <c r="A7" t="s">
        <v>253</v>
      </c>
      <c r="B7" s="1" t="s">
        <v>64</v>
      </c>
      <c r="C7" t="s">
        <v>236</v>
      </c>
      <c r="D7" t="s">
        <v>65</v>
      </c>
      <c r="E7">
        <v>39061715</v>
      </c>
    </row>
    <row r="8" spans="1:5">
      <c r="A8" t="s">
        <v>249</v>
      </c>
      <c r="B8" s="1" t="s">
        <v>239</v>
      </c>
      <c r="C8" t="s">
        <v>240</v>
      </c>
      <c r="D8" t="s">
        <v>240</v>
      </c>
      <c r="E8">
        <v>29875957</v>
      </c>
    </row>
    <row r="9" spans="1:5">
      <c r="A9" t="s">
        <v>250</v>
      </c>
      <c r="B9" s="1" t="s">
        <v>239</v>
      </c>
      <c r="C9" t="s">
        <v>247</v>
      </c>
      <c r="D9" t="s">
        <v>240</v>
      </c>
      <c r="E9">
        <v>80743808</v>
      </c>
    </row>
    <row r="10" spans="1:5">
      <c r="A10" t="s">
        <v>251</v>
      </c>
      <c r="B10" s="1" t="s">
        <v>239</v>
      </c>
      <c r="C10" t="s">
        <v>248</v>
      </c>
      <c r="D10" t="s">
        <v>240</v>
      </c>
      <c r="E10">
        <v>79887735</v>
      </c>
    </row>
    <row r="11" spans="1:5">
      <c r="A11" t="s">
        <v>207</v>
      </c>
      <c r="B11" s="1" t="s">
        <v>209</v>
      </c>
      <c r="C11" t="s">
        <v>208</v>
      </c>
      <c r="D11" t="s">
        <v>208</v>
      </c>
      <c r="E11">
        <v>125157219</v>
      </c>
    </row>
    <row r="12" spans="1:5">
      <c r="A12" t="s">
        <v>210</v>
      </c>
      <c r="B12" s="1" t="s">
        <v>211</v>
      </c>
      <c r="C12" t="s">
        <v>212</v>
      </c>
      <c r="D12" t="s">
        <v>212</v>
      </c>
      <c r="E12">
        <v>16233225</v>
      </c>
    </row>
    <row r="13" spans="1:5">
      <c r="A13" s="96" t="s">
        <v>261</v>
      </c>
      <c r="B13" s="1" t="s">
        <v>265</v>
      </c>
      <c r="C13" s="96" t="s">
        <v>280</v>
      </c>
      <c r="D13" s="96" t="s">
        <v>266</v>
      </c>
      <c r="E13">
        <v>76233225</v>
      </c>
    </row>
    <row r="14" spans="1:5">
      <c r="A14" s="96" t="s">
        <v>261</v>
      </c>
      <c r="B14" s="1" t="s">
        <v>265</v>
      </c>
      <c r="C14" s="96" t="s">
        <v>281</v>
      </c>
      <c r="D14" s="96" t="s">
        <v>266</v>
      </c>
      <c r="E14">
        <v>76233225</v>
      </c>
    </row>
    <row r="15" spans="1:5">
      <c r="A15" s="96" t="s">
        <v>262</v>
      </c>
      <c r="B15" s="1" t="s">
        <v>267</v>
      </c>
      <c r="C15" s="96" t="s">
        <v>268</v>
      </c>
      <c r="D15" s="96" t="s">
        <v>268</v>
      </c>
      <c r="E15">
        <v>59061715</v>
      </c>
    </row>
    <row r="16" spans="1:5">
      <c r="A16" s="96" t="s">
        <v>263</v>
      </c>
      <c r="B16" s="1" t="s">
        <v>270</v>
      </c>
      <c r="C16" s="96" t="s">
        <v>271</v>
      </c>
      <c r="D16" s="96" t="s">
        <v>271</v>
      </c>
      <c r="E16">
        <v>89236640</v>
      </c>
    </row>
  </sheetData>
  <pageMargins left="0.7" right="0.7" top="0.75" bottom="0.75" header="0.3" footer="0.511811023622047"/>
  <pageSetup orientation="portrait" horizontalDpi="300" verticalDpi="300"/>
  <headerFooter>
    <oddHeader>&amp;C&amp;1 Confidential#</oddHead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
  <sheetViews>
    <sheetView zoomScale="78" zoomScaleNormal="78" workbookViewId="0"/>
  </sheetViews>
  <sheetFormatPr baseColWidth="10" defaultColWidth="11.5" defaultRowHeight="15"/>
  <sheetData/>
  <pageMargins left="0.7" right="0.7" top="0.75" bottom="0.75" header="0.3" footer="0.511811023622047"/>
  <pageSetup orientation="portrait" horizontalDpi="300" verticalDpi="300"/>
  <headerFooter>
    <oddHeader>&amp;C&amp;1 Confidential#</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U3"/>
  <sheetViews>
    <sheetView zoomScale="150" zoomScaleNormal="150" workbookViewId="0">
      <pane xSplit="1" ySplit="1" topLeftCell="B2" activePane="bottomRight" state="frozen"/>
      <selection pane="topRight" activeCell="B1" sqref="B1"/>
      <selection pane="bottomLeft" activeCell="A2" sqref="A2"/>
      <selection pane="bottomRight" activeCell="M3" sqref="M3"/>
    </sheetView>
  </sheetViews>
  <sheetFormatPr baseColWidth="10" defaultColWidth="8.83203125" defaultRowHeight="15"/>
  <cols>
    <col min="1" max="1" width="38" customWidth="1"/>
    <col min="2" max="2" width="24" customWidth="1"/>
    <col min="3" max="3" width="16" customWidth="1"/>
    <col min="4" max="4" width="9" customWidth="1"/>
    <col min="5" max="5" width="15" customWidth="1"/>
    <col min="6" max="6" width="24" customWidth="1"/>
    <col min="7" max="9" width="10" customWidth="1"/>
    <col min="10" max="10" width="9" customWidth="1"/>
    <col min="11" max="11" width="13" customWidth="1"/>
    <col min="12" max="14" width="19" customWidth="1"/>
    <col min="15" max="15" width="20" customWidth="1"/>
    <col min="16" max="16" width="19" customWidth="1"/>
    <col min="18" max="19" width="17.33203125" bestFit="1" customWidth="1"/>
    <col min="20" max="20" width="12.1640625" bestFit="1" customWidth="1"/>
    <col min="21" max="21" width="9" bestFit="1" customWidth="1"/>
  </cols>
  <sheetData>
    <row r="1" spans="1:21">
      <c r="A1" s="45" t="s">
        <v>0</v>
      </c>
      <c r="B1" s="45" t="s">
        <v>1</v>
      </c>
      <c r="C1" s="45" t="s">
        <v>2</v>
      </c>
      <c r="D1" s="46" t="s">
        <v>3</v>
      </c>
      <c r="E1" s="47" t="s">
        <v>4</v>
      </c>
      <c r="F1" s="46" t="s">
        <v>5</v>
      </c>
      <c r="G1" s="46" t="s">
        <v>6</v>
      </c>
      <c r="H1" s="46" t="s">
        <v>7</v>
      </c>
      <c r="I1" s="46" t="s">
        <v>155</v>
      </c>
      <c r="J1" s="46" t="s">
        <v>156</v>
      </c>
      <c r="K1" s="48" t="s">
        <v>8</v>
      </c>
      <c r="L1" s="46" t="s">
        <v>9</v>
      </c>
      <c r="M1" s="46" t="s">
        <v>10</v>
      </c>
      <c r="N1" s="46" t="s">
        <v>11</v>
      </c>
      <c r="O1" s="46" t="s">
        <v>12</v>
      </c>
      <c r="P1" s="46" t="s">
        <v>13</v>
      </c>
      <c r="R1" s="46" t="s">
        <v>196</v>
      </c>
      <c r="S1" s="46" t="s">
        <v>197</v>
      </c>
      <c r="T1" s="46" t="s">
        <v>198</v>
      </c>
      <c r="U1" s="46" t="s">
        <v>199</v>
      </c>
    </row>
    <row r="2" spans="1:21">
      <c r="A2" s="95" t="s">
        <v>263</v>
      </c>
      <c r="B2" s="94" t="s">
        <v>270</v>
      </c>
      <c r="C2" s="94" t="s">
        <v>271</v>
      </c>
      <c r="D2" s="96" t="s">
        <v>205</v>
      </c>
      <c r="E2" s="49" t="s">
        <v>62</v>
      </c>
      <c r="F2" s="96" t="s">
        <v>55</v>
      </c>
      <c r="G2" s="96" t="s">
        <v>50</v>
      </c>
      <c r="H2" s="96" t="s">
        <v>51</v>
      </c>
      <c r="I2" s="96" t="s">
        <v>201</v>
      </c>
      <c r="J2" s="91">
        <v>0.94</v>
      </c>
      <c r="K2" s="65">
        <v>44926</v>
      </c>
      <c r="L2" s="43">
        <v>12230000000</v>
      </c>
      <c r="M2" s="43">
        <v>74979000000</v>
      </c>
      <c r="N2" s="43">
        <v>56561000000</v>
      </c>
      <c r="O2" s="43">
        <f>N2+S2</f>
        <v>72516000000</v>
      </c>
      <c r="P2" s="43">
        <v>145706000000</v>
      </c>
      <c r="R2" s="43">
        <v>36710000000</v>
      </c>
      <c r="S2" s="43">
        <v>15955000000</v>
      </c>
    </row>
    <row r="3" spans="1:21">
      <c r="A3" s="95" t="s">
        <v>272</v>
      </c>
      <c r="B3" s="94" t="s">
        <v>273</v>
      </c>
      <c r="C3" s="94" t="s">
        <v>274</v>
      </c>
      <c r="D3" s="96" t="s">
        <v>200</v>
      </c>
      <c r="E3" s="49" t="s">
        <v>57</v>
      </c>
      <c r="F3" s="96" t="s">
        <v>55</v>
      </c>
      <c r="G3" s="96" t="s">
        <v>50</v>
      </c>
      <c r="H3" s="96" t="s">
        <v>51</v>
      </c>
      <c r="I3" s="96" t="s">
        <v>201</v>
      </c>
      <c r="J3" s="91">
        <v>0.94</v>
      </c>
      <c r="K3" s="65">
        <v>44926</v>
      </c>
      <c r="L3" s="43">
        <v>9660000000</v>
      </c>
      <c r="M3" s="43">
        <v>49680000000</v>
      </c>
      <c r="N3" s="43">
        <v>30974000000</v>
      </c>
      <c r="O3" s="43">
        <f>N3+S3</f>
        <v>55407000000</v>
      </c>
      <c r="P3" s="43">
        <v>124661000000</v>
      </c>
      <c r="R3" s="43">
        <v>93540000000</v>
      </c>
      <c r="S3" s="43">
        <v>24433000000</v>
      </c>
    </row>
  </sheetData>
  <pageMargins left="0.75" right="0.75" top="1" bottom="1" header="0.5" footer="0.5"/>
  <pageSetup orientation="portrait" horizontalDpi="0" verticalDpi="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11C92E-EFD8-1F4B-B6D0-67BDA467BF33}">
  <dimension ref="A1:U11"/>
  <sheetViews>
    <sheetView zoomScale="150" zoomScaleNormal="150" workbookViewId="0">
      <pane xSplit="1" ySplit="1" topLeftCell="B2" activePane="bottomRight" state="frozen"/>
      <selection pane="topRight" activeCell="B1" sqref="B1"/>
      <selection pane="bottomLeft" activeCell="A2" sqref="A2"/>
      <selection pane="bottomRight" activeCell="B28" sqref="B28"/>
    </sheetView>
  </sheetViews>
  <sheetFormatPr baseColWidth="10" defaultColWidth="8.83203125" defaultRowHeight="15"/>
  <cols>
    <col min="1" max="1" width="38" customWidth="1"/>
    <col min="2" max="2" width="24" customWidth="1"/>
    <col min="3" max="3" width="16" customWidth="1"/>
    <col min="4" max="4" width="9" customWidth="1"/>
    <col min="5" max="5" width="15" customWidth="1"/>
    <col min="6" max="6" width="24" customWidth="1"/>
    <col min="7" max="9" width="10" customWidth="1"/>
    <col min="10" max="10" width="9" customWidth="1"/>
    <col min="11" max="11" width="13" customWidth="1"/>
    <col min="12" max="14" width="19" customWidth="1"/>
    <col min="15" max="15" width="20" customWidth="1"/>
    <col min="16" max="16" width="19" customWidth="1"/>
    <col min="18" max="19" width="17.33203125" bestFit="1" customWidth="1"/>
    <col min="20" max="20" width="12.1640625" bestFit="1" customWidth="1"/>
    <col min="21" max="21" width="9" bestFit="1" customWidth="1"/>
  </cols>
  <sheetData>
    <row r="1" spans="1:21">
      <c r="A1" s="45" t="s">
        <v>0</v>
      </c>
      <c r="B1" s="45" t="s">
        <v>1</v>
      </c>
      <c r="C1" s="45" t="s">
        <v>2</v>
      </c>
      <c r="D1" s="46" t="s">
        <v>3</v>
      </c>
      <c r="E1" s="47" t="s">
        <v>4</v>
      </c>
      <c r="F1" s="46" t="s">
        <v>5</v>
      </c>
      <c r="G1" s="46" t="s">
        <v>6</v>
      </c>
      <c r="H1" s="46" t="s">
        <v>7</v>
      </c>
      <c r="I1" s="46" t="s">
        <v>155</v>
      </c>
      <c r="J1" s="46" t="s">
        <v>156</v>
      </c>
      <c r="K1" s="48" t="s">
        <v>8</v>
      </c>
      <c r="L1" s="46" t="s">
        <v>9</v>
      </c>
      <c r="M1" s="46" t="s">
        <v>10</v>
      </c>
      <c r="N1" s="46" t="s">
        <v>11</v>
      </c>
      <c r="O1" s="46" t="s">
        <v>12</v>
      </c>
      <c r="P1" s="46" t="s">
        <v>13</v>
      </c>
      <c r="R1" s="46" t="s">
        <v>196</v>
      </c>
      <c r="S1" s="46" t="s">
        <v>197</v>
      </c>
      <c r="T1" s="46" t="s">
        <v>198</v>
      </c>
      <c r="U1" s="46" t="s">
        <v>199</v>
      </c>
    </row>
    <row r="2" spans="1:21">
      <c r="A2" s="45" t="s">
        <v>58</v>
      </c>
      <c r="B2" s="45" t="s">
        <v>59</v>
      </c>
      <c r="C2" s="45" t="s">
        <v>60</v>
      </c>
      <c r="D2" t="s">
        <v>61</v>
      </c>
      <c r="E2" s="49" t="s">
        <v>62</v>
      </c>
      <c r="F2" t="s">
        <v>49</v>
      </c>
      <c r="G2" t="s">
        <v>50</v>
      </c>
      <c r="H2" t="s">
        <v>51</v>
      </c>
      <c r="I2" t="s">
        <v>201</v>
      </c>
      <c r="J2">
        <v>0.94</v>
      </c>
      <c r="K2" s="50">
        <v>44196</v>
      </c>
      <c r="L2">
        <v>8105859000</v>
      </c>
      <c r="M2">
        <v>12064489000</v>
      </c>
      <c r="N2">
        <v>11943556000</v>
      </c>
      <c r="O2">
        <v>13593042000</v>
      </c>
      <c r="P2">
        <v>26933558000</v>
      </c>
    </row>
    <row r="3" spans="1:21">
      <c r="A3" s="45" t="s">
        <v>63</v>
      </c>
      <c r="B3" s="45" t="s">
        <v>64</v>
      </c>
      <c r="C3" s="45" t="s">
        <v>65</v>
      </c>
      <c r="D3" t="s">
        <v>56</v>
      </c>
      <c r="E3" s="49" t="s">
        <v>57</v>
      </c>
      <c r="F3" t="s">
        <v>54</v>
      </c>
      <c r="G3" t="s">
        <v>50</v>
      </c>
      <c r="H3" t="s">
        <v>51</v>
      </c>
      <c r="I3" t="s">
        <v>201</v>
      </c>
      <c r="J3">
        <v>0.94</v>
      </c>
      <c r="K3" s="50">
        <v>43830</v>
      </c>
      <c r="L3">
        <v>40783780623.597</v>
      </c>
      <c r="M3">
        <v>19393506493.5065</v>
      </c>
      <c r="N3">
        <v>40783780623.597</v>
      </c>
      <c r="O3">
        <v>40783780623.597</v>
      </c>
      <c r="P3">
        <v>81770129870.129898</v>
      </c>
    </row>
    <row r="4" spans="1:21">
      <c r="A4" s="45" t="s">
        <v>238</v>
      </c>
      <c r="B4" s="45" t="s">
        <v>239</v>
      </c>
      <c r="C4" s="45" t="s">
        <v>240</v>
      </c>
      <c r="D4" t="s">
        <v>241</v>
      </c>
      <c r="E4" s="49" t="s">
        <v>57</v>
      </c>
      <c r="F4" t="s">
        <v>54</v>
      </c>
      <c r="G4" t="s">
        <v>50</v>
      </c>
      <c r="H4" t="s">
        <v>242</v>
      </c>
      <c r="I4" t="s">
        <v>201</v>
      </c>
      <c r="J4">
        <v>0.13</v>
      </c>
      <c r="K4" s="50">
        <v>44926</v>
      </c>
      <c r="L4">
        <v>230074137960</v>
      </c>
      <c r="M4" s="3">
        <v>132300000000</v>
      </c>
      <c r="N4" s="3">
        <f>L4+R4</f>
        <v>260645137960</v>
      </c>
      <c r="O4" s="3">
        <f>N4+S4</f>
        <v>276820137960</v>
      </c>
      <c r="P4" s="3">
        <v>314142000000</v>
      </c>
      <c r="R4" s="93">
        <v>30571000000</v>
      </c>
      <c r="S4" s="93">
        <v>16175000000</v>
      </c>
      <c r="T4" s="86"/>
      <c r="U4" s="86"/>
    </row>
    <row r="5" spans="1:21">
      <c r="A5" s="45" t="s">
        <v>207</v>
      </c>
      <c r="B5" s="69" t="s">
        <v>209</v>
      </c>
      <c r="C5" s="45" t="s">
        <v>208</v>
      </c>
      <c r="D5" t="s">
        <v>202</v>
      </c>
      <c r="E5" s="49" t="s">
        <v>57</v>
      </c>
      <c r="F5" t="s">
        <v>206</v>
      </c>
      <c r="G5" t="s">
        <v>50</v>
      </c>
      <c r="H5" t="s">
        <v>203</v>
      </c>
      <c r="I5" t="s">
        <v>201</v>
      </c>
      <c r="J5">
        <v>1.01</v>
      </c>
      <c r="K5" s="50">
        <v>44561</v>
      </c>
      <c r="L5" s="68">
        <f t="shared" ref="L5:L6" si="0">T5*U5</f>
        <v>28388428932</v>
      </c>
      <c r="M5" s="68">
        <v>26834000000</v>
      </c>
      <c r="N5" s="68">
        <f t="shared" ref="N5:N6" si="1">L5+R5-S5</f>
        <v>38678428932</v>
      </c>
      <c r="O5" s="68">
        <f t="shared" ref="O5:O6" si="2">L5+R5</f>
        <v>45293428932</v>
      </c>
      <c r="P5" s="68">
        <v>59885000000</v>
      </c>
      <c r="Q5" s="68"/>
      <c r="R5" s="68">
        <v>16905000000</v>
      </c>
      <c r="S5" s="68">
        <v>6615000000</v>
      </c>
      <c r="T5" s="68">
        <v>610503848</v>
      </c>
      <c r="U5">
        <v>46.5</v>
      </c>
    </row>
    <row r="6" spans="1:21">
      <c r="A6" s="69" t="s">
        <v>210</v>
      </c>
      <c r="B6" s="69" t="s">
        <v>211</v>
      </c>
      <c r="C6" s="69" t="s">
        <v>212</v>
      </c>
      <c r="D6" s="36" t="s">
        <v>204</v>
      </c>
      <c r="E6" s="70" t="s">
        <v>57</v>
      </c>
      <c r="F6" s="36" t="s">
        <v>206</v>
      </c>
      <c r="G6" s="36" t="s">
        <v>50</v>
      </c>
      <c r="H6" s="36" t="s">
        <v>201</v>
      </c>
      <c r="I6" s="36"/>
      <c r="J6" s="36"/>
      <c r="K6" s="67">
        <v>44561</v>
      </c>
      <c r="L6" s="71">
        <f t="shared" si="0"/>
        <v>11266087564.059999</v>
      </c>
      <c r="M6" s="71">
        <v>18720000000</v>
      </c>
      <c r="N6" s="71">
        <f t="shared" si="1"/>
        <v>9929587564.0599995</v>
      </c>
      <c r="O6" s="71">
        <f t="shared" si="2"/>
        <v>13044687564.059999</v>
      </c>
      <c r="P6" s="71">
        <v>33710900000</v>
      </c>
      <c r="Q6" s="71"/>
      <c r="R6" s="71">
        <v>1778600000</v>
      </c>
      <c r="S6" s="71">
        <v>3115100000</v>
      </c>
      <c r="T6" s="71">
        <v>198416477</v>
      </c>
      <c r="U6" s="36">
        <v>56.78</v>
      </c>
    </row>
    <row r="7" spans="1:21">
      <c r="A7" s="95" t="s">
        <v>261</v>
      </c>
      <c r="B7" s="45" t="s">
        <v>265</v>
      </c>
      <c r="C7" s="94" t="s">
        <v>266</v>
      </c>
      <c r="D7" s="36" t="s">
        <v>204</v>
      </c>
      <c r="E7" s="70" t="s">
        <v>57</v>
      </c>
      <c r="F7" t="s">
        <v>49</v>
      </c>
      <c r="G7" t="s">
        <v>50</v>
      </c>
      <c r="H7" t="s">
        <v>51</v>
      </c>
      <c r="I7" t="s">
        <v>201</v>
      </c>
      <c r="J7">
        <v>0.94</v>
      </c>
      <c r="K7" s="50">
        <v>44926</v>
      </c>
      <c r="L7" s="43">
        <v>25980000000</v>
      </c>
      <c r="M7" s="43">
        <v>121859000000</v>
      </c>
      <c r="N7" s="43">
        <v>15530000000</v>
      </c>
      <c r="O7" s="43">
        <f>N7+9879000000</f>
        <v>25409000000</v>
      </c>
      <c r="P7" s="43">
        <v>141192000000</v>
      </c>
      <c r="R7" s="43">
        <v>130000000000</v>
      </c>
      <c r="S7" s="43">
        <v>9879000000</v>
      </c>
    </row>
    <row r="8" spans="1:21">
      <c r="A8" s="95" t="s">
        <v>262</v>
      </c>
      <c r="B8" s="94" t="s">
        <v>267</v>
      </c>
      <c r="C8" s="94" t="s">
        <v>268</v>
      </c>
      <c r="D8" t="s">
        <v>269</v>
      </c>
      <c r="E8" s="49" t="s">
        <v>57</v>
      </c>
      <c r="F8" t="s">
        <v>49</v>
      </c>
      <c r="G8" t="s">
        <v>50</v>
      </c>
      <c r="H8" t="s">
        <v>51</v>
      </c>
      <c r="I8" t="s">
        <v>201</v>
      </c>
      <c r="J8">
        <v>0.94</v>
      </c>
      <c r="K8" s="50">
        <v>44926</v>
      </c>
      <c r="L8" s="43">
        <v>17210000000</v>
      </c>
      <c r="M8" s="43">
        <v>20880000000</v>
      </c>
      <c r="N8" s="43">
        <v>37670000000</v>
      </c>
      <c r="O8" s="43">
        <f>N8+S8</f>
        <v>42684940000</v>
      </c>
      <c r="P8" s="43">
        <v>16449000000</v>
      </c>
      <c r="R8" s="43">
        <v>4900000000</v>
      </c>
      <c r="S8" s="43">
        <v>5014940000</v>
      </c>
    </row>
    <row r="9" spans="1:21">
      <c r="A9" s="95" t="s">
        <v>263</v>
      </c>
      <c r="B9" s="94" t="s">
        <v>270</v>
      </c>
      <c r="C9" s="94" t="s">
        <v>271</v>
      </c>
      <c r="D9" s="96" t="s">
        <v>205</v>
      </c>
      <c r="E9" s="49" t="s">
        <v>62</v>
      </c>
      <c r="F9" s="96" t="s">
        <v>55</v>
      </c>
      <c r="G9" s="96" t="s">
        <v>50</v>
      </c>
      <c r="H9" s="96" t="s">
        <v>51</v>
      </c>
      <c r="I9" s="96" t="s">
        <v>201</v>
      </c>
      <c r="J9" s="91">
        <v>0.94</v>
      </c>
      <c r="K9" s="65">
        <v>44926</v>
      </c>
      <c r="L9" s="43">
        <v>12230000000</v>
      </c>
      <c r="M9" s="43">
        <v>74979000000</v>
      </c>
      <c r="N9" s="43">
        <v>56561000000</v>
      </c>
      <c r="O9" s="43">
        <f>N9+S9</f>
        <v>72516000000</v>
      </c>
      <c r="P9" s="43">
        <v>145706000000</v>
      </c>
      <c r="R9" s="43">
        <v>36710000000</v>
      </c>
      <c r="S9" s="43">
        <v>15955000000</v>
      </c>
    </row>
    <row r="10" spans="1:21">
      <c r="A10" s="95" t="s">
        <v>272</v>
      </c>
      <c r="B10" s="94" t="s">
        <v>273</v>
      </c>
      <c r="C10" s="94" t="s">
        <v>274</v>
      </c>
      <c r="D10" s="96" t="s">
        <v>200</v>
      </c>
      <c r="E10" s="49" t="s">
        <v>57</v>
      </c>
      <c r="F10" s="96" t="s">
        <v>55</v>
      </c>
      <c r="G10" s="96" t="s">
        <v>50</v>
      </c>
      <c r="H10" s="96" t="s">
        <v>51</v>
      </c>
      <c r="I10" s="96" t="s">
        <v>201</v>
      </c>
      <c r="J10" s="91">
        <v>0.94</v>
      </c>
      <c r="K10" s="65">
        <v>44926</v>
      </c>
      <c r="L10" s="43">
        <v>9660000000</v>
      </c>
      <c r="M10" s="43">
        <v>49680000000</v>
      </c>
      <c r="N10" s="43">
        <v>30974000000</v>
      </c>
      <c r="O10" s="43">
        <f>N10+S10</f>
        <v>55407000000</v>
      </c>
      <c r="P10" s="43">
        <v>124661000000</v>
      </c>
      <c r="R10" s="43">
        <v>93540000000</v>
      </c>
      <c r="S10" s="43">
        <v>24433000000</v>
      </c>
    </row>
    <row r="11" spans="1:21">
      <c r="A11" s="95" t="s">
        <v>264</v>
      </c>
      <c r="B11" s="94" t="s">
        <v>275</v>
      </c>
      <c r="C11" s="94" t="s">
        <v>276</v>
      </c>
      <c r="D11" s="96" t="s">
        <v>200</v>
      </c>
      <c r="E11" s="49" t="s">
        <v>57</v>
      </c>
      <c r="F11" s="96" t="s">
        <v>206</v>
      </c>
      <c r="G11" t="s">
        <v>50</v>
      </c>
      <c r="H11" t="s">
        <v>201</v>
      </c>
      <c r="K11" s="65">
        <v>44926</v>
      </c>
      <c r="L11" s="43">
        <v>26630000000</v>
      </c>
      <c r="M11" s="43">
        <v>51197000000</v>
      </c>
      <c r="N11" s="43">
        <f>L11+R11</f>
        <v>58853000000</v>
      </c>
      <c r="O11" s="43">
        <f>N11+S11</f>
        <v>64987000000</v>
      </c>
      <c r="P11" s="43">
        <v>55377000000</v>
      </c>
      <c r="R11" s="43">
        <v>32223000000</v>
      </c>
      <c r="S11" s="43">
        <v>6134000000</v>
      </c>
    </row>
  </sheetData>
  <pageMargins left="0.75" right="0.75" top="1" bottom="1" header="0.5" footer="0.5"/>
  <pageSetup orientation="portrait" horizontalDpi="0" verticalDpi="0"/>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8950AB-A948-ED4E-A887-71C4EBB1D97E}">
  <dimension ref="A1:Q35"/>
  <sheetViews>
    <sheetView zoomScaleNormal="100" workbookViewId="0">
      <pane xSplit="1" ySplit="1" topLeftCell="B2" activePane="bottomRight" state="frozen"/>
      <selection pane="topRight" activeCell="B1" sqref="B1"/>
      <selection pane="bottomLeft" activeCell="A2" sqref="A2"/>
      <selection pane="bottomRight" activeCell="O28" sqref="O28"/>
    </sheetView>
  </sheetViews>
  <sheetFormatPr baseColWidth="10" defaultColWidth="8.83203125" defaultRowHeight="15"/>
  <cols>
    <col min="1" max="1" width="18.5" customWidth="1"/>
    <col min="2" max="2" width="24" customWidth="1"/>
    <col min="3" max="3" width="16" customWidth="1"/>
    <col min="4" max="4" width="15.5" customWidth="1"/>
    <col min="5" max="6" width="12" customWidth="1"/>
    <col min="7" max="7" width="17" customWidth="1"/>
    <col min="8" max="8" width="13" customWidth="1"/>
    <col min="9" max="9" width="13" style="61" customWidth="1"/>
    <col min="10" max="10" width="13" customWidth="1"/>
    <col min="11" max="13" width="14" customWidth="1"/>
    <col min="14" max="14" width="14" style="90" customWidth="1"/>
    <col min="15" max="16" width="14" customWidth="1"/>
    <col min="17" max="17" width="11.1640625" style="56" bestFit="1" customWidth="1"/>
  </cols>
  <sheetData>
    <row r="1" spans="1:17">
      <c r="A1" s="92" t="s">
        <v>0</v>
      </c>
      <c r="B1" s="45" t="s">
        <v>1</v>
      </c>
      <c r="C1" s="45" t="s">
        <v>2</v>
      </c>
      <c r="D1" s="51" t="s">
        <v>157</v>
      </c>
      <c r="E1" s="51" t="s">
        <v>193</v>
      </c>
      <c r="F1" s="51" t="s">
        <v>189</v>
      </c>
      <c r="G1" s="52" t="s">
        <v>158</v>
      </c>
      <c r="H1" s="53" t="s">
        <v>8</v>
      </c>
      <c r="I1" s="60" t="s">
        <v>181</v>
      </c>
      <c r="J1" s="86">
        <v>2015</v>
      </c>
      <c r="K1" s="54">
        <v>2016</v>
      </c>
      <c r="L1" s="55">
        <v>2017</v>
      </c>
      <c r="M1" s="54">
        <v>2018</v>
      </c>
      <c r="N1" s="87">
        <v>2019</v>
      </c>
      <c r="O1" s="54">
        <v>2020</v>
      </c>
      <c r="P1" s="55">
        <v>2021</v>
      </c>
      <c r="Q1" s="56">
        <v>2022</v>
      </c>
    </row>
    <row r="2" spans="1:17">
      <c r="A2" s="123" t="s">
        <v>263</v>
      </c>
      <c r="B2" s="125" t="s">
        <v>270</v>
      </c>
      <c r="C2" s="121" t="s">
        <v>271</v>
      </c>
      <c r="D2" s="72" t="s">
        <v>186</v>
      </c>
      <c r="E2" s="64"/>
      <c r="G2" t="s">
        <v>169</v>
      </c>
      <c r="H2" s="73">
        <v>44926</v>
      </c>
      <c r="I2" s="97">
        <v>2000</v>
      </c>
      <c r="K2" s="56"/>
      <c r="L2" s="57"/>
      <c r="M2" s="56"/>
      <c r="N2" s="88">
        <v>14363</v>
      </c>
      <c r="O2" s="56">
        <v>9304</v>
      </c>
      <c r="P2" s="57">
        <v>9819</v>
      </c>
      <c r="Q2" s="56">
        <v>9405</v>
      </c>
    </row>
    <row r="3" spans="1:17">
      <c r="A3" s="123"/>
      <c r="B3" s="126"/>
      <c r="C3" s="121"/>
      <c r="D3" s="76" t="s">
        <v>162</v>
      </c>
      <c r="G3" t="s">
        <v>169</v>
      </c>
      <c r="H3" s="73">
        <v>44926</v>
      </c>
      <c r="I3" s="50"/>
      <c r="K3" s="56"/>
      <c r="L3" s="57"/>
      <c r="M3" s="56">
        <v>2610</v>
      </c>
      <c r="N3" s="88">
        <v>2408</v>
      </c>
      <c r="O3" s="56">
        <v>1951</v>
      </c>
      <c r="P3" s="57">
        <v>1944</v>
      </c>
      <c r="Q3" s="56">
        <v>1798</v>
      </c>
    </row>
    <row r="4" spans="1:17">
      <c r="A4" s="124"/>
      <c r="B4" s="126"/>
      <c r="C4" s="122"/>
      <c r="D4" s="51" t="s">
        <v>163</v>
      </c>
      <c r="E4" t="s">
        <v>173</v>
      </c>
      <c r="G4" t="s">
        <v>170</v>
      </c>
      <c r="H4" s="73">
        <v>44926</v>
      </c>
      <c r="I4" s="50"/>
      <c r="K4" s="56"/>
      <c r="L4" s="57"/>
      <c r="M4" s="99"/>
      <c r="N4" s="100"/>
      <c r="O4" s="56"/>
      <c r="P4" s="98">
        <v>127546646</v>
      </c>
      <c r="Q4" s="99">
        <v>118828370</v>
      </c>
    </row>
    <row r="5" spans="1:17">
      <c r="A5" s="124"/>
      <c r="B5" s="126"/>
      <c r="C5" s="122"/>
      <c r="D5" s="51" t="s">
        <v>288</v>
      </c>
      <c r="G5" t="s">
        <v>287</v>
      </c>
      <c r="H5" s="73">
        <v>44926</v>
      </c>
      <c r="I5" s="50"/>
      <c r="K5" s="56"/>
      <c r="L5" s="57"/>
      <c r="M5" s="99">
        <v>115</v>
      </c>
      <c r="N5" s="100">
        <v>114</v>
      </c>
      <c r="O5" s="56">
        <v>96</v>
      </c>
      <c r="P5" s="98">
        <v>119</v>
      </c>
      <c r="Q5" s="99">
        <v>117</v>
      </c>
    </row>
    <row r="6" spans="1:17">
      <c r="A6" s="124"/>
      <c r="B6" s="126"/>
      <c r="C6" s="122"/>
      <c r="D6" s="51" t="s">
        <v>165</v>
      </c>
      <c r="G6" t="s">
        <v>289</v>
      </c>
      <c r="H6" s="73">
        <v>44926</v>
      </c>
      <c r="I6" s="50"/>
      <c r="K6" s="56"/>
      <c r="L6" s="57"/>
      <c r="M6" s="56"/>
      <c r="N6" s="88"/>
      <c r="O6" s="56"/>
      <c r="P6" s="57">
        <f>P4/P5</f>
        <v>1071820.5546218487</v>
      </c>
      <c r="Q6" s="56">
        <f>Q4/Q5</f>
        <v>1015627.094017094</v>
      </c>
    </row>
    <row r="7" spans="1:17">
      <c r="A7" s="124"/>
      <c r="B7" s="121"/>
      <c r="C7" s="122"/>
      <c r="D7" s="51" t="s">
        <v>166</v>
      </c>
      <c r="E7" s="78"/>
      <c r="F7" s="79"/>
      <c r="G7" s="79"/>
      <c r="H7" s="85">
        <v>44926</v>
      </c>
      <c r="I7" s="80"/>
      <c r="K7" s="56"/>
      <c r="L7" s="57"/>
      <c r="M7" s="56"/>
      <c r="N7" s="88"/>
      <c r="O7" s="56"/>
      <c r="P7" s="57"/>
      <c r="Q7" s="56" t="s">
        <v>284</v>
      </c>
    </row>
    <row r="8" spans="1:17">
      <c r="A8" s="123" t="s">
        <v>263</v>
      </c>
      <c r="B8" s="125" t="s">
        <v>270</v>
      </c>
      <c r="C8" s="121" t="s">
        <v>271</v>
      </c>
      <c r="D8" s="72" t="s">
        <v>186</v>
      </c>
      <c r="E8" s="64"/>
      <c r="G8" t="s">
        <v>170</v>
      </c>
      <c r="H8" s="73">
        <v>44561</v>
      </c>
      <c r="I8" s="97">
        <v>2000</v>
      </c>
      <c r="K8" s="56"/>
      <c r="L8" s="57"/>
      <c r="M8" s="56"/>
      <c r="N8" s="88"/>
      <c r="O8" s="56"/>
      <c r="P8" s="57"/>
    </row>
    <row r="9" spans="1:17">
      <c r="A9" s="123"/>
      <c r="B9" s="126"/>
      <c r="C9" s="121"/>
      <c r="D9" s="76" t="s">
        <v>162</v>
      </c>
      <c r="G9" t="s">
        <v>170</v>
      </c>
      <c r="H9" s="73">
        <v>44561</v>
      </c>
      <c r="I9" s="50"/>
      <c r="K9" s="56"/>
      <c r="L9" s="57"/>
      <c r="M9" s="56"/>
      <c r="N9" s="88"/>
      <c r="O9" s="99">
        <v>2386004</v>
      </c>
      <c r="P9" s="98">
        <v>2239127</v>
      </c>
    </row>
    <row r="10" spans="1:17">
      <c r="A10" s="124"/>
      <c r="B10" s="126"/>
      <c r="C10" s="122"/>
      <c r="D10" s="51" t="s">
        <v>163</v>
      </c>
      <c r="E10" t="s">
        <v>173</v>
      </c>
      <c r="G10" t="s">
        <v>170</v>
      </c>
      <c r="H10" s="73">
        <v>44561</v>
      </c>
      <c r="I10" s="50"/>
      <c r="K10" s="56"/>
      <c r="L10" s="57"/>
      <c r="M10" s="99"/>
      <c r="N10" s="100"/>
      <c r="O10" s="99">
        <v>135068055</v>
      </c>
      <c r="P10" s="98">
        <v>127735901</v>
      </c>
      <c r="Q10" s="99"/>
    </row>
    <row r="11" spans="1:17">
      <c r="A11" s="124"/>
      <c r="B11" s="126"/>
      <c r="C11" s="122"/>
      <c r="D11" s="51" t="s">
        <v>288</v>
      </c>
      <c r="G11" t="s">
        <v>287</v>
      </c>
      <c r="H11" s="73">
        <v>44561</v>
      </c>
      <c r="I11" s="50"/>
      <c r="K11" s="56"/>
      <c r="L11" s="57"/>
      <c r="M11" s="99">
        <v>115</v>
      </c>
      <c r="N11" s="100">
        <v>114</v>
      </c>
      <c r="O11" s="99">
        <v>96</v>
      </c>
      <c r="P11" s="98"/>
      <c r="Q11" s="99"/>
    </row>
    <row r="12" spans="1:17">
      <c r="A12" s="124"/>
      <c r="B12" s="126"/>
      <c r="C12" s="122"/>
      <c r="D12" s="51" t="s">
        <v>165</v>
      </c>
      <c r="G12" t="s">
        <v>289</v>
      </c>
      <c r="H12" s="73">
        <v>44561</v>
      </c>
      <c r="I12" s="50"/>
      <c r="K12" s="56"/>
      <c r="L12" s="57"/>
      <c r="M12" s="56"/>
      <c r="N12" s="88"/>
      <c r="O12" s="56">
        <f>O10/O11</f>
        <v>1406958.90625</v>
      </c>
      <c r="P12" s="57"/>
    </row>
    <row r="13" spans="1:17">
      <c r="A13" s="124"/>
      <c r="B13" s="121"/>
      <c r="C13" s="122"/>
      <c r="D13" s="51" t="s">
        <v>166</v>
      </c>
      <c r="E13" s="78"/>
      <c r="F13" s="79"/>
      <c r="G13" s="79"/>
      <c r="H13" s="85">
        <v>44561</v>
      </c>
      <c r="I13" s="80"/>
      <c r="K13" s="56"/>
      <c r="L13" s="57"/>
      <c r="M13" s="56"/>
      <c r="N13" s="88"/>
      <c r="O13" s="56"/>
      <c r="P13" s="57" t="s">
        <v>285</v>
      </c>
    </row>
    <row r="14" spans="1:17">
      <c r="A14" s="123" t="s">
        <v>263</v>
      </c>
      <c r="B14" s="125" t="s">
        <v>270</v>
      </c>
      <c r="C14" s="121" t="s">
        <v>271</v>
      </c>
      <c r="D14" s="72" t="s">
        <v>186</v>
      </c>
      <c r="E14" s="64"/>
      <c r="G14" t="s">
        <v>170</v>
      </c>
      <c r="H14" s="73">
        <v>44196</v>
      </c>
      <c r="I14" s="97">
        <v>2000</v>
      </c>
      <c r="K14" s="56"/>
      <c r="L14" s="57"/>
      <c r="M14" s="56"/>
      <c r="N14" s="88"/>
      <c r="O14" s="56"/>
      <c r="P14" s="57"/>
    </row>
    <row r="15" spans="1:17">
      <c r="A15" s="123"/>
      <c r="B15" s="126"/>
      <c r="C15" s="121"/>
      <c r="D15" s="76" t="s">
        <v>162</v>
      </c>
      <c r="G15" t="s">
        <v>170</v>
      </c>
      <c r="H15" s="73">
        <v>44196</v>
      </c>
      <c r="I15" s="101">
        <f>K15*1.25</f>
        <v>4472111.25</v>
      </c>
      <c r="K15" s="99">
        <v>3577689</v>
      </c>
      <c r="L15" s="98">
        <v>3306584</v>
      </c>
      <c r="M15" s="99">
        <v>3229327</v>
      </c>
      <c r="N15" s="100">
        <v>2879864</v>
      </c>
      <c r="O15" s="99">
        <v>2542442</v>
      </c>
      <c r="P15" s="57"/>
    </row>
    <row r="16" spans="1:17">
      <c r="A16" s="124"/>
      <c r="B16" s="126"/>
      <c r="C16" s="122"/>
      <c r="D16" s="51" t="s">
        <v>163</v>
      </c>
      <c r="E16" t="s">
        <v>173</v>
      </c>
      <c r="G16" t="s">
        <v>170</v>
      </c>
      <c r="H16" s="73">
        <v>44196</v>
      </c>
      <c r="I16" s="50"/>
      <c r="K16" s="99">
        <v>150462000</v>
      </c>
      <c r="L16" s="98">
        <v>213715000</v>
      </c>
      <c r="M16" s="99">
        <v>203106900</v>
      </c>
      <c r="N16" s="100">
        <v>173138601</v>
      </c>
      <c r="O16" s="99">
        <v>135068055</v>
      </c>
      <c r="P16" s="98"/>
      <c r="Q16" s="99"/>
    </row>
    <row r="17" spans="1:17">
      <c r="A17" s="124"/>
      <c r="B17" s="126"/>
      <c r="C17" s="122"/>
      <c r="D17" s="51" t="s">
        <v>288</v>
      </c>
      <c r="G17" t="s">
        <v>287</v>
      </c>
      <c r="H17" s="73">
        <v>44196</v>
      </c>
      <c r="I17" s="50"/>
      <c r="K17" s="56">
        <v>117</v>
      </c>
      <c r="L17" s="57">
        <v>117</v>
      </c>
      <c r="M17" s="99">
        <v>115</v>
      </c>
      <c r="N17" s="100">
        <v>114</v>
      </c>
      <c r="O17" s="99">
        <v>114</v>
      </c>
      <c r="P17" s="98"/>
      <c r="Q17" s="99"/>
    </row>
    <row r="18" spans="1:17">
      <c r="A18" s="124"/>
      <c r="B18" s="126"/>
      <c r="C18" s="122"/>
      <c r="D18" s="51" t="s">
        <v>165</v>
      </c>
      <c r="G18" t="s">
        <v>289</v>
      </c>
      <c r="H18" s="73">
        <v>44196</v>
      </c>
      <c r="I18" s="50"/>
      <c r="K18" s="56">
        <f>K16/K17</f>
        <v>1286000</v>
      </c>
      <c r="L18" s="57">
        <f>L16/L17</f>
        <v>1826623.9316239315</v>
      </c>
      <c r="M18" s="56">
        <f>M16/M17</f>
        <v>1766146.956521739</v>
      </c>
      <c r="N18" s="88">
        <f>N16/N17</f>
        <v>1518759.6578947369</v>
      </c>
      <c r="O18" s="56">
        <f>O16/O17</f>
        <v>1184807.5</v>
      </c>
      <c r="P18" s="57"/>
    </row>
    <row r="19" spans="1:17">
      <c r="A19" s="124"/>
      <c r="B19" s="121"/>
      <c r="C19" s="122"/>
      <c r="D19" s="51" t="s">
        <v>166</v>
      </c>
      <c r="E19" s="78"/>
      <c r="F19" s="79"/>
      <c r="G19" s="79"/>
      <c r="H19" s="85">
        <v>44196</v>
      </c>
      <c r="I19" s="80"/>
      <c r="K19" s="56"/>
      <c r="L19" s="57"/>
      <c r="M19" s="56"/>
      <c r="N19" s="88"/>
      <c r="O19" s="56" t="s">
        <v>286</v>
      </c>
      <c r="P19" s="57"/>
    </row>
    <row r="20" spans="1:17">
      <c r="A20" s="123" t="s">
        <v>272</v>
      </c>
      <c r="B20" s="125" t="s">
        <v>273</v>
      </c>
      <c r="C20" s="121" t="s">
        <v>274</v>
      </c>
      <c r="D20" s="72" t="s">
        <v>186</v>
      </c>
      <c r="E20" s="64"/>
      <c r="H20" s="73">
        <v>44196</v>
      </c>
      <c r="I20" s="97">
        <v>2010</v>
      </c>
      <c r="K20" s="56"/>
      <c r="L20" s="57"/>
      <c r="M20" s="56"/>
      <c r="N20" s="88"/>
      <c r="O20" s="56"/>
      <c r="P20" s="57"/>
    </row>
    <row r="21" spans="1:17">
      <c r="A21" s="123"/>
      <c r="B21" s="126"/>
      <c r="C21" s="121"/>
      <c r="D21" s="76" t="s">
        <v>188</v>
      </c>
      <c r="H21" s="73">
        <v>44196</v>
      </c>
      <c r="I21" s="113">
        <v>0.5</v>
      </c>
      <c r="K21" s="109">
        <v>0.23</v>
      </c>
      <c r="L21" s="110">
        <v>0.2</v>
      </c>
      <c r="M21" s="109">
        <v>0.2</v>
      </c>
      <c r="N21" s="111">
        <v>0.2</v>
      </c>
      <c r="O21" s="109">
        <v>0.21</v>
      </c>
      <c r="P21" s="57"/>
    </row>
    <row r="22" spans="1:17">
      <c r="A22" s="123"/>
      <c r="B22" s="126"/>
      <c r="C22" s="121"/>
      <c r="D22" s="76" t="s">
        <v>303</v>
      </c>
      <c r="H22" s="73">
        <v>44196</v>
      </c>
      <c r="I22" s="113">
        <v>0.5</v>
      </c>
      <c r="K22" s="109">
        <f>K23-K21</f>
        <v>0.16</v>
      </c>
      <c r="L22" s="110">
        <f t="shared" ref="L22:O22" si="0">L23-L21</f>
        <v>0.19</v>
      </c>
      <c r="M22" s="109">
        <f t="shared" si="0"/>
        <v>0.18</v>
      </c>
      <c r="N22" s="111">
        <f t="shared" si="0"/>
        <v>0.19</v>
      </c>
      <c r="O22" s="109">
        <f t="shared" si="0"/>
        <v>0.19999999999999998</v>
      </c>
      <c r="P22" s="57"/>
    </row>
    <row r="23" spans="1:17">
      <c r="A23" s="123"/>
      <c r="B23" s="126"/>
      <c r="C23" s="121"/>
      <c r="D23" s="76" t="s">
        <v>192</v>
      </c>
      <c r="G23" t="s">
        <v>298</v>
      </c>
      <c r="H23" s="73">
        <v>44196</v>
      </c>
      <c r="I23" s="114">
        <v>1</v>
      </c>
      <c r="K23" s="109">
        <v>0.39</v>
      </c>
      <c r="L23" s="110">
        <v>0.39</v>
      </c>
      <c r="M23" s="109">
        <v>0.38</v>
      </c>
      <c r="N23" s="111">
        <v>0.39</v>
      </c>
      <c r="O23" s="109">
        <v>0.41</v>
      </c>
      <c r="P23" s="57"/>
    </row>
    <row r="24" spans="1:17">
      <c r="A24" s="123"/>
      <c r="B24" s="126"/>
      <c r="C24" s="121"/>
      <c r="D24" s="76" t="s">
        <v>288</v>
      </c>
      <c r="E24">
        <v>1</v>
      </c>
      <c r="G24" t="s">
        <v>298</v>
      </c>
      <c r="H24" s="73">
        <v>44196</v>
      </c>
      <c r="I24" s="101">
        <f>I$31*15.1%</f>
        <v>5.7379999999999995</v>
      </c>
      <c r="K24" s="104">
        <v>4</v>
      </c>
      <c r="L24" s="103">
        <v>4</v>
      </c>
      <c r="M24" s="104">
        <v>4.5</v>
      </c>
      <c r="N24" s="105">
        <v>4.0999999999999996</v>
      </c>
      <c r="O24" s="104">
        <f t="shared" ref="O24" si="1">O$31*15.1%</f>
        <v>4.6055000000000001</v>
      </c>
      <c r="P24" s="57"/>
    </row>
    <row r="25" spans="1:17">
      <c r="A25" s="123"/>
      <c r="B25" s="126"/>
      <c r="C25" s="121"/>
      <c r="D25" s="76" t="s">
        <v>288</v>
      </c>
      <c r="E25">
        <v>3</v>
      </c>
      <c r="G25" t="s">
        <v>298</v>
      </c>
      <c r="H25" s="73">
        <v>44196</v>
      </c>
      <c r="I25" s="101">
        <f>I$31*12%</f>
        <v>4.5599999999999996</v>
      </c>
      <c r="K25" s="104">
        <v>2.7</v>
      </c>
      <c r="L25" s="103">
        <v>3.5</v>
      </c>
      <c r="M25" s="104">
        <v>3</v>
      </c>
      <c r="N25" s="105">
        <v>3.5</v>
      </c>
      <c r="O25" s="104">
        <f t="shared" ref="O25" si="2">O$31*12%</f>
        <v>3.6599999999999997</v>
      </c>
      <c r="P25" s="57"/>
    </row>
    <row r="26" spans="1:17">
      <c r="A26" s="123"/>
      <c r="B26" s="126"/>
      <c r="C26" s="121"/>
      <c r="D26" s="76" t="s">
        <v>288</v>
      </c>
      <c r="E26">
        <v>4</v>
      </c>
      <c r="G26" t="s">
        <v>298</v>
      </c>
      <c r="H26" s="73">
        <v>44196</v>
      </c>
      <c r="I26" s="101">
        <f>I$31*1.2%</f>
        <v>0.45600000000000002</v>
      </c>
      <c r="K26" s="104">
        <f t="shared" ref="K26:O26" si="3">K$31*1.2%</f>
        <v>0.378</v>
      </c>
      <c r="L26" s="103">
        <f t="shared" si="3"/>
        <v>0.372</v>
      </c>
      <c r="M26" s="104">
        <f t="shared" si="3"/>
        <v>0.37320000000000003</v>
      </c>
      <c r="N26" s="105">
        <f t="shared" si="3"/>
        <v>0.37559999999999999</v>
      </c>
      <c r="O26" s="104">
        <f t="shared" si="3"/>
        <v>0.36599999999999999</v>
      </c>
      <c r="P26" s="57"/>
    </row>
    <row r="27" spans="1:17">
      <c r="A27" s="123"/>
      <c r="B27" s="126"/>
      <c r="C27" s="121"/>
      <c r="D27" s="76" t="s">
        <v>288</v>
      </c>
      <c r="E27">
        <v>9</v>
      </c>
      <c r="G27" t="s">
        <v>298</v>
      </c>
      <c r="H27" s="73">
        <v>44196</v>
      </c>
      <c r="I27" s="101">
        <f>I$31*0.3%</f>
        <v>0.114</v>
      </c>
      <c r="K27" s="104">
        <f t="shared" ref="K27:O27" si="4">K$31*0.3%</f>
        <v>9.4500000000000001E-2</v>
      </c>
      <c r="L27" s="103">
        <f t="shared" si="4"/>
        <v>9.2999999999999999E-2</v>
      </c>
      <c r="M27" s="104">
        <f t="shared" si="4"/>
        <v>9.3300000000000008E-2</v>
      </c>
      <c r="N27" s="105">
        <f t="shared" si="4"/>
        <v>9.3899999999999997E-2</v>
      </c>
      <c r="O27" s="104">
        <f t="shared" si="4"/>
        <v>9.1499999999999998E-2</v>
      </c>
      <c r="P27" s="57"/>
    </row>
    <row r="28" spans="1:17">
      <c r="A28" s="123"/>
      <c r="B28" s="126"/>
      <c r="C28" s="121"/>
      <c r="D28" s="76" t="s">
        <v>288</v>
      </c>
      <c r="E28">
        <v>11</v>
      </c>
      <c r="G28" t="s">
        <v>298</v>
      </c>
      <c r="H28" s="73">
        <v>44196</v>
      </c>
      <c r="I28" s="101">
        <f>I$31*69.9%</f>
        <v>26.562000000000001</v>
      </c>
      <c r="K28" s="104">
        <v>22.4</v>
      </c>
      <c r="L28" s="103">
        <v>22.5</v>
      </c>
      <c r="M28" s="104">
        <v>22.5</v>
      </c>
      <c r="N28" s="105">
        <v>22.5</v>
      </c>
      <c r="O28" s="104">
        <f t="shared" ref="O28" si="5">O$31*69.9%</f>
        <v>21.319500000000001</v>
      </c>
      <c r="P28" s="57"/>
    </row>
    <row r="29" spans="1:17">
      <c r="A29" s="124"/>
      <c r="B29" s="126"/>
      <c r="C29" s="122"/>
      <c r="D29" s="51" t="s">
        <v>163</v>
      </c>
      <c r="E29" t="s">
        <v>173</v>
      </c>
      <c r="G29" t="s">
        <v>171</v>
      </c>
      <c r="H29" s="73">
        <v>44196</v>
      </c>
      <c r="I29" s="112">
        <f>I30*I33/1000000</f>
        <v>97.154452000000006</v>
      </c>
      <c r="J29" s="36"/>
      <c r="K29" s="112">
        <f>K30*K33/1000000</f>
        <v>93.887437500000004</v>
      </c>
      <c r="L29" s="112">
        <f>L30*L33/1000000</f>
        <v>113.6013468</v>
      </c>
      <c r="M29" s="112">
        <f>M30*M33/1000000</f>
        <v>76.483523399999996</v>
      </c>
      <c r="N29" s="112">
        <f>N30*N33/1000000</f>
        <v>114.4885515</v>
      </c>
      <c r="O29" s="112">
        <f>O30*O33/1000000</f>
        <v>88.495469999999997</v>
      </c>
      <c r="P29" s="57"/>
    </row>
    <row r="30" spans="1:17">
      <c r="A30" s="124"/>
      <c r="B30" s="126"/>
      <c r="C30" s="122"/>
      <c r="D30" s="51" t="s">
        <v>288</v>
      </c>
      <c r="E30" t="s">
        <v>173</v>
      </c>
      <c r="G30" t="s">
        <v>298</v>
      </c>
      <c r="H30" s="73">
        <v>44196</v>
      </c>
      <c r="I30" s="103">
        <v>37</v>
      </c>
      <c r="J30" s="102"/>
      <c r="K30" s="104">
        <v>29.5</v>
      </c>
      <c r="L30" s="103">
        <v>30.2</v>
      </c>
      <c r="M30" s="104">
        <v>30.2</v>
      </c>
      <c r="N30" s="105">
        <v>30.5</v>
      </c>
      <c r="O30" s="104">
        <v>30</v>
      </c>
      <c r="P30" s="57"/>
    </row>
    <row r="31" spans="1:17">
      <c r="A31" s="124"/>
      <c r="B31" s="126"/>
      <c r="C31" s="122"/>
      <c r="D31" s="51" t="s">
        <v>302</v>
      </c>
      <c r="G31" t="s">
        <v>298</v>
      </c>
      <c r="H31" s="73">
        <v>44196</v>
      </c>
      <c r="I31" s="103">
        <v>38</v>
      </c>
      <c r="J31" s="102"/>
      <c r="K31" s="104">
        <v>31.5</v>
      </c>
      <c r="L31" s="103">
        <v>31</v>
      </c>
      <c r="M31" s="104">
        <v>31.1</v>
      </c>
      <c r="N31" s="105">
        <v>31.3</v>
      </c>
      <c r="O31" s="104">
        <v>30.5</v>
      </c>
      <c r="P31" s="57"/>
    </row>
    <row r="32" spans="1:17">
      <c r="A32" s="124"/>
      <c r="B32" s="126"/>
      <c r="C32" s="122"/>
      <c r="D32" s="51" t="s">
        <v>304</v>
      </c>
      <c r="G32" t="s">
        <v>305</v>
      </c>
      <c r="H32" s="73">
        <v>44196</v>
      </c>
      <c r="I32" s="61">
        <v>150000</v>
      </c>
      <c r="J32" s="61"/>
      <c r="K32" s="106">
        <v>150000</v>
      </c>
      <c r="L32" s="107">
        <v>150000</v>
      </c>
      <c r="M32" s="106">
        <v>150000</v>
      </c>
      <c r="N32" s="108">
        <v>150000</v>
      </c>
      <c r="O32" s="106">
        <v>150000</v>
      </c>
      <c r="P32" s="57"/>
    </row>
    <row r="33" spans="1:17">
      <c r="A33" s="124"/>
      <c r="B33" s="126"/>
      <c r="C33" s="122"/>
      <c r="D33" s="51" t="s">
        <v>165</v>
      </c>
      <c r="G33" t="s">
        <v>301</v>
      </c>
      <c r="H33" s="73">
        <v>44196</v>
      </c>
      <c r="I33" s="61">
        <v>2625796</v>
      </c>
      <c r="K33" s="106">
        <v>3182625</v>
      </c>
      <c r="L33" s="107">
        <v>3761634</v>
      </c>
      <c r="M33" s="106">
        <v>2532567</v>
      </c>
      <c r="N33" s="108">
        <v>3753723</v>
      </c>
      <c r="O33" s="106">
        <v>2949849</v>
      </c>
      <c r="P33" s="57"/>
    </row>
    <row r="34" spans="1:17">
      <c r="A34" s="124"/>
      <c r="B34" s="121"/>
      <c r="C34" s="122"/>
      <c r="D34" s="51" t="s">
        <v>166</v>
      </c>
      <c r="E34" s="78"/>
      <c r="F34" s="79"/>
      <c r="G34" s="79"/>
      <c r="H34" s="85">
        <v>44196</v>
      </c>
      <c r="I34" s="80"/>
      <c r="J34" s="79"/>
      <c r="K34" s="115"/>
      <c r="L34" s="116"/>
      <c r="M34" s="115"/>
      <c r="N34" s="117"/>
      <c r="O34" s="115" t="s">
        <v>299</v>
      </c>
      <c r="P34" s="116"/>
      <c r="Q34" s="115"/>
    </row>
    <row r="35" spans="1:17">
      <c r="A35" s="82"/>
      <c r="B35" s="82"/>
      <c r="C35" s="82"/>
      <c r="D35" s="82"/>
      <c r="E35" s="82"/>
      <c r="F35" s="82"/>
      <c r="G35" s="82"/>
      <c r="H35" s="82"/>
      <c r="I35" s="118"/>
      <c r="J35" s="82"/>
      <c r="K35" s="82"/>
      <c r="L35" s="82"/>
      <c r="M35" s="82"/>
      <c r="N35" s="119"/>
      <c r="O35" s="82"/>
      <c r="P35" s="82"/>
      <c r="Q35" s="120"/>
    </row>
  </sheetData>
  <mergeCells count="12">
    <mergeCell ref="C2:C7"/>
    <mergeCell ref="A20:A34"/>
    <mergeCell ref="B20:B34"/>
    <mergeCell ref="C20:C34"/>
    <mergeCell ref="A14:A19"/>
    <mergeCell ref="B14:B19"/>
    <mergeCell ref="C14:C19"/>
    <mergeCell ref="A8:A13"/>
    <mergeCell ref="B8:B13"/>
    <mergeCell ref="C8:C13"/>
    <mergeCell ref="A2:A7"/>
    <mergeCell ref="B2:B7"/>
  </mergeCells>
  <pageMargins left="0.75" right="0.75" top="1" bottom="1" header="0.5" footer="0.5"/>
  <pageSetup orientation="portrait" horizontalDpi="0" verticalDpi="0"/>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Q223"/>
  <sheetViews>
    <sheetView zoomScaleNormal="100" workbookViewId="0">
      <pane xSplit="1" ySplit="1" topLeftCell="B140" activePane="bottomRight" state="frozen"/>
      <selection pane="topRight" activeCell="B1" sqref="B1"/>
      <selection pane="bottomLeft" activeCell="A2" sqref="A2"/>
      <selection pane="bottomRight" activeCell="R144" sqref="R144"/>
    </sheetView>
  </sheetViews>
  <sheetFormatPr baseColWidth="10" defaultColWidth="8.83203125" defaultRowHeight="15"/>
  <cols>
    <col min="1" max="1" width="18.5" customWidth="1"/>
    <col min="2" max="2" width="24" customWidth="1"/>
    <col min="3" max="3" width="16" customWidth="1"/>
    <col min="4" max="6" width="12" customWidth="1"/>
    <col min="7" max="7" width="17" customWidth="1"/>
    <col min="8" max="8" width="13" customWidth="1"/>
    <col min="9" max="9" width="13" style="61" customWidth="1"/>
    <col min="10" max="10" width="13" customWidth="1"/>
    <col min="11" max="13" width="14" customWidth="1"/>
    <col min="14" max="14" width="14" style="90" customWidth="1"/>
    <col min="15" max="16" width="14" customWidth="1"/>
    <col min="17" max="17" width="11.1640625" style="56" bestFit="1" customWidth="1"/>
  </cols>
  <sheetData>
    <row r="1" spans="1:17">
      <c r="A1" s="92" t="s">
        <v>0</v>
      </c>
      <c r="B1" s="45" t="s">
        <v>1</v>
      </c>
      <c r="C1" s="45" t="s">
        <v>2</v>
      </c>
      <c r="D1" s="51" t="s">
        <v>157</v>
      </c>
      <c r="E1" s="51" t="s">
        <v>193</v>
      </c>
      <c r="F1" s="51" t="s">
        <v>189</v>
      </c>
      <c r="G1" s="52" t="s">
        <v>158</v>
      </c>
      <c r="H1" s="53" t="s">
        <v>8</v>
      </c>
      <c r="I1" s="60" t="s">
        <v>181</v>
      </c>
      <c r="J1" s="86">
        <v>2015</v>
      </c>
      <c r="K1" s="54">
        <v>2016</v>
      </c>
      <c r="L1" s="55">
        <v>2017</v>
      </c>
      <c r="M1" s="54">
        <v>2018</v>
      </c>
      <c r="N1" s="87">
        <v>2019</v>
      </c>
      <c r="O1" s="54">
        <v>2020</v>
      </c>
      <c r="P1" s="55">
        <v>2021</v>
      </c>
      <c r="Q1" s="56">
        <v>2022</v>
      </c>
    </row>
    <row r="2" spans="1:17">
      <c r="A2" s="124" t="s">
        <v>58</v>
      </c>
      <c r="B2" s="127" t="s">
        <v>59</v>
      </c>
      <c r="C2" s="122" t="s">
        <v>60</v>
      </c>
      <c r="D2" s="51" t="s">
        <v>159</v>
      </c>
      <c r="G2" t="s">
        <v>169</v>
      </c>
      <c r="H2" s="50">
        <v>44635</v>
      </c>
      <c r="K2" s="56"/>
      <c r="L2" s="57"/>
      <c r="M2" s="56"/>
      <c r="N2" s="88"/>
      <c r="O2" s="56"/>
      <c r="P2" s="57">
        <v>51.6</v>
      </c>
      <c r="Q2" s="56">
        <v>53.1</v>
      </c>
    </row>
    <row r="3" spans="1:17">
      <c r="A3" s="124"/>
      <c r="B3" s="126"/>
      <c r="C3" s="122"/>
      <c r="D3" s="51" t="s">
        <v>188</v>
      </c>
      <c r="G3" t="s">
        <v>172</v>
      </c>
      <c r="H3" s="50">
        <v>44635</v>
      </c>
      <c r="K3" s="56"/>
      <c r="L3" s="57"/>
      <c r="M3" s="56"/>
      <c r="N3" s="88"/>
      <c r="O3" s="56"/>
      <c r="P3" s="57">
        <v>229</v>
      </c>
      <c r="Q3" s="56">
        <v>225</v>
      </c>
    </row>
    <row r="4" spans="1:17">
      <c r="A4" s="124"/>
      <c r="B4" s="126"/>
      <c r="C4" s="122"/>
      <c r="D4" s="51" t="s">
        <v>160</v>
      </c>
      <c r="E4" t="s">
        <v>161</v>
      </c>
      <c r="G4" t="s">
        <v>169</v>
      </c>
      <c r="H4" s="50">
        <v>44635</v>
      </c>
      <c r="K4" s="56"/>
      <c r="L4" s="57"/>
      <c r="M4" s="56"/>
      <c r="N4" s="88"/>
      <c r="O4" s="56"/>
      <c r="P4" s="57">
        <v>3.8</v>
      </c>
      <c r="Q4" s="56">
        <v>4</v>
      </c>
    </row>
    <row r="5" spans="1:17">
      <c r="A5" s="124"/>
      <c r="B5" s="126"/>
      <c r="C5" s="122"/>
      <c r="D5" s="51" t="s">
        <v>160</v>
      </c>
      <c r="E5" t="s">
        <v>167</v>
      </c>
      <c r="G5" t="s">
        <v>169</v>
      </c>
      <c r="H5" s="50">
        <v>44635</v>
      </c>
      <c r="K5" s="56"/>
      <c r="L5" s="57"/>
      <c r="M5" s="56"/>
      <c r="N5" s="88"/>
      <c r="O5" s="56"/>
      <c r="P5" s="57">
        <v>6.1</v>
      </c>
      <c r="Q5" s="56">
        <v>6.1</v>
      </c>
    </row>
    <row r="6" spans="1:17">
      <c r="A6" s="124"/>
      <c r="B6" s="126"/>
      <c r="C6" s="122"/>
      <c r="D6" s="51" t="s">
        <v>163</v>
      </c>
      <c r="E6" t="s">
        <v>164</v>
      </c>
      <c r="G6" t="s">
        <v>169</v>
      </c>
      <c r="H6" s="50">
        <v>44635</v>
      </c>
      <c r="K6" s="56"/>
      <c r="L6" s="57"/>
      <c r="M6" s="56"/>
      <c r="N6" s="88"/>
      <c r="O6" s="56"/>
      <c r="P6" s="57">
        <v>70.5</v>
      </c>
      <c r="Q6" s="56">
        <v>75.8</v>
      </c>
    </row>
    <row r="7" spans="1:17">
      <c r="A7" s="124"/>
      <c r="B7" s="126"/>
      <c r="C7" s="122"/>
      <c r="D7" s="51" t="s">
        <v>165</v>
      </c>
      <c r="E7" t="s">
        <v>183</v>
      </c>
      <c r="F7" t="s">
        <v>291</v>
      </c>
      <c r="G7" t="s">
        <v>53</v>
      </c>
      <c r="H7" s="50">
        <v>44635</v>
      </c>
      <c r="K7" s="56"/>
      <c r="L7" s="57"/>
      <c r="M7" s="56"/>
      <c r="N7" s="88"/>
      <c r="O7" s="56"/>
      <c r="P7" s="57">
        <v>309.39999999999998</v>
      </c>
      <c r="Q7" s="56">
        <v>321.10000000000002</v>
      </c>
    </row>
    <row r="8" spans="1:17">
      <c r="A8" s="124"/>
      <c r="B8" s="126"/>
      <c r="C8" s="122"/>
      <c r="D8" s="51" t="s">
        <v>165</v>
      </c>
      <c r="E8" t="s">
        <v>184</v>
      </c>
      <c r="G8" t="s">
        <v>233</v>
      </c>
      <c r="H8" s="50">
        <v>44635</v>
      </c>
      <c r="K8" s="56"/>
      <c r="L8" s="57"/>
      <c r="M8" s="56"/>
      <c r="N8" s="88"/>
      <c r="O8" s="56"/>
      <c r="P8" s="57">
        <v>9.9</v>
      </c>
      <c r="Q8" s="56">
        <v>10.199999999999999</v>
      </c>
    </row>
    <row r="9" spans="1:17">
      <c r="A9" s="124"/>
      <c r="B9" s="121"/>
      <c r="C9" s="122"/>
      <c r="D9" s="51" t="s">
        <v>166</v>
      </c>
      <c r="H9" s="50">
        <v>44635</v>
      </c>
      <c r="K9" s="56"/>
      <c r="L9" s="57"/>
      <c r="M9" s="56"/>
      <c r="N9" s="88"/>
      <c r="O9" s="56"/>
      <c r="P9" s="59"/>
      <c r="Q9" s="56" t="s">
        <v>290</v>
      </c>
    </row>
    <row r="10" spans="1:17">
      <c r="A10" s="124" t="s">
        <v>58</v>
      </c>
      <c r="B10" s="127" t="s">
        <v>59</v>
      </c>
      <c r="C10" s="122" t="s">
        <v>60</v>
      </c>
      <c r="D10" s="51" t="s">
        <v>159</v>
      </c>
      <c r="G10" t="s">
        <v>169</v>
      </c>
      <c r="H10" s="50">
        <v>44635</v>
      </c>
      <c r="K10" s="56"/>
      <c r="L10" s="57"/>
      <c r="M10" s="56"/>
      <c r="N10" s="88">
        <v>70.44</v>
      </c>
      <c r="O10" s="56">
        <v>45.73</v>
      </c>
      <c r="P10" s="57">
        <v>51.57</v>
      </c>
    </row>
    <row r="11" spans="1:17">
      <c r="A11" s="124"/>
      <c r="B11" s="126"/>
      <c r="C11" s="122"/>
      <c r="D11" s="51" t="s">
        <v>188</v>
      </c>
      <c r="G11" t="s">
        <v>172</v>
      </c>
      <c r="H11" s="50">
        <v>44635</v>
      </c>
      <c r="K11" s="56"/>
      <c r="L11" s="57"/>
      <c r="M11" s="56"/>
      <c r="N11" s="88">
        <v>300</v>
      </c>
      <c r="O11" s="56">
        <v>216</v>
      </c>
      <c r="P11" s="57">
        <v>227</v>
      </c>
    </row>
    <row r="12" spans="1:17">
      <c r="A12" s="124"/>
      <c r="B12" s="126"/>
      <c r="C12" s="122"/>
      <c r="D12" s="51" t="s">
        <v>160</v>
      </c>
      <c r="E12" t="s">
        <v>161</v>
      </c>
      <c r="G12" t="s">
        <v>169</v>
      </c>
      <c r="H12" s="50">
        <v>44635</v>
      </c>
      <c r="K12" s="56"/>
      <c r="L12" s="57"/>
      <c r="M12" s="56"/>
      <c r="N12" s="88">
        <v>4.57</v>
      </c>
      <c r="O12" s="56">
        <v>4.0599999999999996</v>
      </c>
      <c r="P12" s="57">
        <v>4.3099999999999996</v>
      </c>
    </row>
    <row r="13" spans="1:17">
      <c r="A13" s="124"/>
      <c r="B13" s="126"/>
      <c r="C13" s="122"/>
      <c r="D13" s="51" t="s">
        <v>160</v>
      </c>
      <c r="E13" t="s">
        <v>167</v>
      </c>
      <c r="G13" t="s">
        <v>169</v>
      </c>
      <c r="H13" s="50">
        <v>44635</v>
      </c>
      <c r="K13" s="56"/>
      <c r="L13" s="57"/>
      <c r="M13" s="56"/>
      <c r="N13" s="88">
        <v>6.96</v>
      </c>
      <c r="O13" s="56">
        <v>6.9</v>
      </c>
      <c r="P13" s="57">
        <v>7.11</v>
      </c>
    </row>
    <row r="14" spans="1:17">
      <c r="A14" s="124"/>
      <c r="B14" s="126"/>
      <c r="C14" s="122"/>
      <c r="D14" s="51" t="s">
        <v>163</v>
      </c>
      <c r="E14" t="s">
        <v>183</v>
      </c>
      <c r="F14" t="s">
        <v>195</v>
      </c>
      <c r="G14" t="s">
        <v>169</v>
      </c>
      <c r="H14" s="50">
        <v>44635</v>
      </c>
      <c r="K14" s="56"/>
      <c r="L14" s="57"/>
      <c r="M14" s="56"/>
      <c r="N14" s="88">
        <v>4</v>
      </c>
      <c r="O14" s="56">
        <v>1.1100000000000001</v>
      </c>
      <c r="P14" s="57">
        <v>1.24</v>
      </c>
    </row>
    <row r="15" spans="1:17">
      <c r="A15" s="124"/>
      <c r="B15" s="126"/>
      <c r="C15" s="122"/>
      <c r="D15" s="51" t="s">
        <v>163</v>
      </c>
      <c r="E15" t="s">
        <v>183</v>
      </c>
      <c r="F15" t="s">
        <v>194</v>
      </c>
      <c r="G15" t="s">
        <v>169</v>
      </c>
      <c r="H15" s="50">
        <v>44635</v>
      </c>
      <c r="K15" s="56"/>
      <c r="L15" s="57"/>
      <c r="M15" s="56"/>
      <c r="N15" s="88">
        <v>9.34</v>
      </c>
      <c r="O15" s="56">
        <v>9.1300000000000008</v>
      </c>
      <c r="P15" s="57">
        <v>10</v>
      </c>
    </row>
    <row r="16" spans="1:17">
      <c r="A16" s="124"/>
      <c r="B16" s="126"/>
      <c r="C16" s="122"/>
      <c r="D16" s="51" t="s">
        <v>163</v>
      </c>
      <c r="E16">
        <v>1</v>
      </c>
      <c r="G16" t="s">
        <v>169</v>
      </c>
      <c r="H16" s="50">
        <v>44635</v>
      </c>
      <c r="K16" s="56"/>
      <c r="L16" s="57"/>
      <c r="M16" s="56"/>
      <c r="N16" s="88">
        <v>9.3000000000000007</v>
      </c>
      <c r="O16" s="56">
        <v>9.5299999999999994</v>
      </c>
      <c r="P16" s="57">
        <v>11.69</v>
      </c>
    </row>
    <row r="17" spans="1:16">
      <c r="A17" s="124"/>
      <c r="B17" s="126"/>
      <c r="C17" s="122"/>
      <c r="D17" s="51" t="s">
        <v>163</v>
      </c>
      <c r="E17" t="s">
        <v>183</v>
      </c>
      <c r="F17" t="s">
        <v>174</v>
      </c>
      <c r="G17" t="s">
        <v>169</v>
      </c>
      <c r="H17" s="50">
        <v>44635</v>
      </c>
      <c r="K17" s="56"/>
      <c r="L17" s="57"/>
      <c r="M17" s="56"/>
      <c r="N17" s="88">
        <v>23.93</v>
      </c>
      <c r="O17" s="56">
        <v>23.19</v>
      </c>
      <c r="P17" s="57">
        <v>23.96</v>
      </c>
    </row>
    <row r="18" spans="1:16">
      <c r="A18" s="124"/>
      <c r="B18" s="126"/>
      <c r="C18" s="122"/>
      <c r="D18" s="51" t="s">
        <v>163</v>
      </c>
      <c r="E18" t="s">
        <v>184</v>
      </c>
      <c r="F18" t="s">
        <v>184</v>
      </c>
      <c r="G18" t="s">
        <v>169</v>
      </c>
      <c r="H18" s="50">
        <v>44635</v>
      </c>
      <c r="K18" s="56"/>
      <c r="L18" s="57"/>
      <c r="M18" s="56"/>
      <c r="N18" s="88">
        <v>23.93</v>
      </c>
      <c r="O18" s="56">
        <v>21.95</v>
      </c>
      <c r="P18" s="57">
        <v>22.25</v>
      </c>
    </row>
    <row r="19" spans="1:16">
      <c r="A19" s="124"/>
      <c r="B19" s="126"/>
      <c r="C19" s="122"/>
      <c r="D19" s="51" t="s">
        <v>163</v>
      </c>
      <c r="E19" t="s">
        <v>164</v>
      </c>
      <c r="G19" t="s">
        <v>169</v>
      </c>
      <c r="H19" s="50">
        <v>44635</v>
      </c>
      <c r="I19" s="61" t="s">
        <v>213</v>
      </c>
      <c r="K19" s="56"/>
      <c r="L19" s="57"/>
      <c r="M19" s="56"/>
      <c r="N19" s="88">
        <v>74.099999999999994</v>
      </c>
      <c r="O19" s="56">
        <v>64.900000000000006</v>
      </c>
      <c r="P19" s="57">
        <v>69.150000000000006</v>
      </c>
    </row>
    <row r="20" spans="1:16">
      <c r="A20" s="124"/>
      <c r="B20" s="126"/>
      <c r="C20" s="122"/>
      <c r="D20" s="51" t="s">
        <v>165</v>
      </c>
      <c r="E20" t="s">
        <v>183</v>
      </c>
      <c r="F20" t="s">
        <v>168</v>
      </c>
      <c r="G20" t="s">
        <v>52</v>
      </c>
      <c r="H20" s="50">
        <v>44635</v>
      </c>
      <c r="K20" s="56"/>
      <c r="L20" s="57"/>
      <c r="M20" s="56"/>
      <c r="N20" s="88">
        <v>229129</v>
      </c>
      <c r="O20" s="56">
        <v>207108</v>
      </c>
      <c r="P20" s="57">
        <v>222605</v>
      </c>
    </row>
    <row r="21" spans="1:16">
      <c r="A21" s="124"/>
      <c r="B21" s="126"/>
      <c r="C21" s="122"/>
      <c r="D21" s="51" t="s">
        <v>165</v>
      </c>
      <c r="E21" t="s">
        <v>184</v>
      </c>
      <c r="G21" t="s">
        <v>233</v>
      </c>
      <c r="H21" s="50">
        <v>44635</v>
      </c>
      <c r="K21" s="56"/>
      <c r="L21" s="57"/>
      <c r="M21" s="56"/>
      <c r="N21" s="88">
        <v>10.7</v>
      </c>
      <c r="O21" s="56">
        <v>9.6999999999999993</v>
      </c>
      <c r="P21" s="57">
        <v>9.9</v>
      </c>
    </row>
    <row r="22" spans="1:16">
      <c r="A22" s="124"/>
      <c r="B22" s="121"/>
      <c r="C22" s="122"/>
      <c r="D22" s="51" t="s">
        <v>166</v>
      </c>
      <c r="H22" s="50">
        <v>44635</v>
      </c>
      <c r="K22" s="56"/>
      <c r="L22" s="57"/>
      <c r="M22" s="56"/>
      <c r="N22" s="88"/>
      <c r="O22" s="56"/>
      <c r="P22" s="59" t="s">
        <v>182</v>
      </c>
    </row>
    <row r="23" spans="1:16">
      <c r="A23" s="124" t="s">
        <v>58</v>
      </c>
      <c r="B23" s="127" t="s">
        <v>59</v>
      </c>
      <c r="C23" s="122" t="s">
        <v>60</v>
      </c>
      <c r="D23" s="51" t="s">
        <v>159</v>
      </c>
      <c r="G23" t="s">
        <v>169</v>
      </c>
      <c r="H23" s="50">
        <v>43861</v>
      </c>
      <c r="K23" s="56"/>
      <c r="L23" s="57">
        <v>105.95</v>
      </c>
      <c r="M23" s="56">
        <v>95.23</v>
      </c>
      <c r="N23" s="88">
        <v>69.98</v>
      </c>
      <c r="O23" s="56"/>
      <c r="P23" s="57"/>
    </row>
    <row r="24" spans="1:16">
      <c r="A24" s="124"/>
      <c r="B24" s="126"/>
      <c r="C24" s="122"/>
      <c r="D24" s="51" t="s">
        <v>188</v>
      </c>
      <c r="G24" t="s">
        <v>172</v>
      </c>
      <c r="H24" s="50">
        <v>43861</v>
      </c>
      <c r="K24" s="56"/>
      <c r="L24" s="57">
        <v>411</v>
      </c>
      <c r="M24" s="56">
        <v>369</v>
      </c>
      <c r="N24" s="88">
        <v>296</v>
      </c>
      <c r="O24" s="56"/>
      <c r="P24" s="57"/>
    </row>
    <row r="25" spans="1:16">
      <c r="A25" s="124"/>
      <c r="B25" s="126"/>
      <c r="C25" s="122"/>
      <c r="D25" s="51" t="s">
        <v>160</v>
      </c>
      <c r="E25" t="s">
        <v>161</v>
      </c>
      <c r="G25" t="s">
        <v>169</v>
      </c>
      <c r="H25" s="50">
        <v>43861</v>
      </c>
      <c r="K25" s="56"/>
      <c r="L25" s="57">
        <f>1.498+3.505</f>
        <v>5.0030000000000001</v>
      </c>
      <c r="M25" s="56">
        <f>1.399+3.684</f>
        <v>5.0830000000000002</v>
      </c>
      <c r="N25" s="88">
        <f>1.547+3.818</f>
        <v>5.3650000000000002</v>
      </c>
      <c r="O25" s="56"/>
      <c r="P25" s="57"/>
    </row>
    <row r="26" spans="1:16">
      <c r="A26" s="124"/>
      <c r="B26" s="126"/>
      <c r="C26" s="122"/>
      <c r="D26" s="51" t="s">
        <v>160</v>
      </c>
      <c r="E26" t="s">
        <v>167</v>
      </c>
      <c r="G26" t="s">
        <v>169</v>
      </c>
      <c r="H26" s="50">
        <v>43861</v>
      </c>
      <c r="K26" s="56"/>
      <c r="L26" s="57">
        <v>2.194</v>
      </c>
      <c r="M26" s="56">
        <v>2.1070000000000002</v>
      </c>
      <c r="N26" s="88">
        <v>2.3010000000000002</v>
      </c>
      <c r="O26" s="56"/>
      <c r="P26" s="57"/>
    </row>
    <row r="27" spans="1:16">
      <c r="A27" s="124"/>
      <c r="B27" s="126"/>
      <c r="C27" s="122"/>
      <c r="D27" s="51" t="s">
        <v>163</v>
      </c>
      <c r="E27" t="s">
        <v>183</v>
      </c>
      <c r="F27" t="s">
        <v>195</v>
      </c>
      <c r="G27" t="s">
        <v>169</v>
      </c>
      <c r="H27" s="50">
        <v>43861</v>
      </c>
      <c r="K27" s="56"/>
      <c r="L27" s="57">
        <f>5.903+0.805+0.381</f>
        <v>7.0889999999999995</v>
      </c>
      <c r="M27" s="56">
        <f>5.602+0.797+0.33</f>
        <v>6.7290000000000001</v>
      </c>
      <c r="N27" s="88">
        <f>3.329+0.454+0.215</f>
        <v>3.9980000000000002</v>
      </c>
      <c r="O27" s="56"/>
      <c r="P27" s="57"/>
    </row>
    <row r="28" spans="1:16">
      <c r="A28" s="124"/>
      <c r="B28" s="126"/>
      <c r="C28" s="122"/>
      <c r="D28" s="51" t="s">
        <v>163</v>
      </c>
      <c r="E28" t="s">
        <v>183</v>
      </c>
      <c r="F28" t="s">
        <v>194</v>
      </c>
      <c r="G28" t="s">
        <v>169</v>
      </c>
      <c r="H28" s="50">
        <v>43861</v>
      </c>
      <c r="I28" s="61" t="s">
        <v>213</v>
      </c>
      <c r="K28" s="56"/>
      <c r="L28" s="57"/>
      <c r="M28" s="56"/>
      <c r="N28" s="88"/>
      <c r="O28" s="56"/>
      <c r="P28" s="57"/>
    </row>
    <row r="29" spans="1:16">
      <c r="A29" s="124"/>
      <c r="B29" s="126"/>
      <c r="C29" s="122"/>
      <c r="D29" s="51" t="s">
        <v>163</v>
      </c>
      <c r="E29">
        <v>1</v>
      </c>
      <c r="G29" t="s">
        <v>169</v>
      </c>
      <c r="H29" s="50">
        <v>43861</v>
      </c>
      <c r="K29" s="56"/>
      <c r="L29" s="57"/>
      <c r="M29" s="56"/>
      <c r="N29" s="88"/>
      <c r="O29" s="56"/>
      <c r="P29" s="57"/>
    </row>
    <row r="30" spans="1:16">
      <c r="A30" s="124"/>
      <c r="B30" s="126"/>
      <c r="C30" s="122"/>
      <c r="D30" s="51" t="s">
        <v>163</v>
      </c>
      <c r="E30" t="s">
        <v>183</v>
      </c>
      <c r="F30" t="s">
        <v>174</v>
      </c>
      <c r="G30" t="s">
        <v>169</v>
      </c>
      <c r="H30" s="50">
        <v>43861</v>
      </c>
      <c r="K30" s="56"/>
      <c r="L30" s="57">
        <v>25.46</v>
      </c>
      <c r="M30" s="56">
        <v>27.387</v>
      </c>
      <c r="N30" s="88">
        <v>28.975000000000001</v>
      </c>
      <c r="O30" s="56"/>
      <c r="P30" s="57"/>
    </row>
    <row r="31" spans="1:16">
      <c r="A31" s="124"/>
      <c r="B31" s="126"/>
      <c r="C31" s="122"/>
      <c r="D31" s="51" t="s">
        <v>163</v>
      </c>
      <c r="E31" t="s">
        <v>184</v>
      </c>
      <c r="F31" t="s">
        <v>184</v>
      </c>
      <c r="G31" t="s">
        <v>169</v>
      </c>
      <c r="H31" s="50">
        <v>43861</v>
      </c>
      <c r="K31" s="56"/>
      <c r="L31" s="57">
        <v>25.29</v>
      </c>
      <c r="M31" s="56">
        <v>25.41</v>
      </c>
      <c r="N31" s="88">
        <v>23.922999999999998</v>
      </c>
      <c r="O31" s="56"/>
      <c r="P31" s="57"/>
    </row>
    <row r="32" spans="1:16">
      <c r="A32" s="124"/>
      <c r="B32" s="126"/>
      <c r="C32" s="122"/>
      <c r="D32" s="51" t="s">
        <v>163</v>
      </c>
      <c r="E32" t="s">
        <v>164</v>
      </c>
      <c r="G32" t="s">
        <v>169</v>
      </c>
      <c r="H32" s="50">
        <v>43861</v>
      </c>
      <c r="I32" s="61" t="s">
        <v>213</v>
      </c>
      <c r="K32" s="56"/>
      <c r="L32" s="57">
        <v>58.877000000000002</v>
      </c>
      <c r="M32" s="56">
        <v>59.563000000000002</v>
      </c>
      <c r="N32" s="88">
        <v>56.917999999999999</v>
      </c>
      <c r="O32" s="56"/>
      <c r="P32" s="57"/>
    </row>
    <row r="33" spans="1:16">
      <c r="A33" s="124"/>
      <c r="B33" s="126"/>
      <c r="C33" s="122"/>
      <c r="D33" s="51" t="s">
        <v>165</v>
      </c>
      <c r="E33" t="s">
        <v>183</v>
      </c>
      <c r="F33" t="s">
        <v>168</v>
      </c>
      <c r="G33" t="s">
        <v>52</v>
      </c>
      <c r="H33" s="50">
        <v>43861</v>
      </c>
      <c r="K33" s="56"/>
      <c r="L33" s="57">
        <v>249876</v>
      </c>
      <c r="M33" s="56">
        <v>250339</v>
      </c>
      <c r="N33" s="88">
        <v>229129</v>
      </c>
      <c r="O33" s="56"/>
      <c r="P33" s="57"/>
    </row>
    <row r="34" spans="1:16">
      <c r="A34" s="124"/>
      <c r="B34" s="126"/>
      <c r="C34" s="122"/>
      <c r="D34" s="51" t="s">
        <v>165</v>
      </c>
      <c r="E34" t="s">
        <v>184</v>
      </c>
      <c r="G34" t="s">
        <v>233</v>
      </c>
      <c r="H34" s="50">
        <v>43861</v>
      </c>
      <c r="K34" s="56"/>
      <c r="L34" s="57">
        <v>11.76</v>
      </c>
      <c r="M34" s="56">
        <v>11.18</v>
      </c>
      <c r="N34" s="88">
        <v>10.5</v>
      </c>
      <c r="O34" s="56"/>
      <c r="P34" s="57"/>
    </row>
    <row r="35" spans="1:16">
      <c r="A35" s="124"/>
      <c r="B35" s="121"/>
      <c r="C35" s="122"/>
      <c r="D35" s="51" t="s">
        <v>166</v>
      </c>
      <c r="H35" s="50">
        <v>43861</v>
      </c>
      <c r="K35" s="56"/>
      <c r="L35" s="57"/>
      <c r="M35" s="56"/>
      <c r="N35" s="89" t="s">
        <v>254</v>
      </c>
      <c r="O35" s="58"/>
      <c r="P35" s="59"/>
    </row>
    <row r="36" spans="1:16">
      <c r="A36" s="124" t="s">
        <v>63</v>
      </c>
      <c r="B36" s="127" t="s">
        <v>64</v>
      </c>
      <c r="C36" s="122" t="s">
        <v>65</v>
      </c>
      <c r="D36" s="51" t="s">
        <v>159</v>
      </c>
      <c r="G36" t="s">
        <v>171</v>
      </c>
      <c r="H36" s="50">
        <v>44561</v>
      </c>
      <c r="K36" s="56">
        <v>5.8304249123706402</v>
      </c>
      <c r="L36" s="57">
        <v>4.1059781322581701</v>
      </c>
      <c r="M36" s="56">
        <v>5.75632595190089</v>
      </c>
      <c r="N36" s="88">
        <v>4.7256911734020299</v>
      </c>
      <c r="O36" s="56">
        <v>6.07854526951468</v>
      </c>
      <c r="P36" s="57"/>
    </row>
    <row r="37" spans="1:16">
      <c r="A37" s="124"/>
      <c r="B37" s="126"/>
      <c r="C37" s="122"/>
      <c r="D37" s="51" t="s">
        <v>160</v>
      </c>
      <c r="E37" t="s">
        <v>161</v>
      </c>
      <c r="G37" t="s">
        <v>171</v>
      </c>
      <c r="H37" s="50">
        <v>44561</v>
      </c>
      <c r="K37" s="56">
        <v>0</v>
      </c>
      <c r="L37" s="57">
        <v>0</v>
      </c>
      <c r="M37" s="56">
        <v>0</v>
      </c>
      <c r="N37" s="88">
        <v>0</v>
      </c>
      <c r="O37" s="56">
        <v>0</v>
      </c>
      <c r="P37" s="57"/>
    </row>
    <row r="38" spans="1:16">
      <c r="A38" s="124"/>
      <c r="B38" s="126"/>
      <c r="C38" s="122"/>
      <c r="D38" s="51" t="s">
        <v>162</v>
      </c>
      <c r="E38" t="s">
        <v>161</v>
      </c>
      <c r="G38" t="s">
        <v>171</v>
      </c>
      <c r="H38" s="50">
        <v>44561</v>
      </c>
      <c r="K38" s="56">
        <v>5.8304249123706402</v>
      </c>
      <c r="L38" s="57">
        <v>4.1059781322581701</v>
      </c>
      <c r="M38" s="56">
        <v>5.75632595190089</v>
      </c>
      <c r="N38" s="88">
        <v>4.7256911734020299</v>
      </c>
      <c r="O38" s="56">
        <v>6.07854526951468</v>
      </c>
      <c r="P38" s="57"/>
    </row>
    <row r="39" spans="1:16">
      <c r="A39" s="124"/>
      <c r="B39" s="126"/>
      <c r="C39" s="122"/>
      <c r="D39" s="51" t="s">
        <v>165</v>
      </c>
      <c r="G39" t="s">
        <v>53</v>
      </c>
      <c r="H39" s="50">
        <v>44561</v>
      </c>
      <c r="K39" s="56">
        <v>9.6681579999999894</v>
      </c>
      <c r="L39" s="57">
        <v>6.7177259999999999</v>
      </c>
      <c r="M39" s="56">
        <v>9.3488639999999901</v>
      </c>
      <c r="N39" s="88">
        <v>7.7770190000000001</v>
      </c>
      <c r="O39" s="56">
        <v>10.203676</v>
      </c>
      <c r="P39" s="57"/>
    </row>
    <row r="40" spans="1:16">
      <c r="A40" s="124"/>
      <c r="B40" s="121"/>
      <c r="C40" s="122"/>
      <c r="D40" s="51" t="s">
        <v>166</v>
      </c>
      <c r="H40" s="50"/>
      <c r="K40" s="56"/>
      <c r="L40" s="57"/>
      <c r="M40" s="56"/>
      <c r="N40" s="88"/>
      <c r="O40" s="56"/>
      <c r="P40" s="57"/>
    </row>
    <row r="41" spans="1:16">
      <c r="A41" s="124" t="s">
        <v>63</v>
      </c>
      <c r="B41" s="127" t="s">
        <v>64</v>
      </c>
      <c r="C41" s="122" t="s">
        <v>65</v>
      </c>
      <c r="D41" s="51" t="s">
        <v>159</v>
      </c>
      <c r="G41" t="s">
        <v>169</v>
      </c>
      <c r="H41" s="50">
        <v>44651</v>
      </c>
      <c r="K41" s="56"/>
      <c r="L41" s="57"/>
      <c r="M41" s="56"/>
      <c r="N41" s="88"/>
      <c r="O41" s="56">
        <v>4727</v>
      </c>
      <c r="P41" s="57">
        <v>5270.75</v>
      </c>
    </row>
    <row r="42" spans="1:16">
      <c r="A42" s="124"/>
      <c r="B42" s="126"/>
      <c r="C42" s="122"/>
      <c r="D42" s="51" t="s">
        <v>160</v>
      </c>
      <c r="E42" t="s">
        <v>167</v>
      </c>
      <c r="G42" t="s">
        <v>169</v>
      </c>
      <c r="H42" s="50">
        <v>44651</v>
      </c>
      <c r="K42" s="56"/>
      <c r="L42" s="57"/>
      <c r="M42" s="56"/>
      <c r="N42" s="88"/>
      <c r="O42" s="56">
        <v>2264</v>
      </c>
      <c r="P42" s="57">
        <v>2244</v>
      </c>
    </row>
    <row r="43" spans="1:16">
      <c r="A43" s="124"/>
      <c r="B43" s="126"/>
      <c r="C43" s="122"/>
      <c r="D43" s="51" t="s">
        <v>160</v>
      </c>
      <c r="E43" t="s">
        <v>161</v>
      </c>
      <c r="G43" t="s">
        <v>169</v>
      </c>
      <c r="H43" s="50">
        <v>44651</v>
      </c>
      <c r="K43" s="56"/>
      <c r="L43" s="57"/>
      <c r="M43" s="56"/>
      <c r="N43" s="88"/>
      <c r="O43" s="56">
        <v>2216</v>
      </c>
      <c r="P43" s="57">
        <v>2194</v>
      </c>
    </row>
    <row r="44" spans="1:16">
      <c r="A44" s="124"/>
      <c r="B44" s="126"/>
      <c r="C44" s="122"/>
      <c r="D44" s="51" t="s">
        <v>162</v>
      </c>
      <c r="E44" t="s">
        <v>187</v>
      </c>
      <c r="G44" t="s">
        <v>169</v>
      </c>
      <c r="H44" s="50">
        <v>44651</v>
      </c>
      <c r="K44" s="56"/>
      <c r="L44" s="57"/>
      <c r="M44" s="56"/>
      <c r="N44" s="88"/>
      <c r="O44" s="56">
        <f>O41+O43</f>
        <v>6943</v>
      </c>
      <c r="P44" s="57">
        <f>P41+P43</f>
        <v>7464.75</v>
      </c>
    </row>
    <row r="45" spans="1:16">
      <c r="A45" s="124"/>
      <c r="B45" s="126"/>
      <c r="C45" s="122"/>
      <c r="D45" s="51" t="s">
        <v>192</v>
      </c>
      <c r="E45" t="s">
        <v>187</v>
      </c>
      <c r="G45" t="s">
        <v>232</v>
      </c>
      <c r="H45" s="50">
        <v>44651</v>
      </c>
      <c r="K45" s="56"/>
      <c r="L45" s="57"/>
      <c r="M45" s="56"/>
      <c r="N45" s="88"/>
      <c r="O45" s="56">
        <v>436</v>
      </c>
      <c r="P45" s="57">
        <v>486</v>
      </c>
    </row>
    <row r="46" spans="1:16">
      <c r="A46" s="124"/>
      <c r="B46" s="126"/>
      <c r="C46" s="122"/>
      <c r="D46" s="51" t="s">
        <v>163</v>
      </c>
      <c r="E46" t="s">
        <v>164</v>
      </c>
      <c r="G46" t="s">
        <v>169</v>
      </c>
      <c r="H46" s="50">
        <v>44651</v>
      </c>
      <c r="I46" s="61" t="s">
        <v>213</v>
      </c>
      <c r="K46" s="56"/>
      <c r="L46" s="57"/>
      <c r="M46" s="56"/>
      <c r="N46" s="88"/>
      <c r="O46" s="56">
        <v>28948</v>
      </c>
      <c r="P46" s="57">
        <v>30088</v>
      </c>
    </row>
    <row r="47" spans="1:16">
      <c r="A47" s="124"/>
      <c r="B47" s="126"/>
      <c r="C47" s="122"/>
      <c r="D47" s="51" t="s">
        <v>163</v>
      </c>
      <c r="E47" t="s">
        <v>183</v>
      </c>
      <c r="F47" t="s">
        <v>190</v>
      </c>
      <c r="G47" t="s">
        <v>169</v>
      </c>
      <c r="H47" s="50">
        <v>44651</v>
      </c>
      <c r="K47" s="56"/>
      <c r="L47" s="57"/>
      <c r="M47" s="56"/>
      <c r="N47" s="88"/>
      <c r="O47" s="56">
        <v>4126</v>
      </c>
      <c r="P47" s="57">
        <v>4371</v>
      </c>
    </row>
    <row r="48" spans="1:16">
      <c r="A48" s="124"/>
      <c r="B48" s="126"/>
      <c r="C48" s="122"/>
      <c r="D48" s="51" t="s">
        <v>163</v>
      </c>
      <c r="E48" t="s">
        <v>184</v>
      </c>
      <c r="F48" t="s">
        <v>190</v>
      </c>
      <c r="G48" t="s">
        <v>169</v>
      </c>
      <c r="H48" s="50">
        <v>44651</v>
      </c>
      <c r="K48" s="56"/>
      <c r="L48" s="57"/>
      <c r="M48" s="56"/>
      <c r="N48" s="88"/>
      <c r="O48" s="56">
        <v>18235</v>
      </c>
      <c r="P48" s="57">
        <v>18947.301139453699</v>
      </c>
    </row>
    <row r="49" spans="1:17">
      <c r="A49" s="124"/>
      <c r="B49" s="126"/>
      <c r="C49" s="122"/>
      <c r="D49" s="51" t="s">
        <v>163</v>
      </c>
      <c r="E49">
        <v>1</v>
      </c>
      <c r="F49" t="s">
        <v>191</v>
      </c>
      <c r="G49" t="s">
        <v>169</v>
      </c>
      <c r="H49" s="50">
        <v>44651</v>
      </c>
      <c r="I49" s="61" t="s">
        <v>213</v>
      </c>
      <c r="K49" s="56"/>
      <c r="L49" s="57"/>
      <c r="M49" s="56"/>
      <c r="N49" s="88"/>
      <c r="O49" s="56">
        <v>6570</v>
      </c>
      <c r="P49" s="57">
        <v>6746.984281205082</v>
      </c>
    </row>
    <row r="50" spans="1:17">
      <c r="A50" s="124"/>
      <c r="B50" s="126"/>
      <c r="C50" s="122"/>
      <c r="D50" s="51" t="s">
        <v>163</v>
      </c>
      <c r="E50">
        <v>7</v>
      </c>
      <c r="F50" t="s">
        <v>191</v>
      </c>
      <c r="G50" t="s">
        <v>169</v>
      </c>
      <c r="H50" s="50">
        <v>44651</v>
      </c>
      <c r="I50" s="61" t="s">
        <v>213</v>
      </c>
      <c r="K50" s="56"/>
      <c r="L50" s="57"/>
      <c r="M50" s="56"/>
      <c r="N50" s="88"/>
      <c r="O50" s="56">
        <v>5</v>
      </c>
      <c r="P50" s="57">
        <v>4.9569999999999999</v>
      </c>
    </row>
    <row r="51" spans="1:17">
      <c r="A51" s="124"/>
      <c r="B51" s="126"/>
      <c r="C51" s="122"/>
      <c r="D51" s="51" t="s">
        <v>163</v>
      </c>
      <c r="E51">
        <v>6</v>
      </c>
      <c r="F51" t="s">
        <v>191</v>
      </c>
      <c r="G51" t="s">
        <v>169</v>
      </c>
      <c r="H51" s="50">
        <v>44651</v>
      </c>
      <c r="I51" s="61" t="s">
        <v>213</v>
      </c>
      <c r="K51" s="56"/>
      <c r="L51" s="57"/>
      <c r="M51" s="56"/>
      <c r="N51" s="88"/>
      <c r="O51" s="56">
        <v>6</v>
      </c>
      <c r="P51" s="57">
        <v>10.604989736636799</v>
      </c>
    </row>
    <row r="52" spans="1:17">
      <c r="A52" s="124"/>
      <c r="B52" s="126"/>
      <c r="C52" s="122"/>
      <c r="D52" s="51" t="s">
        <v>163</v>
      </c>
      <c r="E52">
        <v>5</v>
      </c>
      <c r="F52" t="s">
        <v>191</v>
      </c>
      <c r="G52" t="s">
        <v>169</v>
      </c>
      <c r="H52" s="50">
        <v>44651</v>
      </c>
      <c r="I52" s="61" t="s">
        <v>213</v>
      </c>
      <c r="K52" s="56"/>
      <c r="L52" s="57"/>
      <c r="M52" s="56"/>
      <c r="N52" s="88"/>
      <c r="O52" s="56">
        <v>6</v>
      </c>
      <c r="P52" s="57">
        <v>7.1860943596463605</v>
      </c>
    </row>
    <row r="53" spans="1:17">
      <c r="A53" s="124"/>
      <c r="B53" s="126"/>
      <c r="C53" s="122"/>
      <c r="D53" s="51" t="s">
        <v>165</v>
      </c>
      <c r="E53" t="s">
        <v>184</v>
      </c>
      <c r="G53" t="s">
        <v>234</v>
      </c>
      <c r="H53" s="50">
        <v>44651</v>
      </c>
      <c r="K53" s="56"/>
      <c r="L53" s="57"/>
      <c r="M53" s="56"/>
      <c r="N53" s="88">
        <v>700809</v>
      </c>
      <c r="O53" s="56">
        <v>662250</v>
      </c>
      <c r="P53" s="57">
        <v>701882</v>
      </c>
    </row>
    <row r="54" spans="1:17">
      <c r="A54" s="124"/>
      <c r="B54" s="126"/>
      <c r="C54" s="122"/>
      <c r="D54" s="51" t="s">
        <v>165</v>
      </c>
      <c r="E54" t="s">
        <v>176</v>
      </c>
      <c r="G54" t="s">
        <v>229</v>
      </c>
      <c r="H54" s="50">
        <v>44651</v>
      </c>
      <c r="I54" s="61" t="s">
        <v>213</v>
      </c>
      <c r="K54" s="56"/>
      <c r="L54" s="57"/>
      <c r="M54" s="56"/>
      <c r="N54" s="88"/>
      <c r="O54" s="56"/>
      <c r="P54" s="57">
        <v>17334077675</v>
      </c>
    </row>
    <row r="55" spans="1:17">
      <c r="A55" s="124"/>
      <c r="B55" s="126"/>
      <c r="C55" s="122"/>
      <c r="D55" s="51" t="s">
        <v>165</v>
      </c>
      <c r="E55" t="s">
        <v>177</v>
      </c>
      <c r="G55" t="s">
        <v>229</v>
      </c>
      <c r="H55" s="50">
        <v>44651</v>
      </c>
      <c r="I55" s="61" t="s">
        <v>213</v>
      </c>
      <c r="K55" s="56"/>
      <c r="L55" s="57"/>
      <c r="M55" s="56"/>
      <c r="N55" s="88"/>
      <c r="O55" s="56"/>
      <c r="P55" s="57">
        <v>6072968591</v>
      </c>
    </row>
    <row r="56" spans="1:17">
      <c r="A56" s="124"/>
      <c r="B56" s="126"/>
      <c r="C56" s="122"/>
      <c r="D56" s="51" t="s">
        <v>165</v>
      </c>
      <c r="E56" t="s">
        <v>178</v>
      </c>
      <c r="G56" t="s">
        <v>229</v>
      </c>
      <c r="H56" s="50">
        <v>44651</v>
      </c>
      <c r="I56" s="61" t="s">
        <v>213</v>
      </c>
      <c r="K56" s="56"/>
      <c r="L56" s="57"/>
      <c r="M56" s="56"/>
      <c r="N56" s="88"/>
      <c r="O56" s="56"/>
      <c r="P56" s="57">
        <v>1196126610</v>
      </c>
    </row>
    <row r="57" spans="1:17">
      <c r="A57" s="124"/>
      <c r="B57" s="126"/>
      <c r="C57" s="122"/>
      <c r="D57" s="51" t="s">
        <v>165</v>
      </c>
      <c r="E57" t="s">
        <v>179</v>
      </c>
      <c r="G57" t="s">
        <v>229</v>
      </c>
      <c r="H57" s="50">
        <v>44651</v>
      </c>
      <c r="I57" s="61" t="s">
        <v>213</v>
      </c>
      <c r="K57" s="56"/>
      <c r="L57" s="57"/>
      <c r="M57" s="56"/>
      <c r="N57" s="88"/>
      <c r="O57" s="56"/>
      <c r="P57" s="57">
        <v>35872411763</v>
      </c>
    </row>
    <row r="58" spans="1:17">
      <c r="A58" s="124"/>
      <c r="B58" s="126"/>
      <c r="C58" s="122"/>
      <c r="D58" s="51" t="s">
        <v>165</v>
      </c>
      <c r="E58" t="s">
        <v>180</v>
      </c>
      <c r="G58" t="s">
        <v>229</v>
      </c>
      <c r="H58" s="50">
        <v>44651</v>
      </c>
      <c r="I58" s="61" t="s">
        <v>213</v>
      </c>
      <c r="K58" s="56"/>
      <c r="L58" s="57"/>
      <c r="M58" s="56"/>
      <c r="N58" s="88"/>
      <c r="O58" s="56"/>
      <c r="P58" s="57">
        <v>3004379000</v>
      </c>
    </row>
    <row r="59" spans="1:17">
      <c r="A59" s="124"/>
      <c r="B59" s="126"/>
      <c r="C59" s="122"/>
      <c r="D59" s="51" t="s">
        <v>165</v>
      </c>
      <c r="E59" t="s">
        <v>183</v>
      </c>
      <c r="G59" t="s">
        <v>53</v>
      </c>
      <c r="H59" s="50">
        <v>44651</v>
      </c>
      <c r="K59" s="56"/>
      <c r="L59" s="57"/>
      <c r="M59" s="56"/>
      <c r="N59" s="88"/>
      <c r="O59" s="56"/>
      <c r="P59" s="57">
        <f>SUM(P54:P58)/1000000000</f>
        <v>63.479963638999997</v>
      </c>
    </row>
    <row r="60" spans="1:17">
      <c r="A60" s="124"/>
      <c r="B60" s="126"/>
      <c r="C60" s="122"/>
      <c r="D60" s="51" t="s">
        <v>166</v>
      </c>
      <c r="H60" s="50"/>
      <c r="K60" s="56"/>
      <c r="L60" s="57"/>
      <c r="M60" s="56"/>
      <c r="N60" s="88"/>
      <c r="O60" s="56"/>
      <c r="P60" s="59" t="s">
        <v>230</v>
      </c>
    </row>
    <row r="61" spans="1:17">
      <c r="A61" s="124"/>
      <c r="B61" s="121"/>
      <c r="C61" s="122"/>
      <c r="D61" s="51" t="s">
        <v>175</v>
      </c>
      <c r="H61" s="50"/>
      <c r="K61" s="56"/>
      <c r="L61" s="57"/>
      <c r="M61" s="56"/>
      <c r="N61" s="88"/>
      <c r="O61" s="56"/>
      <c r="P61" s="59" t="s">
        <v>231</v>
      </c>
    </row>
    <row r="62" spans="1:17">
      <c r="A62" s="124" t="s">
        <v>63</v>
      </c>
      <c r="B62" s="126" t="s">
        <v>292</v>
      </c>
      <c r="C62" s="122" t="s">
        <v>65</v>
      </c>
      <c r="D62" s="51" t="s">
        <v>162</v>
      </c>
      <c r="E62" t="s">
        <v>161</v>
      </c>
      <c r="G62" t="s">
        <v>169</v>
      </c>
      <c r="H62" s="50">
        <v>44926</v>
      </c>
      <c r="K62" s="56"/>
      <c r="L62" s="57"/>
      <c r="M62" s="56"/>
      <c r="N62" s="88"/>
      <c r="O62" s="56"/>
      <c r="P62" s="57">
        <v>7831</v>
      </c>
      <c r="Q62" s="56">
        <v>7245</v>
      </c>
    </row>
    <row r="63" spans="1:17">
      <c r="A63" s="124"/>
      <c r="B63" s="126"/>
      <c r="C63" s="122"/>
      <c r="D63" s="51" t="s">
        <v>163</v>
      </c>
      <c r="E63">
        <v>3</v>
      </c>
      <c r="G63" t="s">
        <v>169</v>
      </c>
      <c r="H63" s="50">
        <v>44926</v>
      </c>
      <c r="K63" s="56"/>
      <c r="L63" s="57"/>
      <c r="M63" s="56"/>
      <c r="N63" s="88"/>
      <c r="O63" s="56"/>
      <c r="P63" s="57">
        <v>3449</v>
      </c>
      <c r="Q63" s="56">
        <v>3510</v>
      </c>
    </row>
    <row r="64" spans="1:17">
      <c r="A64" s="124"/>
      <c r="B64" s="126"/>
      <c r="C64" s="122"/>
      <c r="D64" s="51" t="s">
        <v>163</v>
      </c>
      <c r="E64">
        <v>11</v>
      </c>
      <c r="G64" t="s">
        <v>169</v>
      </c>
      <c r="H64" s="50">
        <v>44926</v>
      </c>
      <c r="K64" s="56"/>
      <c r="L64" s="57"/>
      <c r="M64" s="56"/>
      <c r="N64" s="88"/>
      <c r="O64" s="56"/>
      <c r="P64" s="57">
        <v>17617</v>
      </c>
      <c r="Q64" s="56">
        <v>17973</v>
      </c>
    </row>
    <row r="65" spans="1:17">
      <c r="A65" s="124"/>
      <c r="B65" s="126"/>
      <c r="C65" s="122"/>
      <c r="D65" s="51" t="s">
        <v>163</v>
      </c>
      <c r="E65">
        <v>1</v>
      </c>
      <c r="G65" t="s">
        <v>169</v>
      </c>
      <c r="H65" s="50">
        <v>44926</v>
      </c>
      <c r="K65" s="56"/>
      <c r="L65" s="57"/>
      <c r="M65" s="56"/>
      <c r="N65" s="88"/>
      <c r="O65" s="56"/>
      <c r="P65" s="57">
        <v>6404</v>
      </c>
      <c r="Q65" s="56">
        <v>6291</v>
      </c>
    </row>
    <row r="66" spans="1:17">
      <c r="A66" s="124"/>
      <c r="B66" s="126"/>
      <c r="C66" s="122"/>
      <c r="D66" s="51" t="s">
        <v>163</v>
      </c>
      <c r="E66">
        <v>7</v>
      </c>
      <c r="G66" t="s">
        <v>169</v>
      </c>
      <c r="H66" s="50">
        <v>44926</v>
      </c>
      <c r="K66" s="56"/>
      <c r="L66" s="57"/>
      <c r="M66" s="56"/>
      <c r="N66" s="88"/>
      <c r="O66" s="56"/>
      <c r="P66" s="57">
        <v>4</v>
      </c>
      <c r="Q66" s="56">
        <v>21</v>
      </c>
    </row>
    <row r="67" spans="1:17">
      <c r="A67" s="124"/>
      <c r="B67" s="126"/>
      <c r="C67" s="122"/>
      <c r="D67" s="51" t="s">
        <v>163</v>
      </c>
      <c r="E67">
        <v>6</v>
      </c>
      <c r="G67" t="s">
        <v>169</v>
      </c>
      <c r="H67" s="50">
        <v>44926</v>
      </c>
      <c r="K67" s="56"/>
      <c r="L67" s="57"/>
      <c r="M67" s="56"/>
      <c r="N67" s="88"/>
      <c r="O67" s="56"/>
      <c r="P67" s="57">
        <v>11</v>
      </c>
      <c r="Q67" s="56">
        <v>38</v>
      </c>
    </row>
    <row r="68" spans="1:17">
      <c r="A68" s="124"/>
      <c r="B68" s="126"/>
      <c r="C68" s="122"/>
      <c r="D68" s="51" t="s">
        <v>163</v>
      </c>
      <c r="E68">
        <v>5</v>
      </c>
      <c r="G68" t="s">
        <v>169</v>
      </c>
      <c r="H68" s="50">
        <v>44926</v>
      </c>
      <c r="K68" s="56"/>
      <c r="L68" s="57"/>
      <c r="M68" s="56"/>
      <c r="N68" s="88"/>
      <c r="O68" s="56"/>
      <c r="P68" s="57">
        <v>7</v>
      </c>
      <c r="Q68" s="56">
        <v>46</v>
      </c>
    </row>
    <row r="69" spans="1:17">
      <c r="A69" s="124"/>
      <c r="B69" s="126"/>
      <c r="C69" s="122"/>
      <c r="D69" s="51" t="s">
        <v>163</v>
      </c>
      <c r="E69" t="s">
        <v>173</v>
      </c>
      <c r="G69" t="s">
        <v>169</v>
      </c>
      <c r="H69" s="50">
        <v>44926</v>
      </c>
      <c r="K69" s="56"/>
      <c r="L69" s="57"/>
      <c r="M69" s="56"/>
      <c r="N69" s="88"/>
      <c r="O69" s="56"/>
      <c r="P69" s="57">
        <v>27492</v>
      </c>
      <c r="Q69" s="56">
        <v>27879</v>
      </c>
    </row>
    <row r="70" spans="1:17">
      <c r="A70" s="124"/>
      <c r="B70" s="126"/>
      <c r="C70" s="122"/>
      <c r="D70" s="51" t="s">
        <v>192</v>
      </c>
      <c r="E70" t="s">
        <v>183</v>
      </c>
      <c r="G70" t="s">
        <v>232</v>
      </c>
      <c r="H70" s="50">
        <v>44561</v>
      </c>
      <c r="K70" s="56"/>
      <c r="L70" s="57"/>
      <c r="M70" s="56"/>
      <c r="N70" s="88"/>
      <c r="O70" s="56"/>
      <c r="P70" s="57">
        <v>486</v>
      </c>
      <c r="Q70" s="56">
        <v>448</v>
      </c>
    </row>
    <row r="71" spans="1:17">
      <c r="A71" s="124"/>
      <c r="B71" s="121"/>
      <c r="C71" s="122"/>
      <c r="D71" s="51" t="s">
        <v>166</v>
      </c>
      <c r="H71" s="50"/>
      <c r="K71" s="56"/>
      <c r="L71" s="57"/>
      <c r="M71" s="56"/>
      <c r="N71" s="88"/>
      <c r="O71" s="56"/>
      <c r="P71" s="57"/>
      <c r="Q71" s="56" t="s">
        <v>293</v>
      </c>
    </row>
    <row r="72" spans="1:17">
      <c r="A72" s="130" t="s">
        <v>238</v>
      </c>
      <c r="B72" s="127" t="s">
        <v>239</v>
      </c>
      <c r="C72" s="127" t="s">
        <v>240</v>
      </c>
      <c r="D72" s="51" t="s">
        <v>159</v>
      </c>
      <c r="G72" t="s">
        <v>169</v>
      </c>
      <c r="H72" s="50">
        <v>43860</v>
      </c>
      <c r="K72" s="56"/>
      <c r="L72" s="57">
        <v>3949</v>
      </c>
      <c r="M72" s="56">
        <v>3483</v>
      </c>
      <c r="N72" s="88">
        <v>1846</v>
      </c>
      <c r="O72" s="56"/>
      <c r="P72" s="57"/>
    </row>
    <row r="73" spans="1:17">
      <c r="A73" s="131"/>
      <c r="B73" s="126"/>
      <c r="C73" s="126"/>
      <c r="D73" s="51" t="s">
        <v>160</v>
      </c>
      <c r="E73" t="s">
        <v>161</v>
      </c>
      <c r="G73" t="s">
        <v>169</v>
      </c>
      <c r="H73" s="50">
        <v>43860</v>
      </c>
      <c r="K73" s="56"/>
      <c r="L73" s="57">
        <v>98</v>
      </c>
      <c r="M73" s="56">
        <v>151</v>
      </c>
      <c r="N73" s="88">
        <v>123</v>
      </c>
      <c r="O73" s="56"/>
      <c r="P73" s="57"/>
    </row>
    <row r="74" spans="1:17">
      <c r="A74" s="131"/>
      <c r="B74" s="126"/>
      <c r="C74" s="126"/>
      <c r="D74" s="51" t="s">
        <v>160</v>
      </c>
      <c r="E74" t="s">
        <v>167</v>
      </c>
      <c r="G74" t="s">
        <v>169</v>
      </c>
      <c r="H74" s="50">
        <v>43860</v>
      </c>
      <c r="K74" s="56"/>
      <c r="L74" s="57">
        <v>221</v>
      </c>
      <c r="M74" s="56">
        <v>45</v>
      </c>
      <c r="N74" s="88">
        <v>4</v>
      </c>
      <c r="O74" s="56"/>
      <c r="P74" s="57"/>
    </row>
    <row r="75" spans="1:17">
      <c r="A75" s="131"/>
      <c r="B75" s="126"/>
      <c r="C75" s="126"/>
      <c r="D75" s="51" t="s">
        <v>163</v>
      </c>
      <c r="E75" t="s">
        <v>164</v>
      </c>
      <c r="G75" t="s">
        <v>169</v>
      </c>
      <c r="H75" s="50">
        <v>43860</v>
      </c>
      <c r="I75" s="61" t="s">
        <v>213</v>
      </c>
      <c r="K75" s="56"/>
      <c r="L75" s="57">
        <f>SUM(L76:L77)</f>
        <v>0</v>
      </c>
      <c r="M75" s="56">
        <f>SUM(M76:M77)</f>
        <v>34953</v>
      </c>
      <c r="N75" s="88">
        <f>SUM(N76:N77)</f>
        <v>33594</v>
      </c>
      <c r="O75" s="56"/>
      <c r="P75" s="57"/>
    </row>
    <row r="76" spans="1:17">
      <c r="A76" s="131"/>
      <c r="B76" s="126"/>
      <c r="C76" s="126"/>
      <c r="D76" s="51" t="s">
        <v>163</v>
      </c>
      <c r="E76" t="s">
        <v>183</v>
      </c>
      <c r="G76" t="s">
        <v>169</v>
      </c>
      <c r="H76" s="50">
        <v>43860</v>
      </c>
      <c r="K76" s="56"/>
      <c r="L76" s="57"/>
      <c r="M76" s="56">
        <v>3570</v>
      </c>
      <c r="N76" s="88">
        <v>3217</v>
      </c>
      <c r="O76" s="56"/>
      <c r="P76" s="57"/>
    </row>
    <row r="77" spans="1:17">
      <c r="A77" s="131"/>
      <c r="B77" s="126"/>
      <c r="C77" s="126"/>
      <c r="D77" s="51" t="s">
        <v>163</v>
      </c>
      <c r="E77" t="s">
        <v>184</v>
      </c>
      <c r="G77" t="s">
        <v>169</v>
      </c>
      <c r="H77" s="50">
        <v>43860</v>
      </c>
      <c r="K77" s="56"/>
      <c r="L77" s="57"/>
      <c r="M77" s="56">
        <v>31383</v>
      </c>
      <c r="N77" s="88">
        <v>30377</v>
      </c>
      <c r="O77" s="56"/>
      <c r="P77" s="57"/>
    </row>
    <row r="78" spans="1:17">
      <c r="A78" s="131"/>
      <c r="B78" s="126"/>
      <c r="C78" s="126"/>
      <c r="D78" s="51" t="s">
        <v>165</v>
      </c>
      <c r="E78" t="s">
        <v>183</v>
      </c>
      <c r="G78" t="s">
        <v>52</v>
      </c>
      <c r="H78" s="50">
        <v>43860</v>
      </c>
      <c r="K78" s="56"/>
      <c r="L78" s="57">
        <v>25740</v>
      </c>
      <c r="M78" s="56">
        <v>26013</v>
      </c>
      <c r="N78" s="88">
        <v>28430</v>
      </c>
      <c r="O78" s="56"/>
      <c r="P78" s="57"/>
    </row>
    <row r="79" spans="1:17">
      <c r="A79" s="131"/>
      <c r="B79" s="126"/>
      <c r="C79" s="126"/>
      <c r="D79" s="51" t="s">
        <v>165</v>
      </c>
      <c r="E79" t="s">
        <v>184</v>
      </c>
      <c r="G79" t="s">
        <v>53</v>
      </c>
      <c r="H79" s="50">
        <v>43860</v>
      </c>
      <c r="K79" s="56"/>
      <c r="L79" s="57">
        <v>129</v>
      </c>
      <c r="M79" s="56">
        <v>131.1</v>
      </c>
      <c r="N79" s="88">
        <v>125</v>
      </c>
      <c r="O79" s="56"/>
      <c r="P79" s="57"/>
    </row>
    <row r="80" spans="1:17">
      <c r="A80" s="123"/>
      <c r="B80" s="121"/>
      <c r="C80" s="121"/>
      <c r="D80" s="51" t="s">
        <v>166</v>
      </c>
      <c r="H80" s="50">
        <v>43860</v>
      </c>
      <c r="K80" s="56"/>
      <c r="L80" s="57"/>
      <c r="M80" s="56"/>
      <c r="N80" s="89" t="s">
        <v>243</v>
      </c>
      <c r="O80" s="56"/>
      <c r="P80" s="57"/>
    </row>
    <row r="81" spans="1:16">
      <c r="A81" s="130" t="s">
        <v>238</v>
      </c>
      <c r="B81" s="127" t="s">
        <v>239</v>
      </c>
      <c r="C81" s="127" t="s">
        <v>240</v>
      </c>
      <c r="D81" s="51" t="s">
        <v>159</v>
      </c>
      <c r="G81" t="s">
        <v>169</v>
      </c>
      <c r="H81" s="50">
        <v>44230</v>
      </c>
      <c r="K81" s="56"/>
      <c r="L81" s="57"/>
      <c r="M81" s="56">
        <v>3483</v>
      </c>
      <c r="N81" s="88">
        <v>1846</v>
      </c>
      <c r="O81" s="56">
        <v>1851</v>
      </c>
      <c r="P81" s="57"/>
    </row>
    <row r="82" spans="1:16">
      <c r="A82" s="131"/>
      <c r="B82" s="126"/>
      <c r="C82" s="126"/>
      <c r="D82" s="51" t="s">
        <v>160</v>
      </c>
      <c r="E82" t="s">
        <v>161</v>
      </c>
      <c r="G82" t="s">
        <v>169</v>
      </c>
      <c r="H82" s="50">
        <v>44230</v>
      </c>
      <c r="K82" s="56"/>
      <c r="L82" s="57"/>
      <c r="M82" s="56">
        <v>151</v>
      </c>
      <c r="N82" s="88">
        <v>123</v>
      </c>
      <c r="O82" s="56">
        <v>111</v>
      </c>
      <c r="P82" s="57"/>
    </row>
    <row r="83" spans="1:16">
      <c r="A83" s="131"/>
      <c r="B83" s="126"/>
      <c r="C83" s="126"/>
      <c r="D83" s="51" t="s">
        <v>160</v>
      </c>
      <c r="E83" t="s">
        <v>167</v>
      </c>
      <c r="G83" t="s">
        <v>169</v>
      </c>
      <c r="H83" s="50">
        <v>44230</v>
      </c>
      <c r="K83" s="56"/>
      <c r="L83" s="57"/>
      <c r="M83" s="56">
        <v>45</v>
      </c>
      <c r="N83" s="88">
        <v>4</v>
      </c>
      <c r="O83" s="56">
        <v>2</v>
      </c>
      <c r="P83" s="57"/>
    </row>
    <row r="84" spans="1:16">
      <c r="A84" s="131"/>
      <c r="B84" s="126"/>
      <c r="C84" s="126"/>
      <c r="D84" s="51" t="s">
        <v>163</v>
      </c>
      <c r="E84" t="s">
        <v>164</v>
      </c>
      <c r="G84" t="s">
        <v>169</v>
      </c>
      <c r="H84" s="50">
        <v>44230</v>
      </c>
      <c r="I84" s="61" t="s">
        <v>213</v>
      </c>
      <c r="K84" s="56"/>
      <c r="L84" s="57"/>
      <c r="M84" s="56">
        <f>SUM(M85:M86)</f>
        <v>34953</v>
      </c>
      <c r="N84" s="88">
        <f>SUM(N85:N86)</f>
        <v>33594</v>
      </c>
      <c r="O84" s="56">
        <f>SUM(O85:O86)</f>
        <v>24417</v>
      </c>
      <c r="P84" s="57"/>
    </row>
    <row r="85" spans="1:16">
      <c r="A85" s="131"/>
      <c r="B85" s="126"/>
      <c r="C85" s="126"/>
      <c r="D85" s="51" t="s">
        <v>163</v>
      </c>
      <c r="E85" t="s">
        <v>183</v>
      </c>
      <c r="G85" t="s">
        <v>169</v>
      </c>
      <c r="H85" s="50">
        <v>44230</v>
      </c>
      <c r="K85" s="56"/>
      <c r="L85" s="57"/>
      <c r="M85" s="56">
        <v>3570</v>
      </c>
      <c r="N85" s="88">
        <v>3217</v>
      </c>
      <c r="O85" s="56">
        <v>2437</v>
      </c>
      <c r="P85" s="57"/>
    </row>
    <row r="86" spans="1:16">
      <c r="A86" s="131"/>
      <c r="B86" s="126"/>
      <c r="C86" s="126"/>
      <c r="D86" s="51" t="s">
        <v>163</v>
      </c>
      <c r="E86" t="s">
        <v>184</v>
      </c>
      <c r="G86" t="s">
        <v>169</v>
      </c>
      <c r="H86" s="50">
        <v>44230</v>
      </c>
      <c r="K86" s="56"/>
      <c r="L86" s="57"/>
      <c r="M86" s="56">
        <v>31383</v>
      </c>
      <c r="N86" s="88">
        <v>30377</v>
      </c>
      <c r="O86" s="56">
        <v>21980</v>
      </c>
      <c r="P86" s="57"/>
    </row>
    <row r="87" spans="1:16">
      <c r="A87" s="131"/>
      <c r="B87" s="126"/>
      <c r="C87" s="126"/>
      <c r="D87" s="51" t="s">
        <v>165</v>
      </c>
      <c r="E87" t="s">
        <v>183</v>
      </c>
      <c r="G87" t="s">
        <v>52</v>
      </c>
      <c r="H87" s="50">
        <v>44230</v>
      </c>
      <c r="K87" s="56"/>
      <c r="L87" s="57"/>
      <c r="M87" s="56">
        <v>26013</v>
      </c>
      <c r="N87" s="88">
        <v>28430</v>
      </c>
      <c r="O87" s="56">
        <v>32095</v>
      </c>
      <c r="P87" s="57"/>
    </row>
    <row r="88" spans="1:16">
      <c r="A88" s="131"/>
      <c r="B88" s="126"/>
      <c r="C88" s="126"/>
      <c r="D88" s="51" t="s">
        <v>165</v>
      </c>
      <c r="E88" t="s">
        <v>184</v>
      </c>
      <c r="G88" t="s">
        <v>53</v>
      </c>
      <c r="H88" s="50">
        <v>44230</v>
      </c>
      <c r="K88" s="56"/>
      <c r="L88" s="57"/>
      <c r="M88" s="56">
        <v>131.1</v>
      </c>
      <c r="N88" s="88">
        <v>125</v>
      </c>
      <c r="O88" s="56">
        <v>90.3</v>
      </c>
      <c r="P88" s="57"/>
    </row>
    <row r="89" spans="1:16">
      <c r="A89" s="123"/>
      <c r="B89" s="121"/>
      <c r="C89" s="121"/>
      <c r="D89" s="51" t="s">
        <v>166</v>
      </c>
      <c r="H89" s="50">
        <v>44230</v>
      </c>
      <c r="K89" s="56"/>
      <c r="L89" s="57"/>
      <c r="M89" s="56"/>
      <c r="N89" s="89"/>
      <c r="O89" s="58" t="s">
        <v>244</v>
      </c>
      <c r="P89" s="57"/>
    </row>
    <row r="90" spans="1:16">
      <c r="A90" s="130" t="s">
        <v>238</v>
      </c>
      <c r="B90" s="127" t="s">
        <v>239</v>
      </c>
      <c r="C90" s="127" t="s">
        <v>240</v>
      </c>
      <c r="D90" s="51" t="s">
        <v>159</v>
      </c>
      <c r="G90" t="s">
        <v>169</v>
      </c>
      <c r="H90" s="50">
        <v>44594</v>
      </c>
      <c r="K90" s="56"/>
      <c r="L90" s="57"/>
      <c r="M90" s="56"/>
      <c r="N90" s="88">
        <v>1846</v>
      </c>
      <c r="O90" s="56">
        <v>1851</v>
      </c>
      <c r="P90" s="57">
        <v>2142</v>
      </c>
    </row>
    <row r="91" spans="1:16">
      <c r="A91" s="131"/>
      <c r="B91" s="126"/>
      <c r="C91" s="126"/>
      <c r="D91" s="51" t="s">
        <v>160</v>
      </c>
      <c r="E91" t="s">
        <v>161</v>
      </c>
      <c r="G91" t="s">
        <v>169</v>
      </c>
      <c r="H91" s="50">
        <v>44594</v>
      </c>
      <c r="K91" s="56"/>
      <c r="L91" s="57"/>
      <c r="M91" s="56"/>
      <c r="N91" s="88">
        <v>123</v>
      </c>
      <c r="O91" s="56">
        <v>111</v>
      </c>
      <c r="P91" s="57">
        <v>53</v>
      </c>
    </row>
    <row r="92" spans="1:16">
      <c r="A92" s="131"/>
      <c r="B92" s="126"/>
      <c r="C92" s="126"/>
      <c r="D92" s="51" t="s">
        <v>160</v>
      </c>
      <c r="E92" t="s">
        <v>167</v>
      </c>
      <c r="G92" t="s">
        <v>169</v>
      </c>
      <c r="H92" s="50">
        <v>44594</v>
      </c>
      <c r="K92" s="56"/>
      <c r="L92" s="57"/>
      <c r="M92" s="56"/>
      <c r="N92" s="88">
        <v>4</v>
      </c>
      <c r="O92" s="56">
        <v>2</v>
      </c>
      <c r="P92" s="57">
        <v>1</v>
      </c>
    </row>
    <row r="93" spans="1:16">
      <c r="A93" s="131"/>
      <c r="B93" s="126"/>
      <c r="C93" s="126"/>
      <c r="D93" s="51" t="s">
        <v>163</v>
      </c>
      <c r="E93" t="s">
        <v>164</v>
      </c>
      <c r="G93" t="s">
        <v>169</v>
      </c>
      <c r="H93" s="50">
        <v>44594</v>
      </c>
      <c r="I93" s="61" t="s">
        <v>213</v>
      </c>
      <c r="K93" s="56"/>
      <c r="L93" s="57"/>
      <c r="M93" s="56"/>
      <c r="N93" s="88">
        <f>SUM(N94:N95)</f>
        <v>33594</v>
      </c>
      <c r="O93" s="56">
        <f>SUM(O94:O95)</f>
        <v>24417</v>
      </c>
      <c r="P93" s="57">
        <f>SUM(P94:P95)</f>
        <v>16217</v>
      </c>
    </row>
    <row r="94" spans="1:16">
      <c r="A94" s="131"/>
      <c r="B94" s="126"/>
      <c r="C94" s="126"/>
      <c r="D94" s="51" t="s">
        <v>163</v>
      </c>
      <c r="E94" t="s">
        <v>183</v>
      </c>
      <c r="G94" t="s">
        <v>169</v>
      </c>
      <c r="H94" s="50">
        <v>44594</v>
      </c>
      <c r="K94" s="56"/>
      <c r="L94" s="57"/>
      <c r="M94" s="56"/>
      <c r="N94" s="88">
        <v>3217</v>
      </c>
      <c r="O94" s="56">
        <v>2437</v>
      </c>
      <c r="P94" s="57">
        <v>2011</v>
      </c>
    </row>
    <row r="95" spans="1:16">
      <c r="A95" s="131"/>
      <c r="B95" s="126"/>
      <c r="C95" s="126"/>
      <c r="D95" s="51" t="s">
        <v>163</v>
      </c>
      <c r="E95" t="s">
        <v>184</v>
      </c>
      <c r="G95" t="s">
        <v>169</v>
      </c>
      <c r="H95" s="50">
        <v>44594</v>
      </c>
      <c r="K95" s="56"/>
      <c r="L95" s="57"/>
      <c r="M95" s="56"/>
      <c r="N95" s="88">
        <v>30377</v>
      </c>
      <c r="O95" s="56">
        <v>21980</v>
      </c>
      <c r="P95" s="57">
        <v>14206</v>
      </c>
    </row>
    <row r="96" spans="1:16">
      <c r="A96" s="131"/>
      <c r="B96" s="126"/>
      <c r="C96" s="126"/>
      <c r="D96" s="51" t="s">
        <v>165</v>
      </c>
      <c r="E96" t="s">
        <v>183</v>
      </c>
      <c r="G96" t="s">
        <v>52</v>
      </c>
      <c r="H96" s="50">
        <v>44594</v>
      </c>
      <c r="K96" s="56"/>
      <c r="L96" s="57"/>
      <c r="M96" s="56"/>
      <c r="N96" s="88">
        <v>28430</v>
      </c>
      <c r="O96" s="56">
        <v>32095</v>
      </c>
      <c r="P96" s="57">
        <v>36957</v>
      </c>
    </row>
    <row r="97" spans="1:17">
      <c r="A97" s="131"/>
      <c r="B97" s="126"/>
      <c r="C97" s="126"/>
      <c r="D97" s="51" t="s">
        <v>165</v>
      </c>
      <c r="E97" t="s">
        <v>184</v>
      </c>
      <c r="G97" t="s">
        <v>52</v>
      </c>
      <c r="H97" s="50">
        <v>44594</v>
      </c>
      <c r="K97" s="56"/>
      <c r="L97" s="57"/>
      <c r="M97" s="56"/>
      <c r="N97" s="88">
        <v>124951</v>
      </c>
      <c r="O97" s="56">
        <v>90347</v>
      </c>
      <c r="P97" s="57">
        <v>61349</v>
      </c>
    </row>
    <row r="98" spans="1:17">
      <c r="A98" s="123"/>
      <c r="B98" s="121"/>
      <c r="C98" s="121"/>
      <c r="D98" s="51" t="s">
        <v>166</v>
      </c>
      <c r="H98" s="50">
        <v>44594</v>
      </c>
      <c r="K98" s="56"/>
      <c r="L98" s="57"/>
      <c r="M98" s="56"/>
      <c r="N98" s="89"/>
      <c r="O98" s="58"/>
      <c r="P98" s="59" t="s">
        <v>245</v>
      </c>
    </row>
    <row r="99" spans="1:17">
      <c r="A99" s="130" t="s">
        <v>238</v>
      </c>
      <c r="B99" s="127" t="s">
        <v>239</v>
      </c>
      <c r="C99" s="127" t="s">
        <v>240</v>
      </c>
      <c r="D99" s="51" t="s">
        <v>159</v>
      </c>
      <c r="G99" t="s">
        <v>169</v>
      </c>
      <c r="H99" s="50">
        <v>44958</v>
      </c>
      <c r="K99" s="56"/>
      <c r="L99" s="57"/>
      <c r="M99" s="56"/>
      <c r="N99" s="88"/>
      <c r="O99" s="56">
        <v>1851</v>
      </c>
      <c r="P99" s="57">
        <v>2142</v>
      </c>
      <c r="Q99" s="56">
        <v>2510</v>
      </c>
    </row>
    <row r="100" spans="1:17">
      <c r="A100" s="131"/>
      <c r="B100" s="126"/>
      <c r="C100" s="126"/>
      <c r="D100" s="51" t="s">
        <v>159</v>
      </c>
      <c r="E100" t="s">
        <v>237</v>
      </c>
      <c r="G100" t="s">
        <v>169</v>
      </c>
      <c r="H100" s="50">
        <v>44958</v>
      </c>
      <c r="K100" s="56"/>
      <c r="L100" s="57"/>
      <c r="M100" s="56"/>
      <c r="N100" s="88"/>
      <c r="O100" s="56">
        <v>3318</v>
      </c>
      <c r="P100" s="57">
        <v>5264</v>
      </c>
      <c r="Q100" s="56">
        <v>3961</v>
      </c>
    </row>
    <row r="101" spans="1:17">
      <c r="A101" s="131"/>
      <c r="B101" s="126"/>
      <c r="C101" s="126"/>
      <c r="D101" s="51" t="s">
        <v>160</v>
      </c>
      <c r="E101" t="s">
        <v>161</v>
      </c>
      <c r="G101" t="s">
        <v>169</v>
      </c>
      <c r="H101" s="50">
        <v>44958</v>
      </c>
      <c r="K101" s="56"/>
      <c r="L101" s="57"/>
      <c r="M101" s="56"/>
      <c r="N101" s="88"/>
      <c r="O101" s="56">
        <v>111</v>
      </c>
      <c r="P101" s="57">
        <v>53</v>
      </c>
      <c r="Q101" s="56">
        <v>45</v>
      </c>
    </row>
    <row r="102" spans="1:17">
      <c r="A102" s="131"/>
      <c r="B102" s="126"/>
      <c r="C102" s="126"/>
      <c r="D102" s="51" t="s">
        <v>160</v>
      </c>
      <c r="E102" t="s">
        <v>167</v>
      </c>
      <c r="G102" t="s">
        <v>169</v>
      </c>
      <c r="H102" s="50">
        <v>44958</v>
      </c>
      <c r="K102" s="56"/>
      <c r="L102" s="57"/>
      <c r="M102" s="56"/>
      <c r="N102" s="88"/>
      <c r="O102" s="56">
        <v>2</v>
      </c>
      <c r="P102" s="57">
        <v>1</v>
      </c>
      <c r="Q102" s="56">
        <v>1</v>
      </c>
    </row>
    <row r="103" spans="1:17">
      <c r="A103" s="131"/>
      <c r="B103" s="126"/>
      <c r="C103" s="126"/>
      <c r="D103" s="51" t="s">
        <v>163</v>
      </c>
      <c r="E103" t="s">
        <v>164</v>
      </c>
      <c r="G103" t="s">
        <v>169</v>
      </c>
      <c r="H103" s="50">
        <v>44958</v>
      </c>
      <c r="I103" s="61" t="s">
        <v>213</v>
      </c>
      <c r="K103" s="56"/>
      <c r="L103" s="57"/>
      <c r="M103" s="56"/>
      <c r="N103" s="88"/>
      <c r="O103" s="56">
        <f>SUM(O104:O105)</f>
        <v>24417</v>
      </c>
      <c r="P103" s="57">
        <f>SUM(P104:P105)</f>
        <v>16217</v>
      </c>
      <c r="Q103" s="56">
        <f>SUM(Q104:Q105)</f>
        <v>9145</v>
      </c>
    </row>
    <row r="104" spans="1:17">
      <c r="A104" s="131"/>
      <c r="B104" s="126"/>
      <c r="C104" s="126"/>
      <c r="D104" s="51" t="s">
        <v>163</v>
      </c>
      <c r="E104" t="s">
        <v>183</v>
      </c>
      <c r="G104" t="s">
        <v>169</v>
      </c>
      <c r="H104" s="50">
        <v>44958</v>
      </c>
      <c r="K104" s="56"/>
      <c r="L104" s="57"/>
      <c r="M104" s="56"/>
      <c r="N104" s="88"/>
      <c r="O104" s="56">
        <v>2437</v>
      </c>
      <c r="P104" s="57">
        <v>2011</v>
      </c>
      <c r="Q104" s="56">
        <v>1836</v>
      </c>
    </row>
    <row r="105" spans="1:17">
      <c r="A105" s="131"/>
      <c r="B105" s="126"/>
      <c r="C105" s="126"/>
      <c r="D105" s="51" t="s">
        <v>163</v>
      </c>
      <c r="E105" t="s">
        <v>184</v>
      </c>
      <c r="G105" t="s">
        <v>169</v>
      </c>
      <c r="H105" s="50">
        <v>44958</v>
      </c>
      <c r="K105" s="56"/>
      <c r="L105" s="57"/>
      <c r="M105" s="56"/>
      <c r="N105" s="88"/>
      <c r="O105" s="56">
        <v>21980</v>
      </c>
      <c r="P105" s="57">
        <v>14206</v>
      </c>
      <c r="Q105" s="56">
        <v>7309</v>
      </c>
    </row>
    <row r="106" spans="1:17">
      <c r="A106" s="131"/>
      <c r="B106" s="126"/>
      <c r="C106" s="126"/>
      <c r="D106" s="51" t="s">
        <v>165</v>
      </c>
      <c r="E106" t="s">
        <v>183</v>
      </c>
      <c r="G106" t="s">
        <v>52</v>
      </c>
      <c r="H106" s="50">
        <v>44958</v>
      </c>
      <c r="K106" s="56"/>
      <c r="L106" s="57"/>
      <c r="M106" s="56"/>
      <c r="N106" s="88"/>
      <c r="O106" s="56">
        <v>32095</v>
      </c>
      <c r="P106" s="57">
        <v>36957</v>
      </c>
      <c r="Q106" s="56">
        <v>42009</v>
      </c>
    </row>
    <row r="107" spans="1:17">
      <c r="A107" s="131"/>
      <c r="B107" s="126"/>
      <c r="C107" s="126"/>
      <c r="D107" s="51" t="s">
        <v>165</v>
      </c>
      <c r="E107" t="s">
        <v>184</v>
      </c>
      <c r="G107" t="s">
        <v>52</v>
      </c>
      <c r="H107" s="50">
        <v>44958</v>
      </c>
      <c r="K107" s="56"/>
      <c r="L107" s="57"/>
      <c r="M107" s="56"/>
      <c r="N107" s="88"/>
      <c r="O107" s="56">
        <v>90347</v>
      </c>
      <c r="P107" s="57">
        <v>61349</v>
      </c>
      <c r="Q107" s="56">
        <v>31637</v>
      </c>
    </row>
    <row r="108" spans="1:17">
      <c r="A108" s="123"/>
      <c r="B108" s="121"/>
      <c r="C108" s="121"/>
      <c r="D108" s="51" t="s">
        <v>166</v>
      </c>
      <c r="H108" s="50">
        <v>44958</v>
      </c>
      <c r="K108" s="56"/>
      <c r="L108" s="57"/>
      <c r="M108" s="56"/>
      <c r="N108" s="89"/>
      <c r="O108" s="58"/>
      <c r="P108" s="57"/>
      <c r="Q108" s="58" t="s">
        <v>246</v>
      </c>
    </row>
    <row r="109" spans="1:17">
      <c r="A109" s="128" t="s">
        <v>207</v>
      </c>
      <c r="B109" s="127" t="s">
        <v>209</v>
      </c>
      <c r="C109" s="129" t="s">
        <v>208</v>
      </c>
      <c r="D109" s="72" t="s">
        <v>159</v>
      </c>
      <c r="E109" s="81"/>
      <c r="F109" s="82"/>
      <c r="G109" s="82" t="s">
        <v>297</v>
      </c>
      <c r="H109" s="84">
        <v>44926</v>
      </c>
      <c r="I109" s="83"/>
      <c r="K109" s="56"/>
      <c r="L109" s="57"/>
      <c r="M109" s="56"/>
      <c r="N109" s="88"/>
      <c r="O109" s="56">
        <v>76</v>
      </c>
      <c r="P109" s="57">
        <v>81</v>
      </c>
      <c r="Q109" s="56">
        <v>78</v>
      </c>
    </row>
    <row r="110" spans="1:17">
      <c r="A110" s="124"/>
      <c r="B110" s="126"/>
      <c r="C110" s="122"/>
      <c r="D110" s="51" t="s">
        <v>160</v>
      </c>
      <c r="G110" t="s">
        <v>171</v>
      </c>
      <c r="H110" s="73">
        <v>44926</v>
      </c>
      <c r="I110" s="50"/>
      <c r="K110" s="56"/>
      <c r="L110" s="57"/>
      <c r="M110" s="56"/>
      <c r="N110" s="88"/>
      <c r="O110" s="56">
        <v>5</v>
      </c>
      <c r="P110" s="57">
        <v>5</v>
      </c>
      <c r="Q110" s="56">
        <v>5</v>
      </c>
    </row>
    <row r="111" spans="1:17">
      <c r="A111" s="124"/>
      <c r="B111" s="126"/>
      <c r="C111" s="122"/>
      <c r="D111" s="51" t="s">
        <v>163</v>
      </c>
      <c r="E111" t="s">
        <v>173</v>
      </c>
      <c r="G111" t="s">
        <v>171</v>
      </c>
      <c r="H111" s="73">
        <v>44926</v>
      </c>
      <c r="I111" s="50" t="s">
        <v>213</v>
      </c>
      <c r="K111" s="56"/>
      <c r="L111" s="57"/>
      <c r="M111" s="56"/>
      <c r="N111" s="88"/>
      <c r="O111" s="56">
        <v>52</v>
      </c>
      <c r="P111" s="57">
        <v>53</v>
      </c>
      <c r="Q111" s="56">
        <v>47</v>
      </c>
    </row>
    <row r="112" spans="1:17">
      <c r="A112" s="124"/>
      <c r="B112" s="126"/>
      <c r="C112" s="122"/>
      <c r="D112" s="51" t="s">
        <v>163</v>
      </c>
      <c r="E112" t="s">
        <v>294</v>
      </c>
      <c r="G112" t="s">
        <v>171</v>
      </c>
      <c r="H112" s="73">
        <v>44926</v>
      </c>
      <c r="I112" s="50"/>
      <c r="K112" s="56"/>
      <c r="L112" s="57"/>
      <c r="M112" s="56"/>
      <c r="N112" s="88"/>
      <c r="O112" s="56">
        <v>20</v>
      </c>
      <c r="P112" s="57">
        <v>20</v>
      </c>
      <c r="Q112" s="56">
        <v>20</v>
      </c>
    </row>
    <row r="113" spans="1:17">
      <c r="A113" s="124"/>
      <c r="B113" s="126"/>
      <c r="C113" s="122"/>
      <c r="D113" s="51" t="s">
        <v>163</v>
      </c>
      <c r="E113" t="s">
        <v>295</v>
      </c>
      <c r="G113" t="s">
        <v>171</v>
      </c>
      <c r="H113" s="73">
        <v>44926</v>
      </c>
      <c r="I113" s="50"/>
      <c r="K113" s="56"/>
      <c r="L113" s="57"/>
      <c r="M113" s="56"/>
      <c r="N113" s="88"/>
      <c r="O113" s="56">
        <v>6</v>
      </c>
      <c r="P113" s="57">
        <v>6</v>
      </c>
      <c r="Q113" s="56">
        <v>5</v>
      </c>
    </row>
    <row r="114" spans="1:17">
      <c r="A114" s="124"/>
      <c r="B114" s="126"/>
      <c r="C114" s="122"/>
      <c r="D114" s="51" t="s">
        <v>163</v>
      </c>
      <c r="E114" t="s">
        <v>296</v>
      </c>
      <c r="G114" t="s">
        <v>171</v>
      </c>
      <c r="H114" s="73">
        <v>44926</v>
      </c>
      <c r="I114" s="50"/>
      <c r="K114" s="56"/>
      <c r="L114" s="57"/>
      <c r="M114" s="56"/>
      <c r="N114" s="88"/>
      <c r="O114" s="56">
        <v>26</v>
      </c>
      <c r="P114" s="57">
        <v>27</v>
      </c>
      <c r="Q114" s="56">
        <v>23</v>
      </c>
    </row>
    <row r="115" spans="1:17">
      <c r="A115" s="124"/>
      <c r="B115" s="126"/>
      <c r="C115" s="122"/>
      <c r="D115" s="51" t="s">
        <v>188</v>
      </c>
      <c r="E115" t="s">
        <v>291</v>
      </c>
      <c r="G115" t="s">
        <v>227</v>
      </c>
      <c r="H115" s="73">
        <v>44926</v>
      </c>
      <c r="I115" s="50"/>
      <c r="K115" s="56"/>
      <c r="L115" s="57"/>
      <c r="M115" s="56"/>
      <c r="N115" s="88"/>
      <c r="O115" s="56">
        <v>613</v>
      </c>
      <c r="P115" s="57">
        <v>609</v>
      </c>
      <c r="Q115" s="56">
        <v>602</v>
      </c>
    </row>
    <row r="116" spans="1:17">
      <c r="A116" s="124"/>
      <c r="B116" s="126"/>
      <c r="C116" s="122"/>
      <c r="D116" s="51" t="s">
        <v>166</v>
      </c>
      <c r="H116" s="73">
        <v>44926</v>
      </c>
      <c r="I116" s="50"/>
      <c r="K116" s="56"/>
      <c r="L116" s="57"/>
      <c r="M116" s="56"/>
      <c r="N116" s="88"/>
      <c r="O116" s="56"/>
      <c r="P116" s="57"/>
    </row>
    <row r="117" spans="1:17">
      <c r="A117" s="128" t="s">
        <v>207</v>
      </c>
      <c r="B117" s="127" t="s">
        <v>209</v>
      </c>
      <c r="C117" s="129" t="s">
        <v>208</v>
      </c>
      <c r="D117" s="72" t="s">
        <v>159</v>
      </c>
      <c r="E117" s="81"/>
      <c r="F117" s="82"/>
      <c r="G117" s="82" t="s">
        <v>171</v>
      </c>
      <c r="H117" s="84">
        <v>44561</v>
      </c>
      <c r="I117" s="83"/>
      <c r="K117" s="56"/>
      <c r="L117" s="57">
        <v>118</v>
      </c>
      <c r="M117" s="56">
        <v>122</v>
      </c>
      <c r="N117" s="88">
        <v>121</v>
      </c>
      <c r="O117" s="56">
        <v>110</v>
      </c>
      <c r="P117" s="57">
        <v>119</v>
      </c>
    </row>
    <row r="118" spans="1:17">
      <c r="A118" s="124"/>
      <c r="B118" s="126"/>
      <c r="C118" s="122"/>
      <c r="D118" s="51" t="s">
        <v>160</v>
      </c>
      <c r="G118" t="s">
        <v>171</v>
      </c>
      <c r="H118" s="73">
        <v>44561</v>
      </c>
      <c r="I118" s="50"/>
      <c r="K118" s="56"/>
      <c r="L118" s="57"/>
      <c r="M118" s="56"/>
      <c r="N118" s="88">
        <v>8</v>
      </c>
      <c r="O118" s="56">
        <v>7</v>
      </c>
      <c r="P118" s="57">
        <v>7</v>
      </c>
    </row>
    <row r="119" spans="1:17">
      <c r="A119" s="124"/>
      <c r="B119" s="126"/>
      <c r="C119" s="122"/>
      <c r="D119" s="51" t="s">
        <v>163</v>
      </c>
      <c r="E119" t="s">
        <v>173</v>
      </c>
      <c r="G119" t="s">
        <v>171</v>
      </c>
      <c r="H119" s="73">
        <v>44561</v>
      </c>
      <c r="I119" s="50" t="s">
        <v>213</v>
      </c>
      <c r="K119" s="56"/>
      <c r="L119" s="57"/>
      <c r="M119" s="56"/>
      <c r="N119" s="88">
        <v>19</v>
      </c>
      <c r="O119" s="56">
        <v>29</v>
      </c>
      <c r="P119" s="57">
        <v>30</v>
      </c>
    </row>
    <row r="120" spans="1:17">
      <c r="A120" s="124"/>
      <c r="B120" s="126"/>
      <c r="C120" s="122"/>
      <c r="D120" s="51" t="s">
        <v>163</v>
      </c>
      <c r="E120" t="s">
        <v>164</v>
      </c>
      <c r="G120" t="s">
        <v>169</v>
      </c>
      <c r="H120" s="73">
        <v>44561</v>
      </c>
      <c r="I120" s="50"/>
      <c r="K120" s="56"/>
      <c r="L120" s="57"/>
      <c r="M120" s="56"/>
      <c r="N120" s="88"/>
      <c r="O120" s="56"/>
      <c r="P120" s="57">
        <f>SUM(P121:P123)</f>
        <v>1003</v>
      </c>
    </row>
    <row r="121" spans="1:17">
      <c r="A121" s="124"/>
      <c r="B121" s="126"/>
      <c r="C121" s="122"/>
      <c r="D121" s="51" t="s">
        <v>163</v>
      </c>
      <c r="E121">
        <v>3</v>
      </c>
      <c r="G121" t="s">
        <v>169</v>
      </c>
      <c r="H121" s="73">
        <v>44561</v>
      </c>
      <c r="I121" s="50"/>
      <c r="K121" s="56"/>
      <c r="L121" s="57"/>
      <c r="M121" s="56"/>
      <c r="N121" s="88"/>
      <c r="O121" s="56"/>
      <c r="P121" s="57">
        <v>288</v>
      </c>
    </row>
    <row r="122" spans="1:17">
      <c r="A122" s="124"/>
      <c r="B122" s="126"/>
      <c r="C122" s="122"/>
      <c r="D122" s="51" t="s">
        <v>163</v>
      </c>
      <c r="E122">
        <v>1</v>
      </c>
      <c r="G122" t="s">
        <v>169</v>
      </c>
      <c r="H122" s="73">
        <v>44561</v>
      </c>
      <c r="I122" s="50"/>
      <c r="K122" s="56"/>
      <c r="L122" s="57"/>
      <c r="M122" s="56"/>
      <c r="N122" s="88"/>
      <c r="O122" s="56"/>
      <c r="P122" s="57">
        <v>705</v>
      </c>
    </row>
    <row r="123" spans="1:17">
      <c r="A123" s="124"/>
      <c r="B123" s="126"/>
      <c r="C123" s="122"/>
      <c r="D123" s="51" t="s">
        <v>163</v>
      </c>
      <c r="E123">
        <v>9</v>
      </c>
      <c r="G123" t="s">
        <v>169</v>
      </c>
      <c r="H123" s="73">
        <v>44561</v>
      </c>
      <c r="I123" s="50"/>
      <c r="K123" s="56"/>
      <c r="L123" s="57"/>
      <c r="M123" s="56"/>
      <c r="N123" s="88"/>
      <c r="O123" s="56"/>
      <c r="P123" s="57">
        <v>10</v>
      </c>
    </row>
    <row r="124" spans="1:17">
      <c r="A124" s="124"/>
      <c r="B124" s="126"/>
      <c r="C124" s="122"/>
      <c r="D124" s="51" t="s">
        <v>165</v>
      </c>
      <c r="G124" t="s">
        <v>220</v>
      </c>
      <c r="H124" s="73">
        <v>44561</v>
      </c>
      <c r="I124" s="50"/>
      <c r="K124" s="56"/>
      <c r="L124" s="57"/>
      <c r="M124" s="56"/>
      <c r="N124" s="88">
        <v>192</v>
      </c>
      <c r="O124" s="56">
        <v>180</v>
      </c>
      <c r="P124" s="57">
        <v>197</v>
      </c>
    </row>
    <row r="125" spans="1:17">
      <c r="A125" s="124"/>
      <c r="B125" s="126"/>
      <c r="C125" s="122"/>
      <c r="D125" s="51" t="s">
        <v>166</v>
      </c>
      <c r="H125" s="73">
        <v>44561</v>
      </c>
      <c r="I125" s="50"/>
      <c r="K125" s="56"/>
      <c r="L125" s="57"/>
      <c r="M125" s="56"/>
      <c r="N125" s="88"/>
      <c r="O125" s="56"/>
      <c r="P125" s="57" t="s">
        <v>214</v>
      </c>
    </row>
    <row r="126" spans="1:17">
      <c r="A126" s="130" t="s">
        <v>207</v>
      </c>
      <c r="B126" s="127" t="s">
        <v>209</v>
      </c>
      <c r="C126" s="134" t="s">
        <v>208</v>
      </c>
      <c r="D126" s="66" t="s">
        <v>159</v>
      </c>
      <c r="E126" s="82"/>
      <c r="F126" s="82"/>
      <c r="G126" s="82" t="s">
        <v>171</v>
      </c>
      <c r="H126" s="84">
        <v>44196</v>
      </c>
      <c r="I126" s="83"/>
      <c r="K126" s="56"/>
      <c r="L126" s="57"/>
      <c r="M126" s="56">
        <v>122</v>
      </c>
      <c r="N126" s="88">
        <v>121</v>
      </c>
      <c r="O126" s="56">
        <v>110</v>
      </c>
      <c r="P126" s="57"/>
    </row>
    <row r="127" spans="1:17">
      <c r="A127" s="131"/>
      <c r="B127" s="126"/>
      <c r="C127" s="135"/>
      <c r="D127" s="76" t="s">
        <v>160</v>
      </c>
      <c r="G127" t="s">
        <v>171</v>
      </c>
      <c r="H127" s="73">
        <v>44196</v>
      </c>
      <c r="I127" s="50"/>
      <c r="K127" s="56"/>
      <c r="L127" s="57"/>
      <c r="M127" s="56">
        <v>7</v>
      </c>
      <c r="N127" s="88">
        <v>8</v>
      </c>
      <c r="O127" s="56">
        <v>7</v>
      </c>
      <c r="P127" s="57"/>
    </row>
    <row r="128" spans="1:17">
      <c r="A128" s="131"/>
      <c r="B128" s="126"/>
      <c r="C128" s="135"/>
      <c r="D128" s="51" t="s">
        <v>163</v>
      </c>
      <c r="E128" t="s">
        <v>173</v>
      </c>
      <c r="G128" t="s">
        <v>171</v>
      </c>
      <c r="H128" s="73">
        <v>44196</v>
      </c>
      <c r="I128" s="50"/>
      <c r="K128" s="56"/>
      <c r="L128" s="57"/>
      <c r="M128" s="56">
        <v>20</v>
      </c>
      <c r="N128" s="88">
        <v>19</v>
      </c>
      <c r="O128" s="56">
        <v>29</v>
      </c>
      <c r="P128" s="57"/>
    </row>
    <row r="129" spans="1:17">
      <c r="A129" s="131"/>
      <c r="B129" s="126"/>
      <c r="C129" s="135"/>
      <c r="D129" s="51" t="s">
        <v>165</v>
      </c>
      <c r="G129" t="s">
        <v>220</v>
      </c>
      <c r="H129" s="73">
        <v>44196</v>
      </c>
      <c r="I129" s="50"/>
      <c r="K129" s="56"/>
      <c r="L129" s="57"/>
      <c r="M129" s="56">
        <v>192</v>
      </c>
      <c r="N129" s="88">
        <v>192</v>
      </c>
      <c r="O129" s="56">
        <v>180</v>
      </c>
      <c r="P129" s="57"/>
    </row>
    <row r="130" spans="1:17">
      <c r="A130" s="131"/>
      <c r="B130" s="126"/>
      <c r="C130" s="135"/>
      <c r="D130" s="51" t="s">
        <v>166</v>
      </c>
      <c r="H130" s="73">
        <v>44196</v>
      </c>
      <c r="I130" s="50"/>
      <c r="K130" s="56"/>
      <c r="L130" s="57"/>
      <c r="M130" s="56"/>
      <c r="N130" s="88"/>
      <c r="O130" s="56" t="s">
        <v>215</v>
      </c>
      <c r="P130" s="57"/>
    </row>
    <row r="131" spans="1:17">
      <c r="A131" s="132"/>
      <c r="B131" s="133"/>
      <c r="C131" s="136"/>
      <c r="D131" s="74"/>
      <c r="E131" s="75"/>
      <c r="F131" s="75"/>
      <c r="G131" s="75"/>
      <c r="H131" s="77"/>
      <c r="I131" s="77"/>
      <c r="K131" s="56"/>
      <c r="L131" s="57"/>
      <c r="M131" s="56"/>
      <c r="N131" s="88"/>
      <c r="O131" s="56"/>
      <c r="P131" s="57"/>
    </row>
    <row r="132" spans="1:17">
      <c r="A132" s="123" t="s">
        <v>207</v>
      </c>
      <c r="B132" s="125" t="s">
        <v>209</v>
      </c>
      <c r="C132" s="121" t="s">
        <v>208</v>
      </c>
      <c r="D132" s="72" t="s">
        <v>159</v>
      </c>
      <c r="E132" s="64"/>
      <c r="G132" t="s">
        <v>171</v>
      </c>
      <c r="H132" s="73">
        <v>43830</v>
      </c>
      <c r="I132" s="50"/>
      <c r="K132" s="56"/>
      <c r="L132" s="57">
        <v>118</v>
      </c>
      <c r="M132" s="56">
        <v>122</v>
      </c>
      <c r="N132" s="88">
        <v>121</v>
      </c>
      <c r="O132" s="56"/>
      <c r="P132" s="57"/>
    </row>
    <row r="133" spans="1:17">
      <c r="A133" s="124"/>
      <c r="B133" s="126"/>
      <c r="C133" s="122"/>
      <c r="D133" s="51" t="s">
        <v>160</v>
      </c>
      <c r="G133" t="s">
        <v>171</v>
      </c>
      <c r="H133" s="73">
        <v>43830</v>
      </c>
      <c r="I133" s="50"/>
      <c r="K133" s="56"/>
      <c r="L133" s="57">
        <v>7</v>
      </c>
      <c r="M133" s="56">
        <v>7</v>
      </c>
      <c r="N133" s="88">
        <v>8</v>
      </c>
      <c r="O133" s="56"/>
      <c r="P133" s="57"/>
    </row>
    <row r="134" spans="1:17">
      <c r="A134" s="124"/>
      <c r="B134" s="126"/>
      <c r="C134" s="122"/>
      <c r="D134" s="51" t="s">
        <v>163</v>
      </c>
      <c r="E134" t="s">
        <v>173</v>
      </c>
      <c r="G134" t="s">
        <v>171</v>
      </c>
      <c r="H134" s="73">
        <v>43830</v>
      </c>
      <c r="I134" s="50"/>
      <c r="K134" s="56"/>
      <c r="L134" s="57">
        <v>20</v>
      </c>
      <c r="M134" s="56">
        <v>20</v>
      </c>
      <c r="N134" s="88">
        <v>19</v>
      </c>
      <c r="O134" s="56"/>
      <c r="P134" s="57"/>
    </row>
    <row r="135" spans="1:17">
      <c r="A135" s="124"/>
      <c r="B135" s="126"/>
      <c r="C135" s="122"/>
      <c r="D135" s="51" t="s">
        <v>165</v>
      </c>
      <c r="G135" t="s">
        <v>220</v>
      </c>
      <c r="H135" s="73">
        <v>43830</v>
      </c>
      <c r="I135" s="50"/>
      <c r="K135" s="56"/>
      <c r="L135" s="57">
        <v>184</v>
      </c>
      <c r="M135" s="56">
        <v>192</v>
      </c>
      <c r="N135" s="88">
        <v>192</v>
      </c>
      <c r="O135" s="56"/>
      <c r="P135" s="57"/>
    </row>
    <row r="136" spans="1:17">
      <c r="A136" s="124"/>
      <c r="B136" s="126"/>
      <c r="C136" s="122"/>
      <c r="D136" s="51" t="s">
        <v>166</v>
      </c>
      <c r="H136" s="73">
        <v>43830</v>
      </c>
      <c r="I136" s="50"/>
      <c r="K136" s="56"/>
      <c r="L136" s="57"/>
      <c r="M136" s="56"/>
      <c r="N136" s="88" t="s">
        <v>216</v>
      </c>
      <c r="O136" s="56"/>
      <c r="P136" s="57"/>
    </row>
    <row r="137" spans="1:17">
      <c r="A137" s="137"/>
      <c r="B137" s="133"/>
      <c r="C137" s="138"/>
      <c r="D137" s="74"/>
      <c r="E137" s="75"/>
      <c r="F137" s="75"/>
      <c r="G137" s="75"/>
      <c r="H137" s="77"/>
      <c r="I137" s="77"/>
      <c r="K137" s="56"/>
      <c r="L137" s="57"/>
      <c r="M137" s="56"/>
      <c r="N137" s="88"/>
      <c r="O137" s="56"/>
      <c r="P137" s="57"/>
    </row>
    <row r="138" spans="1:17">
      <c r="A138" s="131" t="s">
        <v>210</v>
      </c>
      <c r="B138" s="127" t="s">
        <v>211</v>
      </c>
      <c r="C138" s="126" t="s">
        <v>212</v>
      </c>
      <c r="D138" s="51" t="s">
        <v>186</v>
      </c>
      <c r="E138" s="81"/>
      <c r="F138" s="82"/>
      <c r="H138" s="84">
        <v>45204</v>
      </c>
      <c r="I138" s="118">
        <v>1990</v>
      </c>
      <c r="K138" s="56"/>
      <c r="L138" s="57"/>
      <c r="M138" s="56"/>
      <c r="N138" s="88"/>
      <c r="O138" s="56"/>
      <c r="P138" s="57"/>
    </row>
    <row r="139" spans="1:17">
      <c r="A139" s="131"/>
      <c r="B139" s="126"/>
      <c r="C139" s="126"/>
      <c r="D139" s="51" t="s">
        <v>159</v>
      </c>
      <c r="E139" s="139"/>
      <c r="F139" s="139" t="s">
        <v>291</v>
      </c>
      <c r="G139" t="s">
        <v>171</v>
      </c>
      <c r="H139" s="140">
        <v>45204</v>
      </c>
      <c r="I139" s="142">
        <v>82.6</v>
      </c>
      <c r="K139" s="56"/>
      <c r="L139" s="57"/>
      <c r="M139" s="56"/>
      <c r="N139" s="88"/>
      <c r="O139" s="56">
        <v>67.900000000000006</v>
      </c>
      <c r="P139" s="57">
        <v>69</v>
      </c>
      <c r="Q139" s="56">
        <v>65.400000000000006</v>
      </c>
    </row>
    <row r="140" spans="1:17">
      <c r="A140" s="131"/>
      <c r="B140" s="126"/>
      <c r="C140" s="126"/>
      <c r="D140" s="51" t="s">
        <v>159</v>
      </c>
      <c r="E140" s="139"/>
      <c r="F140" s="139" t="s">
        <v>168</v>
      </c>
      <c r="G140" t="s">
        <v>171</v>
      </c>
      <c r="H140" s="140">
        <v>45204</v>
      </c>
      <c r="I140" s="142">
        <v>81</v>
      </c>
      <c r="K140" s="56"/>
      <c r="L140" s="57"/>
      <c r="M140" s="56"/>
      <c r="N140" s="88"/>
      <c r="O140" s="56">
        <v>63.6</v>
      </c>
      <c r="P140" s="57">
        <v>64.599999999999994</v>
      </c>
      <c r="Q140" s="56">
        <v>61.2</v>
      </c>
    </row>
    <row r="141" spans="1:17">
      <c r="A141" s="131"/>
      <c r="B141" s="126"/>
      <c r="C141" s="126"/>
      <c r="D141" s="51" t="s">
        <v>188</v>
      </c>
      <c r="E141" s="139"/>
      <c r="F141" s="139" t="s">
        <v>291</v>
      </c>
      <c r="G141" t="s">
        <v>227</v>
      </c>
      <c r="H141" s="140">
        <v>45204</v>
      </c>
      <c r="I141" s="142">
        <v>759.6</v>
      </c>
      <c r="K141" s="56"/>
      <c r="L141" s="57"/>
      <c r="M141" s="56"/>
      <c r="N141" s="88"/>
      <c r="O141" s="56">
        <v>610</v>
      </c>
      <c r="P141" s="57">
        <v>599</v>
      </c>
      <c r="Q141" s="56">
        <v>586</v>
      </c>
    </row>
    <row r="142" spans="1:17">
      <c r="A142" s="131"/>
      <c r="B142" s="126"/>
      <c r="C142" s="126"/>
      <c r="D142" s="51" t="s">
        <v>188</v>
      </c>
      <c r="E142" s="139"/>
      <c r="F142" s="143" t="s">
        <v>168</v>
      </c>
      <c r="G142" t="s">
        <v>227</v>
      </c>
      <c r="H142" s="140">
        <v>45204</v>
      </c>
      <c r="I142" s="142">
        <v>751.8</v>
      </c>
      <c r="K142" s="56"/>
      <c r="L142" s="57"/>
      <c r="M142" s="56"/>
      <c r="N142" s="88"/>
      <c r="O142" s="56">
        <v>576</v>
      </c>
      <c r="P142" s="57">
        <v>565</v>
      </c>
      <c r="Q142" s="56">
        <v>551</v>
      </c>
    </row>
    <row r="143" spans="1:17">
      <c r="A143" s="131"/>
      <c r="B143" s="126"/>
      <c r="C143" s="126"/>
      <c r="D143" s="51" t="s">
        <v>160</v>
      </c>
      <c r="E143" s="139"/>
      <c r="F143" s="139"/>
      <c r="G143" t="s">
        <v>171</v>
      </c>
      <c r="H143" s="140">
        <v>45204</v>
      </c>
      <c r="I143" s="141">
        <v>6.6</v>
      </c>
      <c r="K143" s="56"/>
      <c r="L143" s="57"/>
      <c r="M143" s="56"/>
      <c r="N143" s="88"/>
      <c r="O143" s="56">
        <v>4.9000000000000004</v>
      </c>
      <c r="P143" s="57">
        <v>4.8</v>
      </c>
      <c r="Q143" s="56">
        <v>4.5</v>
      </c>
    </row>
    <row r="144" spans="1:17">
      <c r="A144" s="131"/>
      <c r="B144" s="126"/>
      <c r="C144" s="126"/>
      <c r="D144" s="51" t="s">
        <v>303</v>
      </c>
      <c r="E144" s="139"/>
      <c r="F144" s="139"/>
      <c r="G144" t="s">
        <v>227</v>
      </c>
      <c r="H144" s="140">
        <v>45204</v>
      </c>
      <c r="I144" s="141"/>
      <c r="K144" s="56"/>
      <c r="L144" s="57"/>
      <c r="M144" s="56"/>
      <c r="N144" s="88"/>
      <c r="O144" s="56">
        <v>44</v>
      </c>
      <c r="P144" s="57">
        <v>42</v>
      </c>
      <c r="Q144" s="56">
        <v>41</v>
      </c>
    </row>
    <row r="145" spans="1:17">
      <c r="A145" s="131"/>
      <c r="B145" s="126"/>
      <c r="C145" s="126"/>
      <c r="D145" s="51" t="s">
        <v>163</v>
      </c>
      <c r="E145" s="139">
        <v>1</v>
      </c>
      <c r="F145" s="139"/>
      <c r="G145" t="s">
        <v>171</v>
      </c>
      <c r="H145" s="140">
        <v>45204</v>
      </c>
      <c r="I145" s="141"/>
      <c r="K145" s="56"/>
      <c r="L145" s="57"/>
      <c r="M145" s="56"/>
      <c r="N145" s="88"/>
      <c r="O145" s="56">
        <v>8.9</v>
      </c>
      <c r="P145" s="57">
        <v>8.1</v>
      </c>
      <c r="Q145" s="56">
        <v>11</v>
      </c>
    </row>
    <row r="146" spans="1:17">
      <c r="A146" s="131"/>
      <c r="B146" s="126"/>
      <c r="C146" s="126"/>
      <c r="D146" s="51" t="s">
        <v>163</v>
      </c>
      <c r="E146" s="139">
        <v>3</v>
      </c>
      <c r="F146" s="139"/>
      <c r="G146" t="s">
        <v>171</v>
      </c>
      <c r="H146" s="140">
        <v>45204</v>
      </c>
      <c r="I146" s="141"/>
      <c r="K146" s="56"/>
      <c r="L146" s="57"/>
      <c r="M146" s="56"/>
      <c r="N146" s="88"/>
      <c r="O146" s="56">
        <v>3.5</v>
      </c>
      <c r="P146" s="57">
        <v>3.7</v>
      </c>
      <c r="Q146" s="56">
        <v>3.4</v>
      </c>
    </row>
    <row r="147" spans="1:17">
      <c r="A147" s="131"/>
      <c r="B147" s="126"/>
      <c r="C147" s="126"/>
      <c r="D147" s="51" t="s">
        <v>163</v>
      </c>
      <c r="E147" s="139" t="s">
        <v>306</v>
      </c>
      <c r="F147" s="139"/>
      <c r="G147" t="s">
        <v>171</v>
      </c>
      <c r="H147" s="140">
        <v>45204</v>
      </c>
      <c r="I147" s="141"/>
      <c r="K147" s="56"/>
      <c r="L147" s="57"/>
      <c r="M147" s="56"/>
      <c r="N147" s="88"/>
      <c r="O147" s="56">
        <v>8.9</v>
      </c>
      <c r="P147" s="57">
        <v>8.1999999999999993</v>
      </c>
      <c r="Q147" s="56">
        <v>7.6</v>
      </c>
    </row>
    <row r="148" spans="1:17">
      <c r="A148" s="131"/>
      <c r="B148" s="126"/>
      <c r="C148" s="126"/>
      <c r="D148" s="51" t="s">
        <v>163</v>
      </c>
      <c r="E148" t="s">
        <v>173</v>
      </c>
      <c r="G148" t="s">
        <v>171</v>
      </c>
      <c r="H148" s="140">
        <v>45204</v>
      </c>
      <c r="I148" s="50"/>
      <c r="K148" s="56"/>
      <c r="L148" s="57"/>
      <c r="M148" s="56"/>
      <c r="N148" s="88"/>
      <c r="O148" s="56">
        <f>SUM(O145:O147)</f>
        <v>21.3</v>
      </c>
      <c r="P148" s="56">
        <f>SUM(P145:P147)</f>
        <v>20</v>
      </c>
      <c r="Q148" s="56">
        <f>SUM(Q145:Q147)</f>
        <v>22</v>
      </c>
    </row>
    <row r="149" spans="1:17">
      <c r="A149" s="131"/>
      <c r="B149" s="126"/>
      <c r="C149" s="126"/>
      <c r="D149" s="51" t="s">
        <v>165</v>
      </c>
      <c r="F149" t="s">
        <v>219</v>
      </c>
      <c r="G149" t="s">
        <v>220</v>
      </c>
      <c r="H149" s="140">
        <v>45204</v>
      </c>
      <c r="I149" s="50"/>
      <c r="K149" s="56"/>
      <c r="L149" s="57"/>
      <c r="M149" s="56">
        <v>130</v>
      </c>
      <c r="N149" s="88">
        <v>125.9</v>
      </c>
      <c r="O149" s="56">
        <v>122</v>
      </c>
      <c r="P149" s="57">
        <v>126.5</v>
      </c>
      <c r="Q149" s="56">
        <v>118.8</v>
      </c>
    </row>
    <row r="150" spans="1:17">
      <c r="A150" s="131"/>
      <c r="B150" s="126"/>
      <c r="C150" s="126"/>
      <c r="D150" s="51" t="s">
        <v>165</v>
      </c>
      <c r="F150" t="s">
        <v>224</v>
      </c>
      <c r="G150" t="s">
        <v>221</v>
      </c>
      <c r="H150" s="140">
        <v>45204</v>
      </c>
      <c r="I150" s="50" t="s">
        <v>213</v>
      </c>
      <c r="K150" s="56"/>
      <c r="L150" s="57"/>
      <c r="M150" s="56">
        <v>309.39999999999998</v>
      </c>
      <c r="N150" s="88">
        <v>308.3</v>
      </c>
      <c r="O150" s="56">
        <v>296.3</v>
      </c>
      <c r="P150" s="57">
        <v>306.39999999999998</v>
      </c>
      <c r="Q150" s="56">
        <v>293.7</v>
      </c>
    </row>
    <row r="151" spans="1:17">
      <c r="A151" s="131"/>
      <c r="B151" s="126"/>
      <c r="C151" s="126"/>
      <c r="D151" s="51" t="s">
        <v>165</v>
      </c>
      <c r="F151" t="s">
        <v>225</v>
      </c>
      <c r="G151" t="s">
        <v>222</v>
      </c>
      <c r="H151" s="140">
        <v>45204</v>
      </c>
      <c r="I151" s="50" t="s">
        <v>213</v>
      </c>
      <c r="K151" s="56"/>
      <c r="L151" s="57"/>
      <c r="M151" s="56">
        <v>49</v>
      </c>
      <c r="N151" s="88">
        <v>50.7</v>
      </c>
      <c r="O151" s="56">
        <v>46.9</v>
      </c>
      <c r="P151" s="57">
        <v>47.4</v>
      </c>
      <c r="Q151" s="56">
        <v>45</v>
      </c>
    </row>
    <row r="152" spans="1:17">
      <c r="A152" s="131"/>
      <c r="B152" s="126"/>
      <c r="C152" s="126"/>
      <c r="D152" s="51" t="s">
        <v>165</v>
      </c>
      <c r="F152" t="s">
        <v>228</v>
      </c>
      <c r="G152" t="s">
        <v>223</v>
      </c>
      <c r="H152" s="140">
        <v>45204</v>
      </c>
      <c r="I152" s="50" t="s">
        <v>213</v>
      </c>
      <c r="K152" s="56"/>
      <c r="L152" s="57"/>
      <c r="M152" s="56">
        <v>10.3</v>
      </c>
      <c r="N152" s="88">
        <v>11.3</v>
      </c>
      <c r="O152" s="56">
        <v>11</v>
      </c>
      <c r="P152" s="57">
        <v>10.4</v>
      </c>
      <c r="Q152" s="56">
        <v>8.1999999999999993</v>
      </c>
    </row>
    <row r="153" spans="1:17">
      <c r="A153" s="123"/>
      <c r="B153" s="121"/>
      <c r="C153" s="121"/>
      <c r="D153" s="51" t="s">
        <v>175</v>
      </c>
      <c r="H153" s="140">
        <v>45204</v>
      </c>
      <c r="I153" s="50"/>
      <c r="K153" s="56"/>
      <c r="L153" s="57"/>
      <c r="M153" s="56"/>
      <c r="N153" s="88"/>
      <c r="O153" s="56"/>
      <c r="P153" s="57"/>
      <c r="Q153" s="58" t="s">
        <v>307</v>
      </c>
    </row>
    <row r="154" spans="1:17">
      <c r="A154" s="131" t="s">
        <v>210</v>
      </c>
      <c r="B154" s="127" t="s">
        <v>211</v>
      </c>
      <c r="C154" s="126" t="s">
        <v>212</v>
      </c>
      <c r="D154" s="51" t="s">
        <v>192</v>
      </c>
      <c r="E154" s="81"/>
      <c r="F154" s="82"/>
      <c r="G154" t="s">
        <v>226</v>
      </c>
      <c r="H154" s="84">
        <v>44561</v>
      </c>
      <c r="I154" s="83"/>
      <c r="K154" s="56"/>
      <c r="L154" s="57">
        <v>605</v>
      </c>
      <c r="M154" s="56">
        <v>599</v>
      </c>
      <c r="N154" s="88">
        <v>590</v>
      </c>
      <c r="O154" s="56">
        <v>576</v>
      </c>
      <c r="P154" s="57">
        <v>565</v>
      </c>
    </row>
    <row r="155" spans="1:17">
      <c r="A155" s="131"/>
      <c r="B155" s="126"/>
      <c r="C155" s="126"/>
      <c r="D155" s="51" t="s">
        <v>163</v>
      </c>
      <c r="H155" s="73">
        <v>44561</v>
      </c>
      <c r="I155" s="50" t="s">
        <v>213</v>
      </c>
      <c r="K155" s="56"/>
      <c r="L155" s="57"/>
      <c r="M155" s="56"/>
      <c r="N155" s="88"/>
      <c r="O155" s="56"/>
      <c r="P155" s="57"/>
    </row>
    <row r="156" spans="1:17">
      <c r="A156" s="131"/>
      <c r="B156" s="126"/>
      <c r="C156" s="126"/>
      <c r="D156" s="51" t="s">
        <v>165</v>
      </c>
      <c r="F156" t="s">
        <v>219</v>
      </c>
      <c r="G156" t="s">
        <v>220</v>
      </c>
      <c r="H156" s="73">
        <v>44561</v>
      </c>
      <c r="I156" s="50"/>
      <c r="K156" s="56"/>
      <c r="L156" s="57">
        <v>125.7</v>
      </c>
      <c r="M156" s="56">
        <v>130</v>
      </c>
      <c r="N156" s="88">
        <v>125.9</v>
      </c>
      <c r="O156" s="56">
        <v>122</v>
      </c>
      <c r="P156" s="57">
        <v>126.5</v>
      </c>
    </row>
    <row r="157" spans="1:17">
      <c r="A157" s="131"/>
      <c r="B157" s="126"/>
      <c r="C157" s="126"/>
      <c r="D157" s="51" t="s">
        <v>165</v>
      </c>
      <c r="F157" t="s">
        <v>224</v>
      </c>
      <c r="G157" t="s">
        <v>221</v>
      </c>
      <c r="H157" s="73">
        <v>44561</v>
      </c>
      <c r="I157" s="50" t="s">
        <v>213</v>
      </c>
      <c r="K157" s="56"/>
      <c r="L157" s="57">
        <v>305.3</v>
      </c>
      <c r="M157" s="56">
        <v>309.39999999999998</v>
      </c>
      <c r="N157" s="88">
        <v>308.3</v>
      </c>
      <c r="O157" s="56">
        <v>296.3</v>
      </c>
      <c r="P157" s="57">
        <v>306.39999999999998</v>
      </c>
    </row>
    <row r="158" spans="1:17">
      <c r="A158" s="131"/>
      <c r="B158" s="126"/>
      <c r="C158" s="126"/>
      <c r="D158" s="51" t="s">
        <v>165</v>
      </c>
      <c r="F158" t="s">
        <v>225</v>
      </c>
      <c r="G158" t="s">
        <v>222</v>
      </c>
      <c r="H158" s="73">
        <v>44561</v>
      </c>
      <c r="I158" s="50" t="s">
        <v>213</v>
      </c>
      <c r="K158" s="56"/>
      <c r="L158" s="57">
        <v>47.2</v>
      </c>
      <c r="M158" s="56">
        <v>49</v>
      </c>
      <c r="N158" s="88">
        <v>50.7</v>
      </c>
      <c r="O158" s="56">
        <v>46.9</v>
      </c>
      <c r="P158" s="57">
        <v>47.4</v>
      </c>
    </row>
    <row r="159" spans="1:17">
      <c r="A159" s="131"/>
      <c r="B159" s="126"/>
      <c r="C159" s="126"/>
      <c r="D159" s="51" t="s">
        <v>165</v>
      </c>
      <c r="F159" t="s">
        <v>228</v>
      </c>
      <c r="G159" t="s">
        <v>223</v>
      </c>
      <c r="H159" s="73">
        <v>44561</v>
      </c>
      <c r="I159" s="50" t="s">
        <v>213</v>
      </c>
      <c r="K159" s="56"/>
      <c r="L159" s="57">
        <v>9.6</v>
      </c>
      <c r="M159" s="56">
        <v>10.3</v>
      </c>
      <c r="N159" s="88">
        <v>11.3</v>
      </c>
      <c r="O159" s="56">
        <v>11</v>
      </c>
      <c r="P159" s="57">
        <v>10.4</v>
      </c>
    </row>
    <row r="160" spans="1:17">
      <c r="A160" s="123"/>
      <c r="B160" s="121"/>
      <c r="C160" s="121"/>
      <c r="D160" s="51" t="s">
        <v>166</v>
      </c>
      <c r="H160" s="73">
        <v>44561</v>
      </c>
      <c r="I160" s="50"/>
      <c r="K160" s="56"/>
      <c r="L160" s="57"/>
      <c r="M160" s="56"/>
      <c r="N160" s="88"/>
      <c r="O160" s="56"/>
      <c r="P160" s="57" t="s">
        <v>217</v>
      </c>
    </row>
    <row r="161" spans="1:17">
      <c r="A161" s="131" t="s">
        <v>210</v>
      </c>
      <c r="B161" s="127" t="s">
        <v>211</v>
      </c>
      <c r="C161" s="126" t="s">
        <v>212</v>
      </c>
      <c r="D161" s="51" t="s">
        <v>192</v>
      </c>
      <c r="E161" s="81"/>
      <c r="F161" s="82"/>
      <c r="G161" s="82" t="s">
        <v>226</v>
      </c>
      <c r="H161" s="84">
        <v>44196</v>
      </c>
      <c r="I161" s="83"/>
      <c r="K161" s="56"/>
      <c r="L161" s="57"/>
      <c r="M161" s="56">
        <v>599</v>
      </c>
      <c r="N161" s="88">
        <v>590</v>
      </c>
      <c r="O161" s="56">
        <v>576</v>
      </c>
      <c r="P161" s="57"/>
    </row>
    <row r="162" spans="1:17">
      <c r="A162" s="131"/>
      <c r="B162" s="126"/>
      <c r="C162" s="126"/>
      <c r="D162" s="51" t="s">
        <v>165</v>
      </c>
      <c r="F162" t="s">
        <v>219</v>
      </c>
      <c r="G162" t="s">
        <v>220</v>
      </c>
      <c r="H162" s="73">
        <v>44196</v>
      </c>
      <c r="I162" s="50"/>
      <c r="K162" s="56">
        <v>102.8</v>
      </c>
      <c r="L162" s="57">
        <v>125.7</v>
      </c>
      <c r="M162" s="56">
        <v>130</v>
      </c>
      <c r="N162" s="88">
        <v>125.9</v>
      </c>
      <c r="O162" s="56">
        <v>122</v>
      </c>
      <c r="P162" s="57"/>
    </row>
    <row r="163" spans="1:17">
      <c r="A163" s="131"/>
      <c r="B163" s="126"/>
      <c r="C163" s="126"/>
      <c r="D163" s="51" t="s">
        <v>165</v>
      </c>
      <c r="F163" t="s">
        <v>224</v>
      </c>
      <c r="G163" t="s">
        <v>221</v>
      </c>
      <c r="H163" s="73">
        <v>44196</v>
      </c>
      <c r="I163" s="50" t="s">
        <v>213</v>
      </c>
      <c r="K163" s="56">
        <v>272</v>
      </c>
      <c r="L163" s="57">
        <v>305.3</v>
      </c>
      <c r="M163" s="56">
        <v>309.39999999999998</v>
      </c>
      <c r="N163" s="88">
        <v>308.3</v>
      </c>
      <c r="O163" s="56">
        <v>296.3</v>
      </c>
      <c r="P163" s="57"/>
    </row>
    <row r="164" spans="1:17">
      <c r="A164" s="131"/>
      <c r="B164" s="126"/>
      <c r="C164" s="126"/>
      <c r="D164" s="51" t="s">
        <v>165</v>
      </c>
      <c r="F164" t="s">
        <v>225</v>
      </c>
      <c r="G164" t="s">
        <v>222</v>
      </c>
      <c r="H164" s="73">
        <v>44196</v>
      </c>
      <c r="I164" s="50" t="s">
        <v>213</v>
      </c>
      <c r="K164" s="56">
        <v>42.5</v>
      </c>
      <c r="L164" s="57">
        <v>47.2</v>
      </c>
      <c r="M164" s="56">
        <v>49</v>
      </c>
      <c r="N164" s="88">
        <v>50.7</v>
      </c>
      <c r="O164" s="56">
        <v>46.9</v>
      </c>
      <c r="P164" s="57"/>
    </row>
    <row r="165" spans="1:17">
      <c r="A165" s="131"/>
      <c r="B165" s="126"/>
      <c r="C165" s="126"/>
      <c r="D165" s="51" t="s">
        <v>165</v>
      </c>
      <c r="F165" t="s">
        <v>228</v>
      </c>
      <c r="G165" t="s">
        <v>223</v>
      </c>
      <c r="H165" s="73">
        <v>44196</v>
      </c>
      <c r="I165" s="50" t="s">
        <v>213</v>
      </c>
      <c r="K165" s="56">
        <v>9.4</v>
      </c>
      <c r="L165" s="57">
        <v>9.6</v>
      </c>
      <c r="M165" s="56">
        <v>10.3</v>
      </c>
      <c r="N165" s="88">
        <v>11.3</v>
      </c>
      <c r="O165" s="56">
        <v>11</v>
      </c>
      <c r="P165" s="57"/>
    </row>
    <row r="166" spans="1:17">
      <c r="A166" s="132"/>
      <c r="B166" s="133"/>
      <c r="C166" s="133"/>
      <c r="D166" s="51" t="s">
        <v>166</v>
      </c>
      <c r="E166" s="78"/>
      <c r="F166" s="79"/>
      <c r="G166" s="79"/>
      <c r="H166" s="85">
        <v>44196</v>
      </c>
      <c r="I166" s="80"/>
      <c r="K166" s="56"/>
      <c r="L166" s="57"/>
      <c r="M166" s="56"/>
      <c r="N166" s="88"/>
      <c r="O166" s="56" t="s">
        <v>218</v>
      </c>
      <c r="P166" s="57"/>
    </row>
    <row r="167" spans="1:17">
      <c r="A167" s="123" t="s">
        <v>261</v>
      </c>
      <c r="B167" s="125" t="s">
        <v>265</v>
      </c>
      <c r="C167" s="121" t="s">
        <v>266</v>
      </c>
      <c r="D167" s="72" t="s">
        <v>159</v>
      </c>
      <c r="E167" s="64"/>
      <c r="G167" t="s">
        <v>171</v>
      </c>
      <c r="H167" s="73">
        <v>44926</v>
      </c>
      <c r="I167" s="50"/>
      <c r="K167" s="56"/>
      <c r="L167" s="57"/>
      <c r="M167" s="56"/>
      <c r="N167" s="88"/>
      <c r="O167" s="56">
        <v>3.92</v>
      </c>
      <c r="P167" s="57">
        <v>3.71</v>
      </c>
      <c r="Q167" s="56">
        <v>2.88</v>
      </c>
    </row>
    <row r="168" spans="1:17">
      <c r="A168" s="124"/>
      <c r="B168" s="126"/>
      <c r="C168" s="122"/>
      <c r="D168" s="51" t="s">
        <v>160</v>
      </c>
      <c r="E168" t="s">
        <v>167</v>
      </c>
      <c r="G168" t="s">
        <v>171</v>
      </c>
      <c r="H168" s="73">
        <v>44926</v>
      </c>
      <c r="I168" s="50"/>
      <c r="K168" s="56"/>
      <c r="L168" s="57"/>
      <c r="M168" s="56"/>
      <c r="N168" s="88"/>
      <c r="O168" s="56">
        <v>6.09</v>
      </c>
      <c r="P168" s="57">
        <v>5.73</v>
      </c>
      <c r="Q168" s="56">
        <v>5.83</v>
      </c>
    </row>
    <row r="169" spans="1:17">
      <c r="A169" s="124"/>
      <c r="B169" s="126"/>
      <c r="C169" s="122"/>
      <c r="D169" s="51" t="s">
        <v>160</v>
      </c>
      <c r="E169" t="s">
        <v>161</v>
      </c>
      <c r="G169" t="s">
        <v>171</v>
      </c>
      <c r="H169" s="73">
        <v>44926</v>
      </c>
      <c r="I169" s="50"/>
      <c r="K169" s="56"/>
      <c r="L169" s="57"/>
      <c r="M169" s="56"/>
      <c r="N169" s="88"/>
      <c r="O169" s="56">
        <v>4.49</v>
      </c>
      <c r="P169" s="57">
        <v>3.9</v>
      </c>
      <c r="Q169" s="56">
        <v>3.38</v>
      </c>
    </row>
    <row r="170" spans="1:17">
      <c r="A170" s="124"/>
      <c r="B170" s="126"/>
      <c r="C170" s="122"/>
      <c r="D170" s="51" t="s">
        <v>163</v>
      </c>
      <c r="E170">
        <v>3</v>
      </c>
      <c r="F170" t="s">
        <v>167</v>
      </c>
      <c r="G170" t="s">
        <v>171</v>
      </c>
      <c r="H170" s="73">
        <v>44926</v>
      </c>
      <c r="I170" s="50"/>
      <c r="K170" s="56"/>
      <c r="L170" s="57"/>
      <c r="M170" s="56"/>
      <c r="N170" s="88"/>
      <c r="O170" s="56">
        <v>61.27</v>
      </c>
      <c r="P170" s="57">
        <v>51.55</v>
      </c>
      <c r="Q170" s="56">
        <v>40.479999999999997</v>
      </c>
    </row>
    <row r="171" spans="1:17">
      <c r="A171" s="124"/>
      <c r="B171" s="126"/>
      <c r="C171" s="122"/>
      <c r="D171" s="51" t="s">
        <v>163</v>
      </c>
      <c r="E171">
        <v>3</v>
      </c>
      <c r="F171" t="s">
        <v>161</v>
      </c>
      <c r="G171" t="s">
        <v>171</v>
      </c>
      <c r="H171" s="73">
        <v>44926</v>
      </c>
      <c r="I171" s="50" t="s">
        <v>213</v>
      </c>
      <c r="K171" s="56"/>
      <c r="L171" s="57"/>
      <c r="M171" s="56"/>
      <c r="N171" s="88"/>
      <c r="O171" s="56"/>
      <c r="P171" s="57">
        <v>54.75</v>
      </c>
      <c r="Q171" s="56">
        <v>42.51</v>
      </c>
    </row>
    <row r="172" spans="1:17">
      <c r="A172" s="124"/>
      <c r="B172" s="126"/>
      <c r="C172" s="122"/>
      <c r="D172" s="51" t="s">
        <v>163</v>
      </c>
      <c r="E172">
        <v>11</v>
      </c>
      <c r="G172" t="s">
        <v>171</v>
      </c>
      <c r="H172" s="73">
        <v>44926</v>
      </c>
      <c r="I172" s="50"/>
      <c r="K172" s="56"/>
      <c r="L172" s="57"/>
      <c r="M172" s="56"/>
      <c r="N172" s="88"/>
      <c r="O172" s="56">
        <v>41.78</v>
      </c>
      <c r="P172" s="57">
        <v>44.15</v>
      </c>
      <c r="Q172" s="56">
        <v>35.630000000000003</v>
      </c>
    </row>
    <row r="173" spans="1:17">
      <c r="A173" s="124"/>
      <c r="B173" s="126"/>
      <c r="C173" s="122"/>
      <c r="D173" s="51" t="s">
        <v>163</v>
      </c>
      <c r="E173">
        <v>1</v>
      </c>
      <c r="G173" t="s">
        <v>171</v>
      </c>
      <c r="H173" s="73">
        <v>44926</v>
      </c>
      <c r="I173" s="50"/>
      <c r="K173" s="56"/>
      <c r="L173" s="57"/>
      <c r="M173" s="56"/>
      <c r="N173" s="88"/>
      <c r="O173" s="56">
        <v>3.33</v>
      </c>
      <c r="P173" s="57">
        <v>3.32</v>
      </c>
      <c r="Q173" s="56">
        <v>2.8</v>
      </c>
    </row>
    <row r="174" spans="1:17">
      <c r="A174" s="124"/>
      <c r="B174" s="126"/>
      <c r="C174" s="122"/>
      <c r="D174" s="51" t="s">
        <v>163</v>
      </c>
      <c r="E174">
        <v>13</v>
      </c>
      <c r="G174" t="s">
        <v>171</v>
      </c>
      <c r="H174" s="73">
        <v>44926</v>
      </c>
      <c r="I174" s="50"/>
      <c r="K174" s="56"/>
      <c r="L174" s="57"/>
      <c r="M174" s="56"/>
      <c r="N174" s="88"/>
      <c r="O174" s="56">
        <v>1.5</v>
      </c>
      <c r="P174" s="57">
        <v>1.29</v>
      </c>
      <c r="Q174" s="56">
        <v>1.56</v>
      </c>
    </row>
    <row r="175" spans="1:17">
      <c r="A175" s="124"/>
      <c r="B175" s="126"/>
      <c r="C175" s="122"/>
      <c r="D175" s="51" t="s">
        <v>163</v>
      </c>
      <c r="E175">
        <v>7</v>
      </c>
      <c r="G175" t="s">
        <v>171</v>
      </c>
      <c r="H175" s="73">
        <v>44926</v>
      </c>
      <c r="I175" s="50"/>
      <c r="K175" s="56"/>
      <c r="L175" s="57"/>
      <c r="M175" s="56"/>
      <c r="N175" s="88"/>
      <c r="O175" s="56">
        <v>0.05</v>
      </c>
      <c r="P175" s="57">
        <v>0.05</v>
      </c>
      <c r="Q175" s="56">
        <v>0.05</v>
      </c>
    </row>
    <row r="176" spans="1:17">
      <c r="A176" s="124"/>
      <c r="B176" s="126"/>
      <c r="C176" s="122"/>
      <c r="D176" s="51" t="s">
        <v>163</v>
      </c>
      <c r="E176">
        <v>8</v>
      </c>
      <c r="G176" t="s">
        <v>171</v>
      </c>
      <c r="H176" s="73">
        <v>44926</v>
      </c>
      <c r="I176" s="50"/>
      <c r="K176" s="56"/>
      <c r="L176" s="57"/>
      <c r="M176" s="56"/>
      <c r="N176" s="88"/>
      <c r="O176" s="56">
        <v>0.03</v>
      </c>
      <c r="P176" s="57">
        <v>0.02</v>
      </c>
      <c r="Q176" s="56">
        <v>0.02</v>
      </c>
    </row>
    <row r="177" spans="1:17">
      <c r="A177" s="124"/>
      <c r="B177" s="126"/>
      <c r="C177" s="122"/>
      <c r="D177" s="51" t="s">
        <v>163</v>
      </c>
      <c r="E177">
        <v>6</v>
      </c>
      <c r="G177" t="s">
        <v>171</v>
      </c>
      <c r="H177" s="73">
        <v>44926</v>
      </c>
      <c r="I177" s="50"/>
      <c r="K177" s="56"/>
      <c r="L177" s="57"/>
      <c r="M177" s="56"/>
      <c r="N177" s="88"/>
      <c r="O177" s="56">
        <v>0</v>
      </c>
      <c r="P177" s="57">
        <v>0</v>
      </c>
      <c r="Q177" s="56">
        <v>0</v>
      </c>
    </row>
    <row r="178" spans="1:17">
      <c r="A178" s="124"/>
      <c r="B178" s="126"/>
      <c r="C178" s="122"/>
      <c r="D178" s="51" t="s">
        <v>165</v>
      </c>
      <c r="E178" t="s">
        <v>183</v>
      </c>
      <c r="G178" t="s">
        <v>53</v>
      </c>
      <c r="H178" s="73">
        <v>44926</v>
      </c>
      <c r="I178" s="50"/>
      <c r="K178" s="56"/>
      <c r="L178" s="57"/>
      <c r="M178" s="56"/>
      <c r="N178" s="88"/>
      <c r="O178" s="56"/>
      <c r="P178" s="57">
        <v>372.8</v>
      </c>
      <c r="Q178" s="56">
        <v>261.7</v>
      </c>
    </row>
    <row r="179" spans="1:17">
      <c r="A179" s="124"/>
      <c r="B179" s="126"/>
      <c r="C179" s="122"/>
      <c r="D179" s="51" t="s">
        <v>165</v>
      </c>
      <c r="E179" t="s">
        <v>184</v>
      </c>
      <c r="G179" t="s">
        <v>53</v>
      </c>
      <c r="H179" s="73">
        <v>44926</v>
      </c>
      <c r="I179" s="50"/>
      <c r="K179" s="56"/>
      <c r="L179" s="57"/>
      <c r="M179" s="56"/>
      <c r="N179" s="88"/>
      <c r="O179" s="56"/>
      <c r="P179" s="57">
        <v>448.1</v>
      </c>
      <c r="Q179" s="56">
        <v>462.9</v>
      </c>
    </row>
    <row r="180" spans="1:17">
      <c r="A180" s="124"/>
      <c r="B180" s="121"/>
      <c r="C180" s="122"/>
      <c r="D180" s="51" t="s">
        <v>166</v>
      </c>
      <c r="E180" s="78"/>
      <c r="F180" s="79"/>
      <c r="G180" s="79"/>
      <c r="H180" s="85">
        <v>44926</v>
      </c>
      <c r="I180" s="80"/>
      <c r="K180" s="56"/>
      <c r="L180" s="57"/>
      <c r="M180" s="56"/>
      <c r="N180" s="88"/>
      <c r="O180" s="56"/>
      <c r="P180" s="57"/>
      <c r="Q180" s="56" t="s">
        <v>277</v>
      </c>
    </row>
    <row r="181" spans="1:17">
      <c r="A181" s="123" t="s">
        <v>261</v>
      </c>
      <c r="B181" s="125" t="s">
        <v>265</v>
      </c>
      <c r="C181" s="121" t="s">
        <v>266</v>
      </c>
      <c r="D181" s="72" t="s">
        <v>159</v>
      </c>
      <c r="E181" s="64"/>
      <c r="G181" t="s">
        <v>171</v>
      </c>
      <c r="H181" s="73">
        <v>44926</v>
      </c>
      <c r="I181" s="50"/>
      <c r="K181" s="56"/>
      <c r="L181" s="57"/>
      <c r="M181" s="56"/>
      <c r="N181" s="88">
        <v>3.98</v>
      </c>
      <c r="O181" s="56">
        <v>3.92</v>
      </c>
      <c r="P181" s="57">
        <v>3.71</v>
      </c>
    </row>
    <row r="182" spans="1:17">
      <c r="A182" s="124"/>
      <c r="B182" s="126"/>
      <c r="C182" s="122"/>
      <c r="D182" s="51" t="s">
        <v>160</v>
      </c>
      <c r="E182" t="s">
        <v>167</v>
      </c>
      <c r="G182" t="s">
        <v>171</v>
      </c>
      <c r="H182" s="73">
        <v>44926</v>
      </c>
      <c r="I182" s="50"/>
      <c r="K182" s="56"/>
      <c r="L182" s="57"/>
      <c r="M182" s="56"/>
      <c r="N182" s="88"/>
      <c r="O182" s="56">
        <v>6.09</v>
      </c>
      <c r="P182" s="57">
        <v>5.73</v>
      </c>
    </row>
    <row r="183" spans="1:17">
      <c r="A183" s="124"/>
      <c r="B183" s="126"/>
      <c r="C183" s="122"/>
      <c r="D183" s="51" t="s">
        <v>160</v>
      </c>
      <c r="E183" t="s">
        <v>161</v>
      </c>
      <c r="G183" t="s">
        <v>171</v>
      </c>
      <c r="H183" s="73">
        <v>44926</v>
      </c>
      <c r="I183" s="50"/>
      <c r="K183" s="56"/>
      <c r="L183" s="57"/>
      <c r="M183" s="56"/>
      <c r="N183" s="88">
        <v>4.82</v>
      </c>
      <c r="O183" s="56">
        <v>4.49</v>
      </c>
      <c r="P183" s="57">
        <v>3.9</v>
      </c>
    </row>
    <row r="184" spans="1:17">
      <c r="A184" s="124"/>
      <c r="B184" s="126"/>
      <c r="C184" s="122"/>
      <c r="D184" s="51" t="s">
        <v>163</v>
      </c>
      <c r="E184">
        <v>3</v>
      </c>
      <c r="F184" t="s">
        <v>167</v>
      </c>
      <c r="G184" t="s">
        <v>171</v>
      </c>
      <c r="H184" s="73">
        <v>44926</v>
      </c>
      <c r="I184" s="50"/>
      <c r="K184" s="56"/>
      <c r="L184" s="57"/>
      <c r="M184" s="56"/>
      <c r="N184" s="88">
        <v>70.78</v>
      </c>
      <c r="O184" s="56">
        <v>61.27</v>
      </c>
      <c r="P184" s="57">
        <v>51.55</v>
      </c>
    </row>
    <row r="185" spans="1:17">
      <c r="A185" s="124"/>
      <c r="B185" s="126"/>
      <c r="C185" s="122"/>
      <c r="D185" s="51" t="s">
        <v>163</v>
      </c>
      <c r="E185">
        <v>3</v>
      </c>
      <c r="F185" t="s">
        <v>161</v>
      </c>
      <c r="G185" t="s">
        <v>171</v>
      </c>
      <c r="H185" s="73">
        <v>44926</v>
      </c>
      <c r="I185" s="50" t="s">
        <v>213</v>
      </c>
      <c r="K185" s="56"/>
      <c r="L185" s="57"/>
      <c r="M185" s="56"/>
      <c r="N185" s="88"/>
      <c r="O185" s="56"/>
      <c r="P185" s="57">
        <v>54.75</v>
      </c>
    </row>
    <row r="186" spans="1:17">
      <c r="A186" s="124"/>
      <c r="B186" s="126"/>
      <c r="C186" s="122"/>
      <c r="D186" s="51" t="s">
        <v>163</v>
      </c>
      <c r="E186">
        <v>11</v>
      </c>
      <c r="G186" t="s">
        <v>171</v>
      </c>
      <c r="H186" s="73">
        <v>44926</v>
      </c>
      <c r="I186" s="50"/>
      <c r="K186" s="56"/>
      <c r="L186" s="57"/>
      <c r="M186" s="56"/>
      <c r="N186" s="88">
        <v>44.3</v>
      </c>
      <c r="O186" s="56">
        <v>41.78</v>
      </c>
      <c r="P186" s="57">
        <v>44.15</v>
      </c>
    </row>
    <row r="187" spans="1:17">
      <c r="A187" s="124"/>
      <c r="B187" s="126"/>
      <c r="C187" s="122"/>
      <c r="D187" s="51" t="s">
        <v>163</v>
      </c>
      <c r="E187">
        <v>1</v>
      </c>
      <c r="G187" t="s">
        <v>171</v>
      </c>
      <c r="H187" s="73">
        <v>44926</v>
      </c>
      <c r="I187" s="50"/>
      <c r="K187" s="56"/>
      <c r="L187" s="57"/>
      <c r="M187" s="56"/>
      <c r="N187" s="88">
        <v>3.29</v>
      </c>
      <c r="O187" s="56">
        <v>3.33</v>
      </c>
      <c r="P187" s="57">
        <v>3.32</v>
      </c>
    </row>
    <row r="188" spans="1:17">
      <c r="A188" s="124"/>
      <c r="B188" s="126"/>
      <c r="C188" s="122"/>
      <c r="D188" s="51" t="s">
        <v>163</v>
      </c>
      <c r="E188">
        <v>13</v>
      </c>
      <c r="G188" t="s">
        <v>171</v>
      </c>
      <c r="H188" s="73">
        <v>44926</v>
      </c>
      <c r="I188" s="50"/>
      <c r="K188" s="56"/>
      <c r="L188" s="57"/>
      <c r="M188" s="56"/>
      <c r="N188" s="88">
        <v>1.7</v>
      </c>
      <c r="O188" s="56">
        <v>1.5</v>
      </c>
      <c r="P188" s="57">
        <v>1.29</v>
      </c>
    </row>
    <row r="189" spans="1:17">
      <c r="A189" s="124"/>
      <c r="B189" s="126"/>
      <c r="C189" s="122"/>
      <c r="D189" s="51" t="s">
        <v>163</v>
      </c>
      <c r="E189">
        <v>7</v>
      </c>
      <c r="G189" t="s">
        <v>171</v>
      </c>
      <c r="H189" s="73">
        <v>44926</v>
      </c>
      <c r="I189" s="50"/>
      <c r="K189" s="56"/>
      <c r="L189" s="57"/>
      <c r="M189" s="56"/>
      <c r="N189" s="88">
        <v>0.05</v>
      </c>
      <c r="O189" s="56">
        <v>0.05</v>
      </c>
      <c r="P189" s="57">
        <v>0.05</v>
      </c>
    </row>
    <row r="190" spans="1:17">
      <c r="A190" s="124"/>
      <c r="B190" s="126"/>
      <c r="C190" s="122"/>
      <c r="D190" s="51" t="s">
        <v>163</v>
      </c>
      <c r="E190">
        <v>8</v>
      </c>
      <c r="G190" t="s">
        <v>171</v>
      </c>
      <c r="H190" s="73">
        <v>44926</v>
      </c>
      <c r="I190" s="50"/>
      <c r="K190" s="56"/>
      <c r="L190" s="57"/>
      <c r="M190" s="56"/>
      <c r="N190" s="88">
        <v>0.06</v>
      </c>
      <c r="O190" s="56">
        <v>0.03</v>
      </c>
      <c r="P190" s="57">
        <v>0.02</v>
      </c>
    </row>
    <row r="191" spans="1:17">
      <c r="A191" s="124"/>
      <c r="B191" s="126"/>
      <c r="C191" s="122"/>
      <c r="D191" s="51" t="s">
        <v>163</v>
      </c>
      <c r="E191">
        <v>6</v>
      </c>
      <c r="G191" t="s">
        <v>171</v>
      </c>
      <c r="H191" s="73">
        <v>44926</v>
      </c>
      <c r="I191" s="50"/>
      <c r="K191" s="56"/>
      <c r="L191" s="57"/>
      <c r="M191" s="56"/>
      <c r="N191" s="88">
        <v>0.01</v>
      </c>
      <c r="O191" s="56">
        <v>0</v>
      </c>
      <c r="P191" s="57">
        <v>0</v>
      </c>
    </row>
    <row r="192" spans="1:17">
      <c r="A192" s="124"/>
      <c r="B192" s="126"/>
      <c r="C192" s="122"/>
      <c r="D192" s="51" t="s">
        <v>165</v>
      </c>
      <c r="E192" t="s">
        <v>183</v>
      </c>
      <c r="G192" t="s">
        <v>53</v>
      </c>
      <c r="H192" s="73">
        <v>44926</v>
      </c>
      <c r="I192" s="50"/>
      <c r="K192" s="56"/>
      <c r="L192" s="57"/>
      <c r="M192" s="56"/>
      <c r="N192" s="88"/>
      <c r="O192" s="56">
        <v>371.1</v>
      </c>
      <c r="P192" s="57">
        <v>372.8</v>
      </c>
    </row>
    <row r="193" spans="1:16">
      <c r="A193" s="124"/>
      <c r="B193" s="126"/>
      <c r="C193" s="122"/>
      <c r="D193" s="51" t="s">
        <v>165</v>
      </c>
      <c r="E193" t="s">
        <v>184</v>
      </c>
      <c r="G193" t="s">
        <v>53</v>
      </c>
      <c r="H193" s="73">
        <v>44926</v>
      </c>
      <c r="I193" s="50"/>
      <c r="K193" s="56"/>
      <c r="L193" s="57"/>
      <c r="M193" s="56"/>
      <c r="N193" s="88"/>
      <c r="O193" s="56">
        <v>385</v>
      </c>
      <c r="P193" s="57">
        <v>447.9</v>
      </c>
    </row>
    <row r="194" spans="1:16">
      <c r="A194" s="124"/>
      <c r="B194" s="121"/>
      <c r="C194" s="122"/>
      <c r="D194" s="51" t="s">
        <v>166</v>
      </c>
      <c r="E194" s="78"/>
      <c r="F194" s="79"/>
      <c r="G194" s="79"/>
      <c r="H194" s="85">
        <v>44926</v>
      </c>
      <c r="I194" s="80"/>
      <c r="K194" s="56"/>
      <c r="L194" s="57"/>
      <c r="M194" s="56"/>
      <c r="N194" s="88"/>
      <c r="O194" s="56"/>
      <c r="P194" s="57" t="s">
        <v>278</v>
      </c>
    </row>
    <row r="195" spans="1:16">
      <c r="A195" s="123" t="s">
        <v>261</v>
      </c>
      <c r="B195" s="125" t="s">
        <v>265</v>
      </c>
      <c r="C195" s="121" t="s">
        <v>266</v>
      </c>
      <c r="D195" s="72" t="s">
        <v>159</v>
      </c>
      <c r="E195" s="64"/>
      <c r="G195" t="s">
        <v>171</v>
      </c>
      <c r="H195" s="73">
        <v>44926</v>
      </c>
      <c r="I195" s="50"/>
      <c r="K195" s="56"/>
      <c r="L195" s="57"/>
      <c r="M195" s="56"/>
      <c r="N195" s="88">
        <v>3.98</v>
      </c>
      <c r="O195" s="56">
        <v>3.92</v>
      </c>
      <c r="P195" s="57"/>
    </row>
    <row r="196" spans="1:16">
      <c r="A196" s="124"/>
      <c r="B196" s="126"/>
      <c r="C196" s="122"/>
      <c r="D196" s="51" t="s">
        <v>160</v>
      </c>
      <c r="E196" t="s">
        <v>167</v>
      </c>
      <c r="G196" t="s">
        <v>171</v>
      </c>
      <c r="H196" s="73">
        <v>44926</v>
      </c>
      <c r="I196" s="50"/>
      <c r="K196" s="56"/>
      <c r="L196" s="57"/>
      <c r="M196" s="56"/>
      <c r="N196" s="88"/>
      <c r="O196" s="56">
        <v>6.09</v>
      </c>
      <c r="P196" s="57"/>
    </row>
    <row r="197" spans="1:16">
      <c r="A197" s="124"/>
      <c r="B197" s="126"/>
      <c r="C197" s="122"/>
      <c r="D197" s="51" t="s">
        <v>160</v>
      </c>
      <c r="E197" t="s">
        <v>161</v>
      </c>
      <c r="G197" t="s">
        <v>171</v>
      </c>
      <c r="H197" s="73">
        <v>44926</v>
      </c>
      <c r="I197" s="50"/>
      <c r="K197" s="56"/>
      <c r="L197" s="57"/>
      <c r="M197" s="56"/>
      <c r="N197" s="88">
        <v>4.82</v>
      </c>
      <c r="O197" s="56">
        <v>4.49</v>
      </c>
      <c r="P197" s="57"/>
    </row>
    <row r="198" spans="1:16">
      <c r="A198" s="124"/>
      <c r="B198" s="126"/>
      <c r="C198" s="122"/>
      <c r="D198" s="51" t="s">
        <v>163</v>
      </c>
      <c r="E198">
        <v>3</v>
      </c>
      <c r="F198" t="s">
        <v>167</v>
      </c>
      <c r="G198" t="s">
        <v>171</v>
      </c>
      <c r="H198" s="73">
        <v>44926</v>
      </c>
      <c r="I198" s="50"/>
      <c r="K198" s="56"/>
      <c r="L198" s="57"/>
      <c r="M198" s="56"/>
      <c r="N198" s="88">
        <v>70.78</v>
      </c>
      <c r="O198" s="56">
        <v>61.27</v>
      </c>
      <c r="P198" s="57"/>
    </row>
    <row r="199" spans="1:16">
      <c r="A199" s="124"/>
      <c r="B199" s="126"/>
      <c r="C199" s="122"/>
      <c r="D199" s="51" t="s">
        <v>163</v>
      </c>
      <c r="E199">
        <v>3</v>
      </c>
      <c r="F199" t="s">
        <v>161</v>
      </c>
      <c r="G199" t="s">
        <v>171</v>
      </c>
      <c r="H199" s="73">
        <v>44926</v>
      </c>
      <c r="I199" s="50" t="s">
        <v>213</v>
      </c>
      <c r="K199" s="56"/>
      <c r="L199" s="57"/>
      <c r="M199" s="56"/>
      <c r="N199" s="88"/>
      <c r="O199" s="56"/>
      <c r="P199" s="57"/>
    </row>
    <row r="200" spans="1:16">
      <c r="A200" s="124"/>
      <c r="B200" s="126"/>
      <c r="C200" s="122"/>
      <c r="D200" s="51" t="s">
        <v>163</v>
      </c>
      <c r="E200">
        <v>11</v>
      </c>
      <c r="G200" t="s">
        <v>171</v>
      </c>
      <c r="H200" s="73">
        <v>44926</v>
      </c>
      <c r="I200" s="50"/>
      <c r="K200" s="56"/>
      <c r="L200" s="57"/>
      <c r="M200" s="56"/>
      <c r="N200" s="88">
        <v>44.3</v>
      </c>
      <c r="O200" s="56">
        <v>41.78</v>
      </c>
      <c r="P200" s="57"/>
    </row>
    <row r="201" spans="1:16">
      <c r="A201" s="124"/>
      <c r="B201" s="126"/>
      <c r="C201" s="122"/>
      <c r="D201" s="51" t="s">
        <v>163</v>
      </c>
      <c r="E201">
        <v>1</v>
      </c>
      <c r="G201" t="s">
        <v>171</v>
      </c>
      <c r="H201" s="73">
        <v>44926</v>
      </c>
      <c r="I201" s="50"/>
      <c r="K201" s="56"/>
      <c r="L201" s="57"/>
      <c r="M201" s="56"/>
      <c r="N201" s="88">
        <v>3.29</v>
      </c>
      <c r="O201" s="56">
        <v>3.33</v>
      </c>
      <c r="P201" s="57"/>
    </row>
    <row r="202" spans="1:16">
      <c r="A202" s="124"/>
      <c r="B202" s="126"/>
      <c r="C202" s="122"/>
      <c r="D202" s="51" t="s">
        <v>163</v>
      </c>
      <c r="E202">
        <v>13</v>
      </c>
      <c r="G202" t="s">
        <v>171</v>
      </c>
      <c r="H202" s="73">
        <v>44926</v>
      </c>
      <c r="I202" s="50"/>
      <c r="K202" s="56"/>
      <c r="L202" s="57"/>
      <c r="M202" s="56"/>
      <c r="N202" s="88">
        <v>1.7</v>
      </c>
      <c r="O202" s="56">
        <v>1.5</v>
      </c>
      <c r="P202" s="57"/>
    </row>
    <row r="203" spans="1:16">
      <c r="A203" s="124"/>
      <c r="B203" s="126"/>
      <c r="C203" s="122"/>
      <c r="D203" s="51" t="s">
        <v>163</v>
      </c>
      <c r="E203">
        <v>7</v>
      </c>
      <c r="G203" t="s">
        <v>171</v>
      </c>
      <c r="H203" s="73">
        <v>44926</v>
      </c>
      <c r="I203" s="50"/>
      <c r="K203" s="56"/>
      <c r="L203" s="57"/>
      <c r="M203" s="56"/>
      <c r="N203" s="88">
        <v>0.05</v>
      </c>
      <c r="O203" s="56">
        <v>0.05</v>
      </c>
      <c r="P203" s="57"/>
    </row>
    <row r="204" spans="1:16">
      <c r="A204" s="124"/>
      <c r="B204" s="126"/>
      <c r="C204" s="122"/>
      <c r="D204" s="51" t="s">
        <v>163</v>
      </c>
      <c r="E204">
        <v>8</v>
      </c>
      <c r="G204" t="s">
        <v>171</v>
      </c>
      <c r="H204" s="73">
        <v>44926</v>
      </c>
      <c r="I204" s="50"/>
      <c r="K204" s="56"/>
      <c r="L204" s="57"/>
      <c r="M204" s="56"/>
      <c r="N204" s="88">
        <v>0.06</v>
      </c>
      <c r="O204" s="56">
        <v>0.03</v>
      </c>
      <c r="P204" s="57"/>
    </row>
    <row r="205" spans="1:16">
      <c r="A205" s="124"/>
      <c r="B205" s="126"/>
      <c r="C205" s="122"/>
      <c r="D205" s="51" t="s">
        <v>163</v>
      </c>
      <c r="E205">
        <v>6</v>
      </c>
      <c r="G205" t="s">
        <v>171</v>
      </c>
      <c r="H205" s="73">
        <v>44926</v>
      </c>
      <c r="I205" s="50"/>
      <c r="K205" s="56"/>
      <c r="L205" s="57"/>
      <c r="M205" s="56"/>
      <c r="N205" s="88">
        <v>0.01</v>
      </c>
      <c r="O205" s="56">
        <v>0</v>
      </c>
      <c r="P205" s="57"/>
    </row>
    <row r="206" spans="1:16">
      <c r="A206" s="124"/>
      <c r="B206" s="126"/>
      <c r="C206" s="122"/>
      <c r="D206" s="51" t="s">
        <v>165</v>
      </c>
      <c r="E206" t="s">
        <v>183</v>
      </c>
      <c r="G206" t="s">
        <v>53</v>
      </c>
      <c r="H206" s="73">
        <v>44926</v>
      </c>
      <c r="I206" s="50"/>
      <c r="K206" s="56"/>
      <c r="L206" s="57"/>
      <c r="M206" s="56"/>
      <c r="N206" s="88">
        <v>214.1</v>
      </c>
      <c r="O206" s="56">
        <v>369</v>
      </c>
      <c r="P206" s="57"/>
    </row>
    <row r="207" spans="1:16">
      <c r="A207" s="124"/>
      <c r="B207" s="126"/>
      <c r="C207" s="122"/>
      <c r="D207" s="51" t="s">
        <v>165</v>
      </c>
      <c r="E207" t="s">
        <v>184</v>
      </c>
      <c r="G207" t="s">
        <v>53</v>
      </c>
      <c r="H207" s="73">
        <v>44926</v>
      </c>
      <c r="I207" s="50"/>
      <c r="K207" s="56"/>
      <c r="L207" s="57"/>
      <c r="M207" s="56"/>
      <c r="N207" s="88">
        <v>257.3</v>
      </c>
      <c r="O207" s="56">
        <v>381.6</v>
      </c>
      <c r="P207" s="57"/>
    </row>
    <row r="208" spans="1:16">
      <c r="A208" s="124"/>
      <c r="B208" s="121"/>
      <c r="C208" s="122"/>
      <c r="D208" s="51" t="s">
        <v>166</v>
      </c>
      <c r="E208" s="78"/>
      <c r="F208" s="79"/>
      <c r="G208" s="79"/>
      <c r="H208" s="85">
        <v>44926</v>
      </c>
      <c r="I208" s="80"/>
      <c r="K208" s="56"/>
      <c r="L208" s="57"/>
      <c r="M208" s="56"/>
      <c r="N208" s="88"/>
      <c r="O208" s="56" t="s">
        <v>279</v>
      </c>
      <c r="P208" s="57"/>
    </row>
    <row r="209" spans="1:17">
      <c r="A209" s="123" t="s">
        <v>262</v>
      </c>
      <c r="B209" s="125" t="s">
        <v>267</v>
      </c>
      <c r="C209" s="121" t="s">
        <v>268</v>
      </c>
      <c r="D209" s="72" t="s">
        <v>159</v>
      </c>
      <c r="E209" s="64"/>
      <c r="G209" t="s">
        <v>169</v>
      </c>
      <c r="H209" s="73">
        <v>44926</v>
      </c>
      <c r="I209" s="50"/>
      <c r="K209" s="56"/>
      <c r="L209" s="57"/>
      <c r="M209" s="56"/>
      <c r="N209" s="88">
        <v>14363</v>
      </c>
      <c r="O209" s="56">
        <v>9304</v>
      </c>
      <c r="P209" s="57">
        <v>9819</v>
      </c>
      <c r="Q209" s="56">
        <v>9405</v>
      </c>
    </row>
    <row r="210" spans="1:17">
      <c r="A210" s="124"/>
      <c r="B210" s="126"/>
      <c r="C210" s="122"/>
      <c r="D210" s="51" t="s">
        <v>160</v>
      </c>
      <c r="E210" t="s">
        <v>167</v>
      </c>
      <c r="G210" t="s">
        <v>169</v>
      </c>
      <c r="H210" s="73">
        <v>44926</v>
      </c>
      <c r="I210" s="50"/>
      <c r="K210" s="56"/>
      <c r="L210" s="57"/>
      <c r="M210" s="56"/>
      <c r="N210" s="88">
        <v>829</v>
      </c>
      <c r="O210" s="56">
        <v>574</v>
      </c>
      <c r="P210" s="57">
        <v>773</v>
      </c>
      <c r="Q210" s="56">
        <v>443</v>
      </c>
    </row>
    <row r="211" spans="1:17">
      <c r="A211" s="124"/>
      <c r="B211" s="126"/>
      <c r="C211" s="122"/>
      <c r="D211" s="51" t="s">
        <v>160</v>
      </c>
      <c r="E211" t="s">
        <v>161</v>
      </c>
      <c r="G211" t="s">
        <v>169</v>
      </c>
      <c r="H211" s="73">
        <v>44926</v>
      </c>
      <c r="I211" s="50"/>
      <c r="K211" s="56"/>
      <c r="L211" s="57"/>
      <c r="M211" s="56"/>
      <c r="N211" s="88">
        <v>846</v>
      </c>
      <c r="O211" s="56">
        <v>594</v>
      </c>
      <c r="P211" s="57">
        <v>791</v>
      </c>
      <c r="Q211" s="56">
        <v>469</v>
      </c>
    </row>
    <row r="212" spans="1:17">
      <c r="A212" s="124"/>
      <c r="B212" s="126"/>
      <c r="C212" s="122"/>
      <c r="D212" s="51" t="s">
        <v>162</v>
      </c>
      <c r="G212" t="s">
        <v>169</v>
      </c>
      <c r="H212" s="73">
        <v>44926</v>
      </c>
      <c r="I212" s="50"/>
      <c r="K212" s="56"/>
      <c r="L212" s="57"/>
      <c r="M212" s="56"/>
      <c r="N212" s="88">
        <f>N209+N211</f>
        <v>15209</v>
      </c>
      <c r="O212" s="56">
        <f>O209+O211</f>
        <v>9898</v>
      </c>
      <c r="P212" s="57">
        <f>P209+P211</f>
        <v>10610</v>
      </c>
      <c r="Q212" s="56">
        <f>Q209+Q211</f>
        <v>9874</v>
      </c>
    </row>
    <row r="213" spans="1:17">
      <c r="A213" s="124"/>
      <c r="B213" s="126"/>
      <c r="C213" s="122"/>
      <c r="D213" s="51" t="s">
        <v>163</v>
      </c>
      <c r="E213">
        <v>3</v>
      </c>
      <c r="G213" t="s">
        <v>169</v>
      </c>
      <c r="H213" s="73">
        <v>44926</v>
      </c>
      <c r="I213" s="50" t="s">
        <v>213</v>
      </c>
      <c r="K213" s="56"/>
      <c r="L213" s="57"/>
      <c r="M213" s="56"/>
      <c r="N213" s="88">
        <v>6784</v>
      </c>
      <c r="O213" s="56">
        <v>4131</v>
      </c>
      <c r="P213" s="57">
        <v>5185</v>
      </c>
      <c r="Q213" s="56">
        <v>4159</v>
      </c>
    </row>
    <row r="214" spans="1:17">
      <c r="A214" s="124"/>
      <c r="B214" s="126"/>
      <c r="C214" s="122"/>
      <c r="D214" s="51" t="s">
        <v>163</v>
      </c>
      <c r="E214">
        <v>11</v>
      </c>
      <c r="G214" t="s">
        <v>169</v>
      </c>
      <c r="H214" s="73">
        <v>44926</v>
      </c>
      <c r="I214" s="50" t="s">
        <v>213</v>
      </c>
      <c r="K214" s="56"/>
      <c r="L214" s="57"/>
      <c r="M214" s="56"/>
      <c r="N214" s="88">
        <v>3951</v>
      </c>
      <c r="O214" s="56">
        <v>2405</v>
      </c>
      <c r="P214" s="57">
        <v>1688</v>
      </c>
      <c r="Q214" s="56">
        <v>1437</v>
      </c>
    </row>
    <row r="215" spans="1:17">
      <c r="A215" s="124"/>
      <c r="B215" s="126"/>
      <c r="C215" s="122"/>
      <c r="D215" s="51" t="s">
        <v>163</v>
      </c>
      <c r="E215">
        <v>1</v>
      </c>
      <c r="G215" t="s">
        <v>169</v>
      </c>
      <c r="H215" s="73">
        <v>44926</v>
      </c>
      <c r="I215" s="50" t="s">
        <v>213</v>
      </c>
      <c r="K215" s="56"/>
      <c r="L215" s="57"/>
      <c r="M215" s="56"/>
      <c r="N215" s="88">
        <v>28</v>
      </c>
      <c r="O215" s="56">
        <v>1116</v>
      </c>
      <c r="P215" s="57">
        <v>721</v>
      </c>
      <c r="Q215" s="56">
        <v>713</v>
      </c>
    </row>
    <row r="216" spans="1:17">
      <c r="A216" s="124"/>
      <c r="B216" s="126"/>
      <c r="C216" s="122"/>
      <c r="D216" s="51" t="s">
        <v>163</v>
      </c>
      <c r="E216">
        <v>2</v>
      </c>
      <c r="G216" t="s">
        <v>169</v>
      </c>
      <c r="H216" s="73">
        <v>44926</v>
      </c>
      <c r="I216" s="50" t="s">
        <v>213</v>
      </c>
      <c r="K216" s="56"/>
      <c r="L216" s="57"/>
      <c r="M216" s="56"/>
      <c r="N216" s="88">
        <v>349</v>
      </c>
      <c r="O216" s="56">
        <v>1878</v>
      </c>
      <c r="P216" s="57">
        <v>2610</v>
      </c>
      <c r="Q216" s="56">
        <v>2935</v>
      </c>
    </row>
    <row r="217" spans="1:17">
      <c r="A217" s="124"/>
      <c r="B217" s="126"/>
      <c r="C217" s="122"/>
      <c r="D217" s="51" t="s">
        <v>163</v>
      </c>
      <c r="E217">
        <v>4</v>
      </c>
      <c r="G217" t="s">
        <v>169</v>
      </c>
      <c r="H217" s="73">
        <v>44926</v>
      </c>
      <c r="I217" s="50" t="s">
        <v>213</v>
      </c>
      <c r="K217" s="56"/>
      <c r="L217" s="57"/>
      <c r="M217" s="56"/>
      <c r="N217" s="88">
        <v>611</v>
      </c>
      <c r="O217" s="56">
        <v>39</v>
      </c>
      <c r="P217" s="57">
        <v>66</v>
      </c>
      <c r="Q217" s="56">
        <v>6</v>
      </c>
    </row>
    <row r="218" spans="1:17">
      <c r="A218" s="124"/>
      <c r="B218" s="126"/>
      <c r="C218" s="122"/>
      <c r="D218" s="51" t="s">
        <v>163</v>
      </c>
      <c r="E218">
        <v>5</v>
      </c>
      <c r="G218" t="s">
        <v>169</v>
      </c>
      <c r="H218" s="73">
        <v>44926</v>
      </c>
      <c r="I218" s="50" t="s">
        <v>213</v>
      </c>
      <c r="K218" s="56"/>
      <c r="L218" s="57"/>
      <c r="M218" s="56"/>
      <c r="N218" s="88"/>
      <c r="O218" s="56">
        <v>11</v>
      </c>
      <c r="P218" s="57">
        <v>18</v>
      </c>
      <c r="Q218" s="56">
        <v>10</v>
      </c>
    </row>
    <row r="219" spans="1:17">
      <c r="A219" s="124"/>
      <c r="B219" s="126"/>
      <c r="C219" s="122"/>
      <c r="D219" s="51" t="s">
        <v>163</v>
      </c>
      <c r="E219">
        <v>6</v>
      </c>
      <c r="G219" t="s">
        <v>169</v>
      </c>
      <c r="H219" s="73">
        <v>44926</v>
      </c>
      <c r="I219" s="50" t="s">
        <v>213</v>
      </c>
      <c r="K219" s="56"/>
      <c r="L219" s="57"/>
      <c r="M219" s="56"/>
      <c r="N219" s="88">
        <v>7</v>
      </c>
      <c r="O219" s="56">
        <v>3</v>
      </c>
      <c r="P219" s="57">
        <v>3</v>
      </c>
      <c r="Q219" s="56">
        <v>9</v>
      </c>
    </row>
    <row r="220" spans="1:17">
      <c r="A220" s="124"/>
      <c r="B220" s="126"/>
      <c r="C220" s="122"/>
      <c r="D220" s="51" t="s">
        <v>163</v>
      </c>
      <c r="E220">
        <v>7</v>
      </c>
      <c r="G220" t="s">
        <v>169</v>
      </c>
      <c r="H220" s="73">
        <v>44926</v>
      </c>
      <c r="I220" s="50" t="s">
        <v>213</v>
      </c>
      <c r="K220" s="56"/>
      <c r="L220" s="57"/>
      <c r="M220" s="56"/>
      <c r="N220" s="88"/>
      <c r="O220" s="56">
        <v>11</v>
      </c>
      <c r="P220" s="57">
        <v>12</v>
      </c>
      <c r="Q220" s="56">
        <v>11</v>
      </c>
    </row>
    <row r="221" spans="1:17">
      <c r="A221" s="124"/>
      <c r="B221" s="126"/>
      <c r="C221" s="122"/>
      <c r="D221" s="51" t="s">
        <v>163</v>
      </c>
      <c r="E221" t="s">
        <v>173</v>
      </c>
      <c r="G221" t="s">
        <v>169</v>
      </c>
      <c r="H221" s="73">
        <v>44926</v>
      </c>
      <c r="I221" s="50"/>
      <c r="K221" s="56"/>
      <c r="L221" s="57"/>
      <c r="M221" s="56"/>
      <c r="N221" s="88">
        <f>SUM(N213:N220)</f>
        <v>11730</v>
      </c>
      <c r="O221" s="56">
        <f>SUM(O213:O220)</f>
        <v>9594</v>
      </c>
      <c r="P221" s="57">
        <f>SUM(P213:P220)</f>
        <v>10303</v>
      </c>
      <c r="Q221" s="56">
        <f>SUM(Q213:Q220)</f>
        <v>9280</v>
      </c>
    </row>
    <row r="222" spans="1:17">
      <c r="A222" s="124"/>
      <c r="B222" s="126"/>
      <c r="C222" s="122"/>
      <c r="D222" s="51" t="s">
        <v>192</v>
      </c>
      <c r="G222" t="s">
        <v>172</v>
      </c>
      <c r="H222" s="73">
        <v>44926</v>
      </c>
      <c r="I222" s="50"/>
      <c r="K222" s="56"/>
      <c r="L222" s="57"/>
      <c r="M222" s="56"/>
      <c r="N222" s="88">
        <v>230</v>
      </c>
      <c r="O222" s="56">
        <v>157</v>
      </c>
      <c r="P222" s="57">
        <v>176</v>
      </c>
      <c r="Q222" s="56">
        <v>160</v>
      </c>
    </row>
    <row r="223" spans="1:17">
      <c r="A223" s="124"/>
      <c r="B223" s="121"/>
      <c r="C223" s="122"/>
      <c r="D223" s="51" t="s">
        <v>166</v>
      </c>
      <c r="E223" s="78"/>
      <c r="F223" s="79"/>
      <c r="G223" s="79"/>
      <c r="H223" s="85">
        <v>44926</v>
      </c>
      <c r="I223" s="80"/>
      <c r="K223" s="56"/>
      <c r="L223" s="57"/>
      <c r="M223" s="56"/>
      <c r="N223" s="88"/>
      <c r="O223" s="56"/>
      <c r="P223" s="57"/>
      <c r="Q223" s="56" t="s">
        <v>282</v>
      </c>
    </row>
  </sheetData>
  <mergeCells count="63">
    <mergeCell ref="A209:A223"/>
    <mergeCell ref="B209:B223"/>
    <mergeCell ref="C209:C223"/>
    <mergeCell ref="A138:A153"/>
    <mergeCell ref="B138:B153"/>
    <mergeCell ref="C138:C153"/>
    <mergeCell ref="A181:A194"/>
    <mergeCell ref="B181:B194"/>
    <mergeCell ref="C181:C194"/>
    <mergeCell ref="A195:A208"/>
    <mergeCell ref="B195:B208"/>
    <mergeCell ref="C195:C208"/>
    <mergeCell ref="A167:A180"/>
    <mergeCell ref="B167:B180"/>
    <mergeCell ref="C167:C180"/>
    <mergeCell ref="A132:A137"/>
    <mergeCell ref="B132:B137"/>
    <mergeCell ref="C132:C137"/>
    <mergeCell ref="A154:A160"/>
    <mergeCell ref="B154:B160"/>
    <mergeCell ref="C154:C160"/>
    <mergeCell ref="A161:A166"/>
    <mergeCell ref="B161:B166"/>
    <mergeCell ref="C161:C166"/>
    <mergeCell ref="A117:A125"/>
    <mergeCell ref="B117:B125"/>
    <mergeCell ref="C117:C125"/>
    <mergeCell ref="A126:A131"/>
    <mergeCell ref="B126:B131"/>
    <mergeCell ref="C126:C131"/>
    <mergeCell ref="A72:A80"/>
    <mergeCell ref="B72:B80"/>
    <mergeCell ref="C72:C80"/>
    <mergeCell ref="C36:C40"/>
    <mergeCell ref="B99:B108"/>
    <mergeCell ref="A99:A108"/>
    <mergeCell ref="A41:A61"/>
    <mergeCell ref="A36:A40"/>
    <mergeCell ref="B36:B40"/>
    <mergeCell ref="B41:B61"/>
    <mergeCell ref="C41:C61"/>
    <mergeCell ref="C90:C98"/>
    <mergeCell ref="C99:C108"/>
    <mergeCell ref="A90:A98"/>
    <mergeCell ref="B90:B98"/>
    <mergeCell ref="A109:A116"/>
    <mergeCell ref="B109:B116"/>
    <mergeCell ref="C109:C116"/>
    <mergeCell ref="A81:A89"/>
    <mergeCell ref="B81:B89"/>
    <mergeCell ref="C81:C89"/>
    <mergeCell ref="A2:A9"/>
    <mergeCell ref="B2:B9"/>
    <mergeCell ref="C2:C9"/>
    <mergeCell ref="A62:A71"/>
    <mergeCell ref="B62:B71"/>
    <mergeCell ref="C62:C71"/>
    <mergeCell ref="B23:B35"/>
    <mergeCell ref="C23:C35"/>
    <mergeCell ref="B10:B22"/>
    <mergeCell ref="A10:A22"/>
    <mergeCell ref="C10:C22"/>
    <mergeCell ref="A23:A35"/>
  </mergeCells>
  <hyperlinks>
    <hyperlink ref="P125" r:id="rId1" xr:uid="{1BC995B8-9980-3542-9778-C2898DE192E1}"/>
    <hyperlink ref="O130" r:id="rId2" xr:uid="{9D0118CB-C913-944C-9F41-081B6FDCF9F7}"/>
    <hyperlink ref="N136" r:id="rId3" xr:uid="{136CF18E-86E3-3C43-9661-EBB66247E25A}"/>
    <hyperlink ref="P160" r:id="rId4" xr:uid="{77AEDC0B-771C-274A-9D70-2B061178D4FF}"/>
    <hyperlink ref="O166" r:id="rId5" xr:uid="{63BD6AA5-990E-4E4C-8136-EFE6C107C69E}"/>
    <hyperlink ref="P60" r:id="rId6" xr:uid="{18AA66CF-3909-B844-8827-0D5B9E96F35F}"/>
    <hyperlink ref="P61" r:id="rId7" xr:uid="{BDD90644-2C04-5647-99D8-C6532F6E0E02}"/>
    <hyperlink ref="N80" r:id="rId8" xr:uid="{8B4503B5-9967-064D-9DA5-56B9FBD81423}"/>
    <hyperlink ref="O89" r:id="rId9" xr:uid="{BE7252FC-70D0-B443-9ED3-BF62B056A13E}"/>
    <hyperlink ref="Q108" r:id="rId10" xr:uid="{5CBF8FA7-100B-0A44-A3FA-881E9B2D55CD}"/>
    <hyperlink ref="P22" r:id="rId11" xr:uid="{70088B83-8952-E94B-979F-E0F21FFA0DBC}"/>
    <hyperlink ref="N35" r:id="rId12" xr:uid="{3AA81F80-1B09-9C4D-AEC3-66BAA02D3C35}"/>
    <hyperlink ref="P98" r:id="rId13" xr:uid="{014A7AEB-CCB5-1841-9E97-CA650C2BBD46}"/>
    <hyperlink ref="Q153" r:id="rId14" xr:uid="{35DABA4F-8770-8540-9CB4-6A022B683710}"/>
  </hyperlinks>
  <pageMargins left="0.75" right="0.75" top="1" bottom="1" header="0.5" footer="0.5"/>
  <pageSetup orientation="portrait" horizontalDpi="0" verticalDpi="0"/>
  <legacyDrawing r:id="rId1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1E8747-7BCA-8443-A5E7-891CB2A6A97F}">
  <dimension ref="A1:O6"/>
  <sheetViews>
    <sheetView zoomScale="150" zoomScaleNormal="150" workbookViewId="0">
      <pane xSplit="1" ySplit="1" topLeftCell="B2" activePane="bottomRight" state="frozen"/>
      <selection pane="topRight" activeCell="B1" sqref="B1"/>
      <selection pane="bottomLeft" activeCell="A54" sqref="A54"/>
      <selection pane="bottomRight" activeCell="A3" sqref="A3"/>
    </sheetView>
  </sheetViews>
  <sheetFormatPr baseColWidth="10" defaultColWidth="8.6640625" defaultRowHeight="15"/>
  <cols>
    <col min="1" max="1" width="37.5" customWidth="1"/>
    <col min="2" max="2" width="25.5" style="1" customWidth="1"/>
    <col min="3" max="3" width="28.33203125" customWidth="1"/>
    <col min="4" max="4" width="7.6640625" customWidth="1"/>
    <col min="5" max="5" width="11.33203125" style="41" customWidth="1"/>
    <col min="6" max="6" width="10.33203125" style="41" customWidth="1"/>
    <col min="7" max="7" width="12" customWidth="1"/>
    <col min="8" max="8" width="14.6640625" customWidth="1"/>
    <col min="9" max="9" width="14.5" style="42" customWidth="1"/>
    <col min="10" max="10" width="18.5" customWidth="1"/>
    <col min="11" max="11" width="18.83203125" customWidth="1"/>
    <col min="12" max="12" width="10.33203125" customWidth="1"/>
    <col min="13" max="13" width="21.5" customWidth="1"/>
  </cols>
  <sheetData>
    <row r="1" spans="1:15">
      <c r="A1" s="2" t="s">
        <v>0</v>
      </c>
      <c r="B1" s="2" t="s">
        <v>1</v>
      </c>
      <c r="C1" s="2" t="s">
        <v>2</v>
      </c>
      <c r="D1" s="2" t="s">
        <v>3</v>
      </c>
      <c r="E1" s="4" t="s">
        <v>66</v>
      </c>
      <c r="F1" s="5" t="s">
        <v>67</v>
      </c>
      <c r="G1" s="5" t="s">
        <v>68</v>
      </c>
      <c r="H1" s="6" t="s">
        <v>69</v>
      </c>
      <c r="I1" s="5" t="s">
        <v>70</v>
      </c>
      <c r="J1" s="5" t="s">
        <v>71</v>
      </c>
      <c r="K1" s="5" t="s">
        <v>72</v>
      </c>
      <c r="L1" s="7" t="s">
        <v>73</v>
      </c>
      <c r="M1" s="7" t="s">
        <v>74</v>
      </c>
      <c r="N1" s="62" t="s">
        <v>166</v>
      </c>
      <c r="O1" s="62" t="s">
        <v>185</v>
      </c>
    </row>
    <row r="2" spans="1:15">
      <c r="A2" t="s">
        <v>263</v>
      </c>
      <c r="B2" t="s">
        <v>270</v>
      </c>
      <c r="C2" t="s">
        <v>271</v>
      </c>
      <c r="D2" t="s">
        <v>205</v>
      </c>
      <c r="E2" s="41">
        <v>2050</v>
      </c>
      <c r="F2" s="41" t="s">
        <v>77</v>
      </c>
      <c r="G2" s="96" t="s">
        <v>76</v>
      </c>
      <c r="H2" s="28">
        <v>2016</v>
      </c>
      <c r="I2" s="42">
        <v>2000</v>
      </c>
      <c r="J2">
        <v>4472111.25</v>
      </c>
      <c r="K2" t="s">
        <v>170</v>
      </c>
      <c r="L2">
        <v>2022</v>
      </c>
      <c r="M2" s="44">
        <v>0.3</v>
      </c>
    </row>
    <row r="3" spans="1:15">
      <c r="A3" t="s">
        <v>263</v>
      </c>
      <c r="B3" t="s">
        <v>270</v>
      </c>
      <c r="C3" t="s">
        <v>271</v>
      </c>
      <c r="D3" t="s">
        <v>205</v>
      </c>
      <c r="E3" s="41">
        <v>2050</v>
      </c>
      <c r="F3" s="41" t="s">
        <v>75</v>
      </c>
      <c r="G3" s="96" t="s">
        <v>80</v>
      </c>
      <c r="H3" s="28">
        <v>2016</v>
      </c>
      <c r="I3" s="42">
        <v>2016</v>
      </c>
      <c r="J3">
        <v>117</v>
      </c>
      <c r="K3" t="s">
        <v>287</v>
      </c>
      <c r="L3">
        <v>2030</v>
      </c>
      <c r="M3" s="44">
        <v>0.55000000000000004</v>
      </c>
    </row>
    <row r="4" spans="1:15">
      <c r="A4" t="s">
        <v>272</v>
      </c>
      <c r="B4" t="s">
        <v>273</v>
      </c>
      <c r="C4" t="s">
        <v>274</v>
      </c>
      <c r="D4" t="s">
        <v>200</v>
      </c>
      <c r="E4" s="41">
        <v>2050</v>
      </c>
      <c r="F4" s="41" t="s">
        <v>75</v>
      </c>
      <c r="G4" t="s">
        <v>78</v>
      </c>
      <c r="H4" s="28">
        <v>2019</v>
      </c>
      <c r="I4" s="42">
        <v>2010</v>
      </c>
      <c r="J4">
        <v>38</v>
      </c>
      <c r="K4" t="s">
        <v>298</v>
      </c>
      <c r="L4">
        <v>2022</v>
      </c>
      <c r="M4" s="44">
        <v>0.25</v>
      </c>
      <c r="N4" s="63" t="s">
        <v>300</v>
      </c>
      <c r="O4">
        <v>51</v>
      </c>
    </row>
    <row r="5" spans="1:15">
      <c r="A5" t="s">
        <v>272</v>
      </c>
      <c r="B5" t="s">
        <v>273</v>
      </c>
      <c r="C5" t="s">
        <v>274</v>
      </c>
      <c r="D5" t="s">
        <v>200</v>
      </c>
      <c r="E5" s="41">
        <v>2050</v>
      </c>
      <c r="F5" s="41" t="s">
        <v>75</v>
      </c>
      <c r="G5" t="s">
        <v>76</v>
      </c>
      <c r="H5" s="28">
        <v>2019</v>
      </c>
      <c r="I5" s="42">
        <v>2010</v>
      </c>
      <c r="J5">
        <v>0.4</v>
      </c>
      <c r="K5" t="s">
        <v>298</v>
      </c>
      <c r="L5">
        <v>2030</v>
      </c>
      <c r="M5" s="44">
        <v>0.5</v>
      </c>
      <c r="N5" s="63" t="s">
        <v>300</v>
      </c>
      <c r="O5">
        <v>52</v>
      </c>
    </row>
    <row r="6" spans="1:15">
      <c r="A6" t="s">
        <v>272</v>
      </c>
      <c r="B6" t="s">
        <v>273</v>
      </c>
      <c r="C6" t="s">
        <v>274</v>
      </c>
      <c r="D6" t="s">
        <v>200</v>
      </c>
      <c r="E6" s="41">
        <v>2050</v>
      </c>
      <c r="F6" s="41" t="s">
        <v>75</v>
      </c>
      <c r="G6" t="s">
        <v>80</v>
      </c>
      <c r="H6" s="28">
        <v>2019</v>
      </c>
      <c r="I6" s="42">
        <v>2010</v>
      </c>
      <c r="J6">
        <v>37</v>
      </c>
      <c r="K6" t="s">
        <v>298</v>
      </c>
      <c r="L6">
        <v>2030</v>
      </c>
      <c r="M6" s="44">
        <v>0.35</v>
      </c>
      <c r="N6" s="63" t="s">
        <v>300</v>
      </c>
      <c r="O6">
        <v>48</v>
      </c>
    </row>
  </sheetData>
  <hyperlinks>
    <hyperlink ref="N4" r:id="rId1" xr:uid="{80242BDD-547D-D54C-8E51-3C84D0C92826}"/>
    <hyperlink ref="N5" r:id="rId2" xr:uid="{56A4A129-7D3C-AA4A-B99B-684A3DA7E6C4}"/>
    <hyperlink ref="N6" r:id="rId3" xr:uid="{369A573F-2528-254F-AD75-59F711C08588}"/>
  </hyperlinks>
  <pageMargins left="0.7" right="0.7" top="0.75" bottom="0.75" header="0.3" footer="0.511811023622047"/>
  <pageSetup orientation="portrait" horizontalDpi="300" verticalDpi="300"/>
  <headerFooter>
    <oddHeader>&amp;C&amp;1 Confidential#</oddHead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O29"/>
  <sheetViews>
    <sheetView tabSelected="1" zoomScale="150" zoomScaleNormal="150" workbookViewId="0">
      <pane xSplit="1" ySplit="1" topLeftCell="E20" activePane="bottomRight" state="frozen"/>
      <selection pane="topRight" activeCell="B1" sqref="B1"/>
      <selection pane="bottomLeft" activeCell="A54" sqref="A54"/>
      <selection pane="bottomRight" activeCell="O25" sqref="O25"/>
    </sheetView>
  </sheetViews>
  <sheetFormatPr baseColWidth="10" defaultColWidth="8.6640625" defaultRowHeight="15"/>
  <cols>
    <col min="1" max="1" width="37.5" customWidth="1"/>
    <col min="2" max="2" width="25.5" style="1" customWidth="1"/>
    <col min="3" max="3" width="28.33203125" customWidth="1"/>
    <col min="4" max="4" width="7.6640625" customWidth="1"/>
    <col min="5" max="5" width="11.33203125" style="41" customWidth="1"/>
    <col min="6" max="6" width="10.33203125" style="41" customWidth="1"/>
    <col min="7" max="7" width="12" customWidth="1"/>
    <col min="8" max="8" width="14.6640625" customWidth="1"/>
    <col min="9" max="9" width="14.5" style="42" customWidth="1"/>
    <col min="10" max="10" width="18.5" customWidth="1"/>
    <col min="11" max="11" width="18.83203125" customWidth="1"/>
    <col min="12" max="12" width="10.33203125" customWidth="1"/>
    <col min="13" max="13" width="21.5" customWidth="1"/>
  </cols>
  <sheetData>
    <row r="1" spans="1:15">
      <c r="A1" s="2" t="s">
        <v>0</v>
      </c>
      <c r="B1" s="2" t="s">
        <v>1</v>
      </c>
      <c r="C1" s="2" t="s">
        <v>2</v>
      </c>
      <c r="D1" s="2" t="s">
        <v>3</v>
      </c>
      <c r="E1" s="4" t="s">
        <v>66</v>
      </c>
      <c r="F1" s="5" t="s">
        <v>67</v>
      </c>
      <c r="G1" s="5" t="s">
        <v>68</v>
      </c>
      <c r="H1" s="6" t="s">
        <v>69</v>
      </c>
      <c r="I1" s="5" t="s">
        <v>70</v>
      </c>
      <c r="J1" s="5" t="s">
        <v>71</v>
      </c>
      <c r="K1" s="5" t="s">
        <v>72</v>
      </c>
      <c r="L1" s="7" t="s">
        <v>73</v>
      </c>
      <c r="M1" s="7" t="s">
        <v>74</v>
      </c>
      <c r="N1" s="62" t="s">
        <v>166</v>
      </c>
      <c r="O1" s="62" t="s">
        <v>185</v>
      </c>
    </row>
    <row r="2" spans="1:15">
      <c r="A2" t="s">
        <v>58</v>
      </c>
      <c r="B2" s="1" t="s">
        <v>59</v>
      </c>
      <c r="C2" t="s">
        <v>255</v>
      </c>
      <c r="D2" t="s">
        <v>61</v>
      </c>
      <c r="E2" s="41">
        <v>2040</v>
      </c>
      <c r="F2" s="41" t="s">
        <v>75</v>
      </c>
      <c r="G2" t="s">
        <v>79</v>
      </c>
      <c r="H2">
        <v>2021</v>
      </c>
      <c r="I2" s="42">
        <v>2017</v>
      </c>
      <c r="J2">
        <v>414</v>
      </c>
      <c r="K2" s="28" t="s">
        <v>172</v>
      </c>
      <c r="L2">
        <v>2024</v>
      </c>
      <c r="M2" s="44">
        <f>1-(140/414)</f>
        <v>0.66183574879227058</v>
      </c>
      <c r="N2" t="s">
        <v>256</v>
      </c>
      <c r="O2">
        <v>23</v>
      </c>
    </row>
    <row r="3" spans="1:15">
      <c r="A3" t="s">
        <v>58</v>
      </c>
      <c r="B3" s="1" t="s">
        <v>59</v>
      </c>
      <c r="C3" t="s">
        <v>255</v>
      </c>
      <c r="D3" t="s">
        <v>61</v>
      </c>
      <c r="E3" s="41">
        <v>2040</v>
      </c>
      <c r="F3" s="41" t="s">
        <v>75</v>
      </c>
      <c r="G3" t="s">
        <v>79</v>
      </c>
      <c r="H3">
        <v>2021</v>
      </c>
      <c r="I3" s="42">
        <v>2017</v>
      </c>
      <c r="J3">
        <v>414</v>
      </c>
      <c r="K3" s="28" t="s">
        <v>172</v>
      </c>
      <c r="L3">
        <v>2030</v>
      </c>
      <c r="M3" s="44">
        <f>1-(82/414)</f>
        <v>0.80193236714975846</v>
      </c>
      <c r="N3" t="s">
        <v>182</v>
      </c>
      <c r="O3">
        <v>23</v>
      </c>
    </row>
    <row r="4" spans="1:15">
      <c r="A4" t="s">
        <v>58</v>
      </c>
      <c r="B4" s="1" t="s">
        <v>59</v>
      </c>
      <c r="C4" t="s">
        <v>255</v>
      </c>
      <c r="D4" t="s">
        <v>61</v>
      </c>
      <c r="E4" s="41">
        <v>2040</v>
      </c>
      <c r="F4" s="41" t="s">
        <v>75</v>
      </c>
      <c r="G4" t="s">
        <v>78</v>
      </c>
      <c r="H4">
        <v>2021</v>
      </c>
      <c r="I4" s="42">
        <v>2017</v>
      </c>
      <c r="J4">
        <v>332</v>
      </c>
      <c r="K4" s="28" t="s">
        <v>172</v>
      </c>
      <c r="L4">
        <v>2025</v>
      </c>
      <c r="M4" s="44">
        <f>1-(135/332)</f>
        <v>0.59337349397590367</v>
      </c>
      <c r="N4" t="s">
        <v>182</v>
      </c>
      <c r="O4">
        <v>25</v>
      </c>
    </row>
    <row r="5" spans="1:15">
      <c r="A5" t="s">
        <v>58</v>
      </c>
      <c r="B5" s="1" t="s">
        <v>59</v>
      </c>
      <c r="C5" t="s">
        <v>255</v>
      </c>
      <c r="D5" t="s">
        <v>61</v>
      </c>
      <c r="E5" s="41">
        <v>2040</v>
      </c>
      <c r="F5" s="41" t="s">
        <v>75</v>
      </c>
      <c r="G5" t="s">
        <v>78</v>
      </c>
      <c r="H5">
        <v>2021</v>
      </c>
      <c r="I5" s="42">
        <v>2017</v>
      </c>
      <c r="J5">
        <v>332</v>
      </c>
      <c r="K5" s="28" t="s">
        <v>172</v>
      </c>
      <c r="L5">
        <v>2030</v>
      </c>
      <c r="M5" s="44">
        <f>1-(73/332)</f>
        <v>0.78012048192771088</v>
      </c>
      <c r="N5" t="s">
        <v>182</v>
      </c>
      <c r="O5">
        <v>25</v>
      </c>
    </row>
    <row r="6" spans="1:15">
      <c r="A6" t="s">
        <v>58</v>
      </c>
      <c r="B6" s="1" t="s">
        <v>59</v>
      </c>
      <c r="C6" t="s">
        <v>257</v>
      </c>
      <c r="D6" t="s">
        <v>61</v>
      </c>
      <c r="E6" s="41">
        <v>2040</v>
      </c>
      <c r="F6" s="41" t="s">
        <v>77</v>
      </c>
      <c r="G6" t="s">
        <v>80</v>
      </c>
      <c r="H6">
        <v>2021</v>
      </c>
      <c r="I6" s="42">
        <v>2017</v>
      </c>
      <c r="J6">
        <v>25.3</v>
      </c>
      <c r="K6" s="28" t="s">
        <v>171</v>
      </c>
      <c r="L6">
        <v>2025</v>
      </c>
      <c r="M6" s="44">
        <f>1-(20.9/25.3)</f>
        <v>0.17391304347826098</v>
      </c>
      <c r="N6" t="s">
        <v>182</v>
      </c>
      <c r="O6">
        <v>27</v>
      </c>
    </row>
    <row r="7" spans="1:15">
      <c r="A7" t="s">
        <v>58</v>
      </c>
      <c r="B7" s="1" t="s">
        <v>59</v>
      </c>
      <c r="C7" t="s">
        <v>257</v>
      </c>
      <c r="D7" t="s">
        <v>61</v>
      </c>
      <c r="E7" s="41">
        <v>2040</v>
      </c>
      <c r="F7" s="41" t="s">
        <v>77</v>
      </c>
      <c r="G7" t="s">
        <v>80</v>
      </c>
      <c r="H7">
        <v>2021</v>
      </c>
      <c r="I7" s="42">
        <v>2017</v>
      </c>
      <c r="J7">
        <v>25.3</v>
      </c>
      <c r="K7" s="28" t="s">
        <v>171</v>
      </c>
      <c r="L7">
        <v>2030</v>
      </c>
      <c r="M7" s="44">
        <f>1-(11.4/25.3)</f>
        <v>0.54940711462450587</v>
      </c>
      <c r="N7" t="s">
        <v>182</v>
      </c>
      <c r="O7">
        <v>27</v>
      </c>
    </row>
    <row r="8" spans="1:15">
      <c r="A8" t="s">
        <v>63</v>
      </c>
      <c r="B8" s="1" t="s">
        <v>64</v>
      </c>
      <c r="C8" t="s">
        <v>235</v>
      </c>
      <c r="D8" t="s">
        <v>56</v>
      </c>
      <c r="E8" s="41">
        <v>2050</v>
      </c>
      <c r="F8" t="s">
        <v>77</v>
      </c>
      <c r="G8" t="s">
        <v>76</v>
      </c>
      <c r="H8">
        <v>2020</v>
      </c>
      <c r="I8">
        <v>1990</v>
      </c>
      <c r="J8">
        <f>7000000/(1-0.68)</f>
        <v>21875000.000000004</v>
      </c>
      <c r="K8" t="s">
        <v>170</v>
      </c>
      <c r="L8">
        <v>2030</v>
      </c>
      <c r="M8" s="44">
        <v>0.8</v>
      </c>
    </row>
    <row r="9" spans="1:15">
      <c r="A9" t="s">
        <v>63</v>
      </c>
      <c r="B9" s="1" t="s">
        <v>64</v>
      </c>
      <c r="C9" t="s">
        <v>235</v>
      </c>
      <c r="D9" t="s">
        <v>56</v>
      </c>
      <c r="E9" s="41">
        <v>2050</v>
      </c>
      <c r="F9" t="s">
        <v>77</v>
      </c>
      <c r="G9" t="s">
        <v>76</v>
      </c>
      <c r="H9">
        <v>2020</v>
      </c>
      <c r="I9">
        <v>1990</v>
      </c>
      <c r="J9">
        <f>7000000/(1-0.68)</f>
        <v>21875000.000000004</v>
      </c>
      <c r="K9" t="s">
        <v>170</v>
      </c>
      <c r="L9">
        <v>2040</v>
      </c>
      <c r="M9" s="44">
        <v>0.9</v>
      </c>
    </row>
    <row r="10" spans="1:15" s="36" customFormat="1">
      <c r="A10" s="36" t="s">
        <v>63</v>
      </c>
      <c r="B10" s="37" t="s">
        <v>64</v>
      </c>
      <c r="C10" s="36" t="s">
        <v>235</v>
      </c>
      <c r="D10" s="36" t="s">
        <v>56</v>
      </c>
      <c r="E10" s="38">
        <v>2050</v>
      </c>
      <c r="F10" s="36" t="s">
        <v>77</v>
      </c>
      <c r="G10" s="36" t="s">
        <v>80</v>
      </c>
      <c r="H10" s="36">
        <v>2020</v>
      </c>
      <c r="I10" s="36">
        <v>1990</v>
      </c>
      <c r="J10" s="36">
        <v>4126</v>
      </c>
      <c r="K10" s="36" t="s">
        <v>169</v>
      </c>
      <c r="L10" s="36">
        <v>2050</v>
      </c>
      <c r="M10" s="39">
        <v>1</v>
      </c>
    </row>
    <row r="11" spans="1:15" s="36" customFormat="1">
      <c r="A11" s="36" t="s">
        <v>63</v>
      </c>
      <c r="B11" s="37" t="s">
        <v>64</v>
      </c>
      <c r="C11" s="36" t="s">
        <v>236</v>
      </c>
      <c r="D11" s="36" t="s">
        <v>56</v>
      </c>
      <c r="E11" s="38">
        <v>2050</v>
      </c>
      <c r="F11" s="36" t="s">
        <v>77</v>
      </c>
      <c r="G11" s="36" t="s">
        <v>78</v>
      </c>
      <c r="H11" s="36">
        <v>2020</v>
      </c>
      <c r="I11" s="36">
        <v>2020</v>
      </c>
      <c r="J11" s="36">
        <v>18235</v>
      </c>
      <c r="K11" s="36" t="s">
        <v>169</v>
      </c>
      <c r="L11" s="36">
        <v>2030</v>
      </c>
      <c r="M11" s="39">
        <v>0.8</v>
      </c>
    </row>
    <row r="12" spans="1:15" s="36" customFormat="1">
      <c r="A12" s="36" t="s">
        <v>63</v>
      </c>
      <c r="B12" s="37" t="s">
        <v>64</v>
      </c>
      <c r="C12" s="36" t="s">
        <v>236</v>
      </c>
      <c r="D12" s="36" t="s">
        <v>56</v>
      </c>
      <c r="E12" s="38">
        <v>2050</v>
      </c>
      <c r="F12" s="36" t="s">
        <v>77</v>
      </c>
      <c r="G12" s="36" t="s">
        <v>78</v>
      </c>
      <c r="H12" s="36">
        <v>2020</v>
      </c>
      <c r="I12" s="36">
        <v>2020</v>
      </c>
      <c r="J12" s="36">
        <v>18235</v>
      </c>
      <c r="K12" s="36" t="s">
        <v>169</v>
      </c>
      <c r="L12" s="36">
        <v>2040</v>
      </c>
      <c r="M12" s="39">
        <v>0.9</v>
      </c>
    </row>
    <row r="13" spans="1:15">
      <c r="A13" t="s">
        <v>250</v>
      </c>
      <c r="B13" s="1" t="s">
        <v>239</v>
      </c>
      <c r="C13" t="s">
        <v>247</v>
      </c>
      <c r="D13" t="s">
        <v>241</v>
      </c>
      <c r="E13" s="28">
        <v>2040</v>
      </c>
      <c r="F13" s="41" t="s">
        <v>75</v>
      </c>
      <c r="G13" t="s">
        <v>76</v>
      </c>
      <c r="H13" s="28">
        <v>2019</v>
      </c>
      <c r="I13">
        <v>2019</v>
      </c>
      <c r="J13">
        <v>65</v>
      </c>
      <c r="K13" t="s">
        <v>172</v>
      </c>
      <c r="L13">
        <v>2025</v>
      </c>
      <c r="M13" s="44">
        <f>(65-10)/65</f>
        <v>0.84615384615384615</v>
      </c>
      <c r="N13" s="63" t="s">
        <v>246</v>
      </c>
      <c r="O13">
        <v>5</v>
      </c>
    </row>
    <row r="14" spans="1:15">
      <c r="A14" t="s">
        <v>251</v>
      </c>
      <c r="B14" s="1" t="s">
        <v>239</v>
      </c>
      <c r="C14" t="s">
        <v>248</v>
      </c>
      <c r="D14" t="s">
        <v>241</v>
      </c>
      <c r="E14" s="28">
        <v>2040</v>
      </c>
      <c r="F14" s="41" t="s">
        <v>75</v>
      </c>
      <c r="G14" t="s">
        <v>78</v>
      </c>
      <c r="H14" s="28">
        <v>2019</v>
      </c>
      <c r="I14">
        <v>2019</v>
      </c>
      <c r="J14">
        <v>214</v>
      </c>
      <c r="K14" t="s">
        <v>172</v>
      </c>
      <c r="L14">
        <v>2040</v>
      </c>
      <c r="M14" s="44">
        <f>(214-2.9)/214</f>
        <v>0.98644859813084107</v>
      </c>
      <c r="N14" s="63" t="s">
        <v>246</v>
      </c>
      <c r="O14">
        <v>5</v>
      </c>
    </row>
    <row r="15" spans="1:15">
      <c r="A15" t="s">
        <v>251</v>
      </c>
      <c r="B15" s="1" t="s">
        <v>239</v>
      </c>
      <c r="C15" t="s">
        <v>248</v>
      </c>
      <c r="D15" t="s">
        <v>241</v>
      </c>
      <c r="E15" s="28">
        <v>2040</v>
      </c>
      <c r="F15" s="41" t="s">
        <v>77</v>
      </c>
      <c r="G15" t="s">
        <v>80</v>
      </c>
      <c r="H15" s="28">
        <v>2019</v>
      </c>
      <c r="I15">
        <v>2019</v>
      </c>
      <c r="J15">
        <v>34.6</v>
      </c>
      <c r="K15" t="s">
        <v>171</v>
      </c>
      <c r="L15">
        <v>2032</v>
      </c>
      <c r="M15" s="44">
        <v>0.5</v>
      </c>
      <c r="N15" s="63" t="s">
        <v>246</v>
      </c>
      <c r="O15">
        <v>5</v>
      </c>
    </row>
    <row r="16" spans="1:15">
      <c r="A16" t="s">
        <v>251</v>
      </c>
      <c r="B16" s="1" t="s">
        <v>239</v>
      </c>
      <c r="C16" t="s">
        <v>248</v>
      </c>
      <c r="D16" t="s">
        <v>241</v>
      </c>
      <c r="E16" s="28">
        <v>2040</v>
      </c>
      <c r="F16" s="41" t="s">
        <v>77</v>
      </c>
      <c r="G16" t="s">
        <v>80</v>
      </c>
      <c r="H16" s="28">
        <v>2019</v>
      </c>
      <c r="I16">
        <v>2019</v>
      </c>
      <c r="J16">
        <v>30.4</v>
      </c>
      <c r="K16" t="s">
        <v>171</v>
      </c>
      <c r="L16">
        <v>2040</v>
      </c>
      <c r="M16" s="44">
        <v>0.9</v>
      </c>
      <c r="N16" s="63" t="s">
        <v>246</v>
      </c>
      <c r="O16">
        <v>5</v>
      </c>
    </row>
    <row r="17" spans="1:15">
      <c r="A17" t="s">
        <v>207</v>
      </c>
      <c r="B17" s="1" t="s">
        <v>209</v>
      </c>
      <c r="C17" t="s">
        <v>208</v>
      </c>
      <c r="D17" t="s">
        <v>202</v>
      </c>
      <c r="E17" s="41">
        <v>2050</v>
      </c>
      <c r="F17" s="28" t="s">
        <v>75</v>
      </c>
      <c r="G17" t="s">
        <v>79</v>
      </c>
      <c r="H17">
        <v>2021</v>
      </c>
      <c r="I17" s="42">
        <v>2018</v>
      </c>
      <c r="J17" s="43">
        <v>576</v>
      </c>
      <c r="K17" s="28" t="s">
        <v>227</v>
      </c>
      <c r="L17">
        <v>2050</v>
      </c>
      <c r="M17" s="44">
        <v>0.95</v>
      </c>
    </row>
    <row r="18" spans="1:15">
      <c r="A18" t="s">
        <v>207</v>
      </c>
      <c r="B18" s="1" t="s">
        <v>209</v>
      </c>
      <c r="C18" t="s">
        <v>208</v>
      </c>
      <c r="D18" t="s">
        <v>202</v>
      </c>
      <c r="E18" s="41">
        <v>2050</v>
      </c>
      <c r="F18" s="28" t="s">
        <v>75</v>
      </c>
      <c r="G18" t="s">
        <v>79</v>
      </c>
      <c r="H18">
        <v>2021</v>
      </c>
      <c r="I18" s="42">
        <v>2018</v>
      </c>
      <c r="J18" s="43">
        <v>576</v>
      </c>
      <c r="K18" s="28" t="s">
        <v>227</v>
      </c>
      <c r="L18">
        <v>2030</v>
      </c>
      <c r="M18" s="44">
        <v>0.82</v>
      </c>
    </row>
    <row r="19" spans="1:15">
      <c r="A19" t="s">
        <v>207</v>
      </c>
      <c r="B19" s="1" t="s">
        <v>209</v>
      </c>
      <c r="C19" t="s">
        <v>208</v>
      </c>
      <c r="D19" t="s">
        <v>202</v>
      </c>
      <c r="E19" s="41">
        <v>2050</v>
      </c>
      <c r="F19" s="28" t="s">
        <v>75</v>
      </c>
      <c r="G19" t="s">
        <v>81</v>
      </c>
      <c r="H19">
        <v>2021</v>
      </c>
      <c r="I19" s="42">
        <v>2018</v>
      </c>
      <c r="J19" s="41">
        <v>38</v>
      </c>
      <c r="K19" s="28" t="s">
        <v>227</v>
      </c>
      <c r="L19">
        <v>2050</v>
      </c>
      <c r="M19" s="44">
        <v>0.9</v>
      </c>
    </row>
    <row r="20" spans="1:15">
      <c r="A20" t="s">
        <v>207</v>
      </c>
      <c r="B20" s="1" t="s">
        <v>209</v>
      </c>
      <c r="C20" t="s">
        <v>208</v>
      </c>
      <c r="D20" t="s">
        <v>202</v>
      </c>
      <c r="E20" s="41">
        <v>2050</v>
      </c>
      <c r="F20" s="28" t="s">
        <v>75</v>
      </c>
      <c r="G20" t="s">
        <v>81</v>
      </c>
      <c r="H20">
        <v>2021</v>
      </c>
      <c r="I20" s="42">
        <v>2018</v>
      </c>
      <c r="J20" s="43">
        <v>38</v>
      </c>
      <c r="K20" s="28" t="s">
        <v>227</v>
      </c>
      <c r="L20">
        <v>2030</v>
      </c>
      <c r="M20" s="44">
        <v>0.34</v>
      </c>
    </row>
    <row r="21" spans="1:15">
      <c r="A21" t="s">
        <v>207</v>
      </c>
      <c r="B21" s="1" t="s">
        <v>209</v>
      </c>
      <c r="C21" t="s">
        <v>208</v>
      </c>
      <c r="D21" t="s">
        <v>202</v>
      </c>
      <c r="E21" s="41">
        <v>2050</v>
      </c>
      <c r="F21" s="28" t="s">
        <v>75</v>
      </c>
      <c r="G21" t="s">
        <v>80</v>
      </c>
      <c r="H21">
        <v>2021</v>
      </c>
      <c r="I21" s="42">
        <v>2020</v>
      </c>
      <c r="J21" s="36">
        <v>705.3</v>
      </c>
      <c r="K21" s="28" t="s">
        <v>227</v>
      </c>
      <c r="L21">
        <v>2050</v>
      </c>
      <c r="M21" s="44">
        <v>0.9</v>
      </c>
    </row>
    <row r="22" spans="1:15">
      <c r="A22" t="s">
        <v>210</v>
      </c>
      <c r="B22" s="1" t="s">
        <v>211</v>
      </c>
      <c r="C22" t="s">
        <v>212</v>
      </c>
      <c r="D22" t="s">
        <v>204</v>
      </c>
      <c r="E22" s="41">
        <v>2050</v>
      </c>
      <c r="F22" s="28" t="s">
        <v>75</v>
      </c>
      <c r="G22" t="s">
        <v>79</v>
      </c>
      <c r="H22">
        <v>2020</v>
      </c>
      <c r="I22" s="42">
        <v>2020</v>
      </c>
      <c r="J22" s="146">
        <f>'Future ITR V2 esg data'!O145/'Future ITR V2 esg data'!O149</f>
        <v>7.2950819672131156E-2</v>
      </c>
      <c r="K22" s="28" t="s">
        <v>227</v>
      </c>
      <c r="L22">
        <v>2030</v>
      </c>
      <c r="M22" s="44">
        <v>0.24</v>
      </c>
      <c r="N22" s="63" t="s">
        <v>308</v>
      </c>
      <c r="O22">
        <v>34</v>
      </c>
    </row>
    <row r="23" spans="1:15">
      <c r="A23" t="s">
        <v>210</v>
      </c>
      <c r="B23" s="1" t="s">
        <v>211</v>
      </c>
      <c r="C23" t="s">
        <v>212</v>
      </c>
      <c r="D23" t="s">
        <v>204</v>
      </c>
      <c r="E23" s="41">
        <v>2050</v>
      </c>
      <c r="F23" s="28" t="s">
        <v>75</v>
      </c>
      <c r="G23" t="s">
        <v>81</v>
      </c>
      <c r="H23">
        <v>2020</v>
      </c>
      <c r="I23" s="42">
        <v>2020</v>
      </c>
      <c r="J23" s="41">
        <v>44</v>
      </c>
      <c r="K23" s="28" t="s">
        <v>227</v>
      </c>
      <c r="L23">
        <v>2030</v>
      </c>
      <c r="M23" s="44">
        <v>0.65</v>
      </c>
      <c r="N23" t="s">
        <v>308</v>
      </c>
      <c r="O23">
        <v>34</v>
      </c>
    </row>
    <row r="24" spans="1:15">
      <c r="A24" t="s">
        <v>210</v>
      </c>
      <c r="B24" s="1" t="s">
        <v>211</v>
      </c>
      <c r="C24" t="s">
        <v>212</v>
      </c>
      <c r="D24" t="s">
        <v>204</v>
      </c>
      <c r="E24" s="41">
        <v>2050</v>
      </c>
      <c r="F24" s="28" t="s">
        <v>75</v>
      </c>
      <c r="G24" t="s">
        <v>80</v>
      </c>
      <c r="H24">
        <v>2020</v>
      </c>
      <c r="I24" s="144">
        <v>2020</v>
      </c>
      <c r="J24" s="145">
        <f>'Future ITR V2 esg data'!O148/'Future ITR V2 esg data'!O149*1000</f>
        <v>174.59016393442622</v>
      </c>
      <c r="K24" s="28" t="s">
        <v>227</v>
      </c>
      <c r="L24">
        <v>2030</v>
      </c>
      <c r="M24" s="44">
        <v>0.25</v>
      </c>
      <c r="N24" t="s">
        <v>308</v>
      </c>
      <c r="O24">
        <v>34</v>
      </c>
    </row>
    <row r="25" spans="1:15">
      <c r="A25" t="s">
        <v>261</v>
      </c>
      <c r="B25" s="1" t="s">
        <v>265</v>
      </c>
      <c r="C25" t="s">
        <v>280</v>
      </c>
      <c r="D25" t="s">
        <v>204</v>
      </c>
      <c r="E25" s="41">
        <v>2040</v>
      </c>
      <c r="F25" s="41" t="s">
        <v>77</v>
      </c>
      <c r="G25" t="s">
        <v>76</v>
      </c>
      <c r="H25" s="28">
        <v>2019</v>
      </c>
      <c r="I25">
        <v>2019</v>
      </c>
      <c r="J25">
        <f>3.98</f>
        <v>3.98</v>
      </c>
      <c r="K25" t="s">
        <v>171</v>
      </c>
      <c r="L25">
        <v>2030</v>
      </c>
      <c r="M25" s="44">
        <v>0.75</v>
      </c>
    </row>
    <row r="26" spans="1:15">
      <c r="A26" t="s">
        <v>261</v>
      </c>
      <c r="B26" s="1" t="s">
        <v>265</v>
      </c>
      <c r="C26" t="s">
        <v>280</v>
      </c>
      <c r="D26" t="s">
        <v>204</v>
      </c>
      <c r="E26" s="41">
        <v>2050</v>
      </c>
      <c r="F26" s="41" t="s">
        <v>77</v>
      </c>
      <c r="G26" t="s">
        <v>80</v>
      </c>
      <c r="H26" s="28">
        <v>2019</v>
      </c>
      <c r="I26">
        <v>2019</v>
      </c>
      <c r="J26">
        <f>70.78</f>
        <v>70.78</v>
      </c>
      <c r="K26" t="s">
        <v>171</v>
      </c>
      <c r="L26">
        <v>2030</v>
      </c>
      <c r="M26" s="44">
        <v>0.5</v>
      </c>
    </row>
    <row r="27" spans="1:15">
      <c r="A27" t="s">
        <v>261</v>
      </c>
      <c r="B27" s="1" t="s">
        <v>265</v>
      </c>
      <c r="C27" t="s">
        <v>281</v>
      </c>
      <c r="D27" t="s">
        <v>204</v>
      </c>
      <c r="E27" s="41">
        <v>2040</v>
      </c>
      <c r="F27" s="41" t="s">
        <v>77</v>
      </c>
      <c r="G27" t="s">
        <v>76</v>
      </c>
      <c r="H27" s="28">
        <v>2019</v>
      </c>
      <c r="I27">
        <v>2019</v>
      </c>
      <c r="J27">
        <f>4.82</f>
        <v>4.82</v>
      </c>
      <c r="K27" t="s">
        <v>171</v>
      </c>
      <c r="L27">
        <v>2030</v>
      </c>
      <c r="M27" s="44">
        <v>0.75</v>
      </c>
    </row>
    <row r="28" spans="1:15">
      <c r="A28" t="s">
        <v>261</v>
      </c>
      <c r="B28" s="1" t="s">
        <v>265</v>
      </c>
      <c r="C28" t="s">
        <v>281</v>
      </c>
      <c r="D28" t="s">
        <v>204</v>
      </c>
      <c r="E28" s="41">
        <v>2050</v>
      </c>
      <c r="F28" s="41" t="s">
        <v>77</v>
      </c>
      <c r="G28" t="s">
        <v>80</v>
      </c>
      <c r="H28" s="28">
        <v>2019</v>
      </c>
      <c r="I28">
        <v>2019</v>
      </c>
      <c r="J28">
        <f>44.3</f>
        <v>44.3</v>
      </c>
      <c r="K28" t="s">
        <v>171</v>
      </c>
      <c r="L28">
        <v>2030</v>
      </c>
      <c r="M28" s="44">
        <v>0.5</v>
      </c>
    </row>
    <row r="29" spans="1:15">
      <c r="A29" t="s">
        <v>262</v>
      </c>
      <c r="B29" s="1" t="s">
        <v>267</v>
      </c>
      <c r="C29" t="s">
        <v>268</v>
      </c>
      <c r="D29" t="s">
        <v>269</v>
      </c>
      <c r="E29" s="41">
        <v>2050</v>
      </c>
      <c r="F29" s="41" t="s">
        <v>77</v>
      </c>
      <c r="G29" t="s">
        <v>78</v>
      </c>
      <c r="H29" s="28">
        <v>2020</v>
      </c>
      <c r="I29">
        <v>2020</v>
      </c>
      <c r="J29">
        <f>9898+9594</f>
        <v>19492</v>
      </c>
      <c r="K29" t="s">
        <v>169</v>
      </c>
      <c r="L29">
        <v>2040</v>
      </c>
      <c r="M29" s="44">
        <v>0.9</v>
      </c>
      <c r="N29" s="63" t="s">
        <v>283</v>
      </c>
      <c r="O29">
        <v>2</v>
      </c>
    </row>
  </sheetData>
  <hyperlinks>
    <hyperlink ref="N13" r:id="rId1" xr:uid="{6C1C81C9-DD7D-FA43-86AB-3766E46F4456}"/>
    <hyperlink ref="N14" r:id="rId2" xr:uid="{B1AE7E87-0637-EC47-A0A0-58D79AF6A3B9}"/>
    <hyperlink ref="N15" r:id="rId3" xr:uid="{8318B9ED-71B4-DD4C-BA77-EC862216D7ED}"/>
    <hyperlink ref="N16" r:id="rId4" xr:uid="{C14F6516-DC05-8146-B7A1-03F891440791}"/>
    <hyperlink ref="N29" r:id="rId5" xr:uid="{79692A87-08E0-A244-AB62-83274DC5AF01}"/>
    <hyperlink ref="N22" r:id="rId6" xr:uid="{AE378B53-86C7-F947-97B4-F23ACAA7CFAB}"/>
  </hyperlinks>
  <pageMargins left="0.7" right="0.7" top="0.75" bottom="0.75" header="0.3" footer="0.511811023622047"/>
  <pageSetup orientation="portrait" horizontalDpi="300" verticalDpi="300"/>
  <headerFooter>
    <oddHeader>&amp;C&amp;1 Confidential#</oddHeader>
  </headerFooter>
  <legacyDrawing r:id="rId7"/>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60"/>
  <sheetViews>
    <sheetView topLeftCell="A48" zoomScale="150" zoomScaleNormal="150" workbookViewId="0">
      <selection activeCell="D56" sqref="D56"/>
    </sheetView>
  </sheetViews>
  <sheetFormatPr baseColWidth="10" defaultColWidth="8.6640625" defaultRowHeight="15"/>
  <cols>
    <col min="1" max="1" width="17.5" style="24" customWidth="1"/>
    <col min="2" max="2" width="22.6640625" style="16" customWidth="1"/>
    <col min="3" max="3" width="21.6640625" style="16" customWidth="1"/>
    <col min="4" max="4" width="44" customWidth="1"/>
    <col min="5" max="5" width="25.1640625" customWidth="1"/>
    <col min="6" max="6" width="26.6640625" customWidth="1"/>
    <col min="8" max="8" width="87.6640625" customWidth="1"/>
  </cols>
  <sheetData>
    <row r="1" spans="1:6" ht="16" customHeight="1">
      <c r="A1" s="8" t="s">
        <v>82</v>
      </c>
      <c r="B1" s="9" t="s">
        <v>83</v>
      </c>
      <c r="C1" s="9" t="s">
        <v>84</v>
      </c>
      <c r="D1" s="10" t="s">
        <v>85</v>
      </c>
      <c r="E1" s="11" t="s">
        <v>86</v>
      </c>
      <c r="F1" s="12" t="s">
        <v>87</v>
      </c>
    </row>
    <row r="2" spans="1:6" ht="16" customHeight="1">
      <c r="A2" s="13" t="s">
        <v>88</v>
      </c>
      <c r="B2" s="14" t="s">
        <v>0</v>
      </c>
      <c r="C2" s="15" t="s">
        <v>89</v>
      </c>
      <c r="D2" s="16" t="s">
        <v>90</v>
      </c>
      <c r="E2" t="s">
        <v>91</v>
      </c>
      <c r="F2" t="s">
        <v>92</v>
      </c>
    </row>
    <row r="3" spans="1:6" ht="16" customHeight="1">
      <c r="A3" s="13" t="s">
        <v>88</v>
      </c>
      <c r="B3" s="17" t="s">
        <v>1</v>
      </c>
      <c r="C3" s="15" t="s">
        <v>89</v>
      </c>
      <c r="D3" s="18" t="s">
        <v>93</v>
      </c>
      <c r="E3" s="19" t="s">
        <v>91</v>
      </c>
      <c r="F3" s="19" t="s">
        <v>94</v>
      </c>
    </row>
    <row r="4" spans="1:6" ht="32" customHeight="1">
      <c r="A4" s="13" t="s">
        <v>88</v>
      </c>
      <c r="B4" s="14" t="s">
        <v>2</v>
      </c>
      <c r="C4" s="15" t="s">
        <v>89</v>
      </c>
      <c r="D4" s="16" t="s">
        <v>95</v>
      </c>
      <c r="E4" t="s">
        <v>91</v>
      </c>
      <c r="F4" t="s">
        <v>92</v>
      </c>
    </row>
    <row r="5" spans="1:6" ht="32" customHeight="1">
      <c r="A5" s="13" t="s">
        <v>88</v>
      </c>
      <c r="B5" s="14" t="s">
        <v>3</v>
      </c>
      <c r="C5" s="15" t="s">
        <v>89</v>
      </c>
      <c r="D5" s="16" t="s">
        <v>96</v>
      </c>
      <c r="E5" t="s">
        <v>91</v>
      </c>
      <c r="F5" t="s">
        <v>92</v>
      </c>
    </row>
    <row r="6" spans="1:6" ht="48" customHeight="1">
      <c r="A6" s="13" t="s">
        <v>88</v>
      </c>
      <c r="B6" s="17" t="s">
        <v>4</v>
      </c>
      <c r="C6" s="15" t="s">
        <v>89</v>
      </c>
      <c r="D6" s="18" t="s">
        <v>97</v>
      </c>
      <c r="E6" s="19" t="s">
        <v>91</v>
      </c>
      <c r="F6" s="19" t="s">
        <v>94</v>
      </c>
    </row>
    <row r="7" spans="1:6" ht="32" customHeight="1">
      <c r="A7" s="13" t="s">
        <v>88</v>
      </c>
      <c r="B7" s="14" t="s">
        <v>5</v>
      </c>
      <c r="C7" s="15" t="s">
        <v>89</v>
      </c>
      <c r="D7" s="40" t="s">
        <v>98</v>
      </c>
      <c r="E7" s="20" t="s">
        <v>99</v>
      </c>
      <c r="F7" t="s">
        <v>92</v>
      </c>
    </row>
    <row r="8" spans="1:6" ht="16" customHeight="1">
      <c r="A8" s="13" t="s">
        <v>88</v>
      </c>
      <c r="B8" s="14" t="s">
        <v>6</v>
      </c>
      <c r="C8" s="15" t="s">
        <v>89</v>
      </c>
      <c r="D8" s="40" t="s">
        <v>100</v>
      </c>
      <c r="E8" t="s">
        <v>101</v>
      </c>
      <c r="F8" t="s">
        <v>92</v>
      </c>
    </row>
    <row r="9" spans="1:6" ht="32" customHeight="1">
      <c r="A9" s="13" t="s">
        <v>88</v>
      </c>
      <c r="B9" s="14" t="s">
        <v>7</v>
      </c>
      <c r="C9" s="15" t="s">
        <v>89</v>
      </c>
      <c r="D9" s="16" t="s">
        <v>102</v>
      </c>
      <c r="E9" t="s">
        <v>91</v>
      </c>
      <c r="F9" t="s">
        <v>92</v>
      </c>
    </row>
    <row r="10" spans="1:6" ht="16" customHeight="1">
      <c r="A10" s="13" t="s">
        <v>88</v>
      </c>
      <c r="B10" s="21" t="s">
        <v>8</v>
      </c>
      <c r="C10" s="15" t="s">
        <v>89</v>
      </c>
      <c r="D10" s="16" t="s">
        <v>103</v>
      </c>
      <c r="E10" t="s">
        <v>104</v>
      </c>
      <c r="F10" t="s">
        <v>92</v>
      </c>
    </row>
    <row r="11" spans="1:6" ht="16" customHeight="1">
      <c r="A11" s="13" t="s">
        <v>88</v>
      </c>
      <c r="B11" s="14" t="s">
        <v>9</v>
      </c>
      <c r="C11" s="15" t="s">
        <v>89</v>
      </c>
      <c r="D11" s="40" t="s">
        <v>105</v>
      </c>
      <c r="E11" t="s">
        <v>106</v>
      </c>
      <c r="F11" t="s">
        <v>92</v>
      </c>
    </row>
    <row r="12" spans="1:6" ht="16" customHeight="1">
      <c r="A12" s="13" t="s">
        <v>88</v>
      </c>
      <c r="B12" s="14" t="s">
        <v>10</v>
      </c>
      <c r="C12" s="15" t="s">
        <v>89</v>
      </c>
      <c r="D12" s="40" t="s">
        <v>107</v>
      </c>
      <c r="E12" t="s">
        <v>106</v>
      </c>
      <c r="F12" t="s">
        <v>92</v>
      </c>
    </row>
    <row r="13" spans="1:6" ht="16" customHeight="1">
      <c r="A13" s="13" t="s">
        <v>88</v>
      </c>
      <c r="B13" s="14" t="s">
        <v>11</v>
      </c>
      <c r="C13" s="15" t="s">
        <v>89</v>
      </c>
      <c r="D13" s="40" t="s">
        <v>108</v>
      </c>
      <c r="E13" t="s">
        <v>106</v>
      </c>
      <c r="F13" t="s">
        <v>92</v>
      </c>
    </row>
    <row r="14" spans="1:6" ht="16" customHeight="1">
      <c r="A14" s="13" t="s">
        <v>88</v>
      </c>
      <c r="B14" s="14" t="s">
        <v>12</v>
      </c>
      <c r="C14" s="15" t="s">
        <v>89</v>
      </c>
      <c r="D14" s="40" t="s">
        <v>109</v>
      </c>
      <c r="E14" t="s">
        <v>106</v>
      </c>
      <c r="F14" t="s">
        <v>92</v>
      </c>
    </row>
    <row r="15" spans="1:6" ht="32" customHeight="1">
      <c r="A15" s="13" t="s">
        <v>88</v>
      </c>
      <c r="B15" s="14" t="s">
        <v>13</v>
      </c>
      <c r="C15" s="15" t="s">
        <v>89</v>
      </c>
      <c r="D15" s="40" t="s">
        <v>110</v>
      </c>
      <c r="E15" t="s">
        <v>106</v>
      </c>
      <c r="F15" t="s">
        <v>92</v>
      </c>
    </row>
    <row r="16" spans="1:6" s="24" customFormat="1" ht="72.75" customHeight="1">
      <c r="A16" s="22" t="s">
        <v>111</v>
      </c>
      <c r="B16" s="14" t="s">
        <v>112</v>
      </c>
      <c r="C16" s="15" t="s">
        <v>89</v>
      </c>
      <c r="D16" s="16" t="s">
        <v>113</v>
      </c>
      <c r="E16" s="23" t="s">
        <v>114</v>
      </c>
      <c r="F16" s="24" t="s">
        <v>92</v>
      </c>
    </row>
    <row r="17" spans="1:6" s="24" customFormat="1" ht="72.75" customHeight="1">
      <c r="A17" s="22" t="s">
        <v>115</v>
      </c>
      <c r="B17" s="14" t="s">
        <v>14</v>
      </c>
      <c r="C17" s="15" t="s">
        <v>89</v>
      </c>
      <c r="D17" s="16" t="s">
        <v>116</v>
      </c>
      <c r="E17" s="23" t="s">
        <v>117</v>
      </c>
      <c r="F17" s="24" t="s">
        <v>92</v>
      </c>
    </row>
    <row r="18" spans="1:6" ht="32" customHeight="1">
      <c r="A18" s="25" t="s">
        <v>118</v>
      </c>
      <c r="B18" s="26" t="s">
        <v>15</v>
      </c>
      <c r="C18" s="15" t="s">
        <v>89</v>
      </c>
      <c r="D18" s="40" t="s">
        <v>119</v>
      </c>
      <c r="E18" t="s">
        <v>120</v>
      </c>
      <c r="F18" t="s">
        <v>92</v>
      </c>
    </row>
    <row r="19" spans="1:6" ht="32" customHeight="1">
      <c r="A19" s="25" t="s">
        <v>118</v>
      </c>
      <c r="B19" s="26" t="s">
        <v>16</v>
      </c>
      <c r="C19" s="15" t="s">
        <v>89</v>
      </c>
      <c r="D19" s="40" t="s">
        <v>119</v>
      </c>
      <c r="E19" t="s">
        <v>120</v>
      </c>
      <c r="F19" t="s">
        <v>92</v>
      </c>
    </row>
    <row r="20" spans="1:6" ht="32" customHeight="1">
      <c r="A20" s="25" t="s">
        <v>118</v>
      </c>
      <c r="B20" s="26" t="s">
        <v>17</v>
      </c>
      <c r="C20" s="15" t="s">
        <v>89</v>
      </c>
      <c r="D20" s="40" t="s">
        <v>119</v>
      </c>
      <c r="E20" t="s">
        <v>120</v>
      </c>
      <c r="F20" t="s">
        <v>92</v>
      </c>
    </row>
    <row r="21" spans="1:6" ht="32" customHeight="1">
      <c r="A21" s="25" t="s">
        <v>118</v>
      </c>
      <c r="B21" s="26" t="s">
        <v>18</v>
      </c>
      <c r="C21" s="15" t="s">
        <v>89</v>
      </c>
      <c r="D21" s="40" t="s">
        <v>119</v>
      </c>
      <c r="E21" t="s">
        <v>120</v>
      </c>
      <c r="F21" t="s">
        <v>92</v>
      </c>
    </row>
    <row r="22" spans="1:6" ht="32" customHeight="1">
      <c r="A22" s="25" t="s">
        <v>118</v>
      </c>
      <c r="B22" s="26" t="s">
        <v>19</v>
      </c>
      <c r="C22" s="15" t="s">
        <v>89</v>
      </c>
      <c r="D22" s="40" t="s">
        <v>119</v>
      </c>
      <c r="E22" t="s">
        <v>120</v>
      </c>
      <c r="F22" t="s">
        <v>92</v>
      </c>
    </row>
    <row r="23" spans="1:6" ht="32" customHeight="1">
      <c r="A23" s="25" t="s">
        <v>118</v>
      </c>
      <c r="B23" s="26" t="s">
        <v>20</v>
      </c>
      <c r="C23" s="15" t="s">
        <v>89</v>
      </c>
      <c r="D23" s="40" t="s">
        <v>121</v>
      </c>
      <c r="E23" t="s">
        <v>120</v>
      </c>
      <c r="F23" t="s">
        <v>94</v>
      </c>
    </row>
    <row r="24" spans="1:6" ht="48" customHeight="1">
      <c r="A24" s="25" t="s">
        <v>118</v>
      </c>
      <c r="B24" s="26" t="s">
        <v>21</v>
      </c>
      <c r="C24" s="15" t="s">
        <v>89</v>
      </c>
      <c r="D24" s="27" t="s">
        <v>122</v>
      </c>
      <c r="E24" s="28" t="s">
        <v>120</v>
      </c>
      <c r="F24" s="27" t="s">
        <v>123</v>
      </c>
    </row>
    <row r="25" spans="1:6" ht="32" customHeight="1">
      <c r="A25" s="25" t="s">
        <v>118</v>
      </c>
      <c r="B25" s="29" t="s">
        <v>22</v>
      </c>
      <c r="C25" s="15" t="s">
        <v>89</v>
      </c>
      <c r="D25" s="40" t="s">
        <v>124</v>
      </c>
      <c r="E25" t="s">
        <v>120</v>
      </c>
      <c r="F25" t="s">
        <v>92</v>
      </c>
    </row>
    <row r="26" spans="1:6" ht="32" customHeight="1">
      <c r="A26" s="25" t="s">
        <v>118</v>
      </c>
      <c r="B26" s="29" t="s">
        <v>23</v>
      </c>
      <c r="C26" s="15" t="s">
        <v>89</v>
      </c>
      <c r="D26" s="40" t="s">
        <v>124</v>
      </c>
      <c r="E26" t="s">
        <v>120</v>
      </c>
      <c r="F26" t="s">
        <v>92</v>
      </c>
    </row>
    <row r="27" spans="1:6" ht="32" customHeight="1">
      <c r="A27" s="25" t="s">
        <v>118</v>
      </c>
      <c r="B27" s="29" t="s">
        <v>24</v>
      </c>
      <c r="C27" s="15" t="s">
        <v>89</v>
      </c>
      <c r="D27" s="40" t="s">
        <v>124</v>
      </c>
      <c r="E27" t="s">
        <v>120</v>
      </c>
      <c r="F27" t="s">
        <v>92</v>
      </c>
    </row>
    <row r="28" spans="1:6" ht="32" customHeight="1">
      <c r="A28" s="25" t="s">
        <v>118</v>
      </c>
      <c r="B28" s="29" t="s">
        <v>25</v>
      </c>
      <c r="C28" s="15" t="s">
        <v>89</v>
      </c>
      <c r="D28" s="40" t="s">
        <v>124</v>
      </c>
      <c r="E28" t="s">
        <v>120</v>
      </c>
      <c r="F28" t="s">
        <v>92</v>
      </c>
    </row>
    <row r="29" spans="1:6" ht="32" customHeight="1">
      <c r="A29" s="25" t="s">
        <v>118</v>
      </c>
      <c r="B29" s="29" t="s">
        <v>26</v>
      </c>
      <c r="C29" s="15" t="s">
        <v>89</v>
      </c>
      <c r="D29" s="40" t="s">
        <v>124</v>
      </c>
      <c r="E29" t="s">
        <v>120</v>
      </c>
      <c r="F29" t="s">
        <v>92</v>
      </c>
    </row>
    <row r="30" spans="1:6" ht="32" customHeight="1">
      <c r="A30" s="25" t="s">
        <v>118</v>
      </c>
      <c r="B30" s="29" t="s">
        <v>27</v>
      </c>
      <c r="C30" s="15" t="s">
        <v>89</v>
      </c>
      <c r="D30" s="40" t="s">
        <v>125</v>
      </c>
      <c r="E30" t="s">
        <v>120</v>
      </c>
      <c r="F30" t="s">
        <v>94</v>
      </c>
    </row>
    <row r="31" spans="1:6" ht="48" customHeight="1">
      <c r="A31" s="25" t="s">
        <v>118</v>
      </c>
      <c r="B31" s="29" t="s">
        <v>28</v>
      </c>
      <c r="C31" s="15" t="s">
        <v>89</v>
      </c>
      <c r="D31" s="27" t="s">
        <v>126</v>
      </c>
      <c r="E31" s="28" t="s">
        <v>120</v>
      </c>
      <c r="F31" s="27" t="s">
        <v>123</v>
      </c>
    </row>
    <row r="32" spans="1:6" ht="32" customHeight="1">
      <c r="A32" s="25" t="s">
        <v>118</v>
      </c>
      <c r="B32" s="26" t="s">
        <v>29</v>
      </c>
      <c r="C32" s="15" t="s">
        <v>89</v>
      </c>
      <c r="D32" s="40" t="s">
        <v>127</v>
      </c>
      <c r="E32" t="s">
        <v>120</v>
      </c>
      <c r="F32" t="s">
        <v>92</v>
      </c>
    </row>
    <row r="33" spans="1:6" ht="32" customHeight="1">
      <c r="A33" s="25" t="s">
        <v>118</v>
      </c>
      <c r="B33" s="26" t="s">
        <v>30</v>
      </c>
      <c r="C33" s="15" t="s">
        <v>89</v>
      </c>
      <c r="D33" s="40" t="s">
        <v>127</v>
      </c>
      <c r="E33" t="s">
        <v>120</v>
      </c>
      <c r="F33" t="s">
        <v>92</v>
      </c>
    </row>
    <row r="34" spans="1:6" ht="32" customHeight="1">
      <c r="A34" s="25" t="s">
        <v>118</v>
      </c>
      <c r="B34" s="26" t="s">
        <v>31</v>
      </c>
      <c r="C34" s="15" t="s">
        <v>89</v>
      </c>
      <c r="D34" s="40" t="s">
        <v>127</v>
      </c>
      <c r="E34" t="s">
        <v>120</v>
      </c>
      <c r="F34" t="s">
        <v>92</v>
      </c>
    </row>
    <row r="35" spans="1:6" ht="32" customHeight="1">
      <c r="A35" s="25" t="s">
        <v>118</v>
      </c>
      <c r="B35" s="26" t="s">
        <v>32</v>
      </c>
      <c r="C35" s="15" t="s">
        <v>89</v>
      </c>
      <c r="D35" s="40" t="s">
        <v>127</v>
      </c>
      <c r="E35" t="s">
        <v>120</v>
      </c>
      <c r="F35" t="s">
        <v>92</v>
      </c>
    </row>
    <row r="36" spans="1:6" ht="32" customHeight="1">
      <c r="A36" s="25" t="s">
        <v>118</v>
      </c>
      <c r="B36" s="26" t="s">
        <v>33</v>
      </c>
      <c r="C36" s="15" t="s">
        <v>89</v>
      </c>
      <c r="D36" s="40" t="s">
        <v>127</v>
      </c>
      <c r="E36" t="s">
        <v>120</v>
      </c>
      <c r="F36" t="s">
        <v>92</v>
      </c>
    </row>
    <row r="37" spans="1:6" ht="32" customHeight="1">
      <c r="A37" s="25" t="s">
        <v>118</v>
      </c>
      <c r="B37" s="26" t="s">
        <v>34</v>
      </c>
      <c r="C37" s="15" t="s">
        <v>89</v>
      </c>
      <c r="D37" s="40" t="s">
        <v>128</v>
      </c>
      <c r="E37" t="s">
        <v>120</v>
      </c>
      <c r="F37" t="s">
        <v>94</v>
      </c>
    </row>
    <row r="38" spans="1:6" ht="48" customHeight="1">
      <c r="A38" s="25" t="s">
        <v>118</v>
      </c>
      <c r="B38" s="26" t="s">
        <v>35</v>
      </c>
      <c r="C38" s="15" t="s">
        <v>89</v>
      </c>
      <c r="D38" s="27" t="s">
        <v>129</v>
      </c>
      <c r="E38" s="28" t="s">
        <v>120</v>
      </c>
      <c r="F38" s="27" t="s">
        <v>123</v>
      </c>
    </row>
    <row r="39" spans="1:6" ht="32" customHeight="1">
      <c r="A39" s="25" t="s">
        <v>118</v>
      </c>
      <c r="B39" s="30" t="s">
        <v>36</v>
      </c>
      <c r="C39" s="15" t="s">
        <v>89</v>
      </c>
      <c r="D39" s="40" t="s">
        <v>130</v>
      </c>
      <c r="E39" t="s">
        <v>120</v>
      </c>
      <c r="F39" t="s">
        <v>92</v>
      </c>
    </row>
    <row r="40" spans="1:6" ht="32" customHeight="1">
      <c r="A40" s="25" t="s">
        <v>118</v>
      </c>
      <c r="B40" s="30" t="s">
        <v>37</v>
      </c>
      <c r="C40" s="15" t="s">
        <v>89</v>
      </c>
      <c r="D40" s="40" t="s">
        <v>130</v>
      </c>
      <c r="E40" t="s">
        <v>120</v>
      </c>
      <c r="F40" t="s">
        <v>92</v>
      </c>
    </row>
    <row r="41" spans="1:6" ht="32" customHeight="1">
      <c r="A41" s="25" t="s">
        <v>118</v>
      </c>
      <c r="B41" s="30" t="s">
        <v>38</v>
      </c>
      <c r="C41" s="15" t="s">
        <v>89</v>
      </c>
      <c r="D41" s="40" t="s">
        <v>130</v>
      </c>
      <c r="E41" t="s">
        <v>120</v>
      </c>
      <c r="F41" t="s">
        <v>92</v>
      </c>
    </row>
    <row r="42" spans="1:6" ht="32" customHeight="1">
      <c r="A42" s="25" t="s">
        <v>118</v>
      </c>
      <c r="B42" s="30" t="s">
        <v>39</v>
      </c>
      <c r="C42" s="15" t="s">
        <v>89</v>
      </c>
      <c r="D42" s="40" t="s">
        <v>130</v>
      </c>
      <c r="E42" t="s">
        <v>120</v>
      </c>
      <c r="F42" t="s">
        <v>92</v>
      </c>
    </row>
    <row r="43" spans="1:6" ht="32" customHeight="1">
      <c r="A43" s="25" t="s">
        <v>118</v>
      </c>
      <c r="B43" s="30" t="s">
        <v>40</v>
      </c>
      <c r="C43" s="15" t="s">
        <v>89</v>
      </c>
      <c r="D43" s="40" t="s">
        <v>130</v>
      </c>
      <c r="E43" t="s">
        <v>120</v>
      </c>
      <c r="F43" t="s">
        <v>92</v>
      </c>
    </row>
    <row r="44" spans="1:6" ht="32" customHeight="1">
      <c r="A44" s="25" t="s">
        <v>118</v>
      </c>
      <c r="B44" s="30" t="s">
        <v>41</v>
      </c>
      <c r="C44" s="15" t="s">
        <v>89</v>
      </c>
      <c r="D44" s="40" t="s">
        <v>131</v>
      </c>
      <c r="E44" t="s">
        <v>120</v>
      </c>
      <c r="F44" t="s">
        <v>94</v>
      </c>
    </row>
    <row r="45" spans="1:6" ht="48" customHeight="1">
      <c r="A45" s="25" t="s">
        <v>118</v>
      </c>
      <c r="B45" s="30" t="s">
        <v>42</v>
      </c>
      <c r="C45" s="15" t="s">
        <v>89</v>
      </c>
      <c r="D45" s="27" t="s">
        <v>132</v>
      </c>
      <c r="E45" s="28" t="s">
        <v>120</v>
      </c>
      <c r="F45" s="27" t="s">
        <v>123</v>
      </c>
    </row>
    <row r="46" spans="1:6" ht="32" customHeight="1">
      <c r="A46" s="31" t="s">
        <v>133</v>
      </c>
      <c r="B46" s="14" t="s">
        <v>43</v>
      </c>
      <c r="C46" s="15" t="s">
        <v>89</v>
      </c>
      <c r="D46" s="40" t="s">
        <v>134</v>
      </c>
      <c r="E46" t="s">
        <v>120</v>
      </c>
      <c r="F46" t="s">
        <v>92</v>
      </c>
    </row>
    <row r="47" spans="1:6" ht="32" customHeight="1">
      <c r="A47" s="31" t="s">
        <v>133</v>
      </c>
      <c r="B47" s="14" t="s">
        <v>44</v>
      </c>
      <c r="C47" s="15" t="s">
        <v>89</v>
      </c>
      <c r="D47" s="40" t="s">
        <v>134</v>
      </c>
      <c r="E47" t="s">
        <v>120</v>
      </c>
      <c r="F47" t="s">
        <v>92</v>
      </c>
    </row>
    <row r="48" spans="1:6" ht="32" customHeight="1">
      <c r="A48" s="31" t="s">
        <v>133</v>
      </c>
      <c r="B48" s="14" t="s">
        <v>45</v>
      </c>
      <c r="C48" s="15" t="s">
        <v>89</v>
      </c>
      <c r="D48" s="40" t="s">
        <v>134</v>
      </c>
      <c r="E48" t="s">
        <v>120</v>
      </c>
      <c r="F48" t="s">
        <v>92</v>
      </c>
    </row>
    <row r="49" spans="1:6" ht="32" customHeight="1">
      <c r="A49" s="31" t="s">
        <v>133</v>
      </c>
      <c r="B49" s="14" t="s">
        <v>46</v>
      </c>
      <c r="C49" s="15" t="s">
        <v>89</v>
      </c>
      <c r="D49" s="40" t="s">
        <v>134</v>
      </c>
      <c r="E49" t="s">
        <v>120</v>
      </c>
      <c r="F49" t="s">
        <v>92</v>
      </c>
    </row>
    <row r="50" spans="1:6" ht="32" customHeight="1">
      <c r="A50" s="31" t="s">
        <v>133</v>
      </c>
      <c r="B50" s="14" t="s">
        <v>47</v>
      </c>
      <c r="C50" s="15" t="s">
        <v>89</v>
      </c>
      <c r="D50" s="40" t="s">
        <v>134</v>
      </c>
      <c r="E50" t="s">
        <v>120</v>
      </c>
      <c r="F50" t="s">
        <v>92</v>
      </c>
    </row>
    <row r="51" spans="1:6" ht="32" customHeight="1">
      <c r="A51" s="31" t="s">
        <v>133</v>
      </c>
      <c r="B51" s="14" t="s">
        <v>48</v>
      </c>
      <c r="C51" s="15" t="s">
        <v>89</v>
      </c>
      <c r="D51" s="40" t="s">
        <v>134</v>
      </c>
      <c r="E51" t="s">
        <v>120</v>
      </c>
      <c r="F51" t="s">
        <v>94</v>
      </c>
    </row>
    <row r="52" spans="1:6" ht="32" customHeight="1">
      <c r="A52" s="32" t="s">
        <v>135</v>
      </c>
      <c r="B52" s="14" t="s">
        <v>67</v>
      </c>
      <c r="C52" s="15" t="s">
        <v>136</v>
      </c>
      <c r="D52" s="40" t="s">
        <v>137</v>
      </c>
      <c r="E52" t="s">
        <v>138</v>
      </c>
      <c r="F52" t="s">
        <v>92</v>
      </c>
    </row>
    <row r="53" spans="1:6" ht="48" customHeight="1">
      <c r="A53" s="32" t="s">
        <v>135</v>
      </c>
      <c r="B53" s="14" t="s">
        <v>68</v>
      </c>
      <c r="C53" s="15" t="s">
        <v>136</v>
      </c>
      <c r="D53" s="40" t="s">
        <v>139</v>
      </c>
      <c r="E53" t="s">
        <v>140</v>
      </c>
      <c r="F53" t="s">
        <v>92</v>
      </c>
    </row>
    <row r="54" spans="1:6" ht="16" customHeight="1">
      <c r="A54" s="32" t="s">
        <v>135</v>
      </c>
      <c r="B54" s="17" t="s">
        <v>69</v>
      </c>
      <c r="C54" s="15" t="s">
        <v>136</v>
      </c>
      <c r="D54" s="33" t="s">
        <v>141</v>
      </c>
      <c r="E54" s="19" t="s">
        <v>142</v>
      </c>
      <c r="F54" s="19" t="s">
        <v>94</v>
      </c>
    </row>
    <row r="55" spans="1:6" ht="16" customHeight="1">
      <c r="A55" s="32" t="s">
        <v>135</v>
      </c>
      <c r="B55" s="14" t="s">
        <v>70</v>
      </c>
      <c r="C55" s="15" t="s">
        <v>136</v>
      </c>
      <c r="D55" s="40" t="s">
        <v>143</v>
      </c>
      <c r="E55" t="s">
        <v>142</v>
      </c>
      <c r="F55" t="s">
        <v>92</v>
      </c>
    </row>
    <row r="56" spans="1:6" ht="80" customHeight="1">
      <c r="A56" s="32" t="s">
        <v>135</v>
      </c>
      <c r="B56" s="14" t="s">
        <v>71</v>
      </c>
      <c r="C56" s="15" t="s">
        <v>136</v>
      </c>
      <c r="D56" s="40" t="s">
        <v>144</v>
      </c>
      <c r="E56" t="s">
        <v>145</v>
      </c>
      <c r="F56" t="s">
        <v>92</v>
      </c>
    </row>
    <row r="57" spans="1:6" ht="112" customHeight="1">
      <c r="A57" s="32" t="s">
        <v>135</v>
      </c>
      <c r="B57" s="14" t="s">
        <v>72</v>
      </c>
      <c r="C57" s="15" t="s">
        <v>136</v>
      </c>
      <c r="D57" s="16" t="s">
        <v>146</v>
      </c>
      <c r="E57" s="34" t="s">
        <v>147</v>
      </c>
      <c r="F57" t="s">
        <v>92</v>
      </c>
    </row>
    <row r="58" spans="1:6" ht="16" customHeight="1">
      <c r="A58" s="32" t="s">
        <v>135</v>
      </c>
      <c r="B58" s="14" t="s">
        <v>73</v>
      </c>
      <c r="C58" s="15" t="s">
        <v>136</v>
      </c>
      <c r="D58" s="40" t="s">
        <v>148</v>
      </c>
      <c r="E58" t="s">
        <v>142</v>
      </c>
      <c r="F58" t="s">
        <v>92</v>
      </c>
    </row>
    <row r="59" spans="1:6" ht="32" customHeight="1">
      <c r="A59" s="32" t="s">
        <v>135</v>
      </c>
      <c r="B59" s="14" t="s">
        <v>74</v>
      </c>
      <c r="C59" s="15" t="s">
        <v>136</v>
      </c>
      <c r="D59" s="40" t="s">
        <v>149</v>
      </c>
      <c r="E59" t="s">
        <v>150</v>
      </c>
      <c r="F59" t="s">
        <v>92</v>
      </c>
    </row>
    <row r="60" spans="1:6" ht="48" customHeight="1">
      <c r="A60" s="35" t="s">
        <v>151</v>
      </c>
      <c r="B60" s="14" t="s">
        <v>152</v>
      </c>
      <c r="C60" s="15" t="s">
        <v>136</v>
      </c>
      <c r="D60" s="40" t="s">
        <v>153</v>
      </c>
      <c r="E60" t="s">
        <v>142</v>
      </c>
      <c r="F60" t="s">
        <v>92</v>
      </c>
    </row>
  </sheetData>
  <pageMargins left="0.7" right="0.7" top="0.75" bottom="0.75" header="0.3" footer="0.511811023622047"/>
  <pageSetup orientation="portrait" horizontalDpi="300" verticalDpi="300"/>
  <headerFooter>
    <oddHeader>&amp;C&amp;1 Confidential#</oddHead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2"/>
  <sheetViews>
    <sheetView zoomScale="150" zoomScaleNormal="150" workbookViewId="0">
      <selection activeCell="B11" sqref="B11"/>
    </sheetView>
  </sheetViews>
  <sheetFormatPr baseColWidth="10" defaultColWidth="11.5" defaultRowHeight="15"/>
  <cols>
    <col min="1" max="1" width="40.6640625" customWidth="1"/>
    <col min="2" max="2" width="22.6640625" customWidth="1"/>
    <col min="3" max="4" width="13.6640625" customWidth="1"/>
  </cols>
  <sheetData>
    <row r="1" spans="1:5">
      <c r="A1" s="2" t="s">
        <v>0</v>
      </c>
      <c r="B1" s="2" t="s">
        <v>1</v>
      </c>
      <c r="C1" s="2" t="s">
        <v>2</v>
      </c>
      <c r="D1" s="2" t="s">
        <v>154</v>
      </c>
      <c r="E1" s="2" t="s">
        <v>260</v>
      </c>
    </row>
    <row r="2" spans="1:5">
      <c r="A2" s="96" t="s">
        <v>272</v>
      </c>
      <c r="B2" s="1" t="s">
        <v>273</v>
      </c>
      <c r="C2" s="96" t="s">
        <v>274</v>
      </c>
      <c r="D2" s="96" t="s">
        <v>274</v>
      </c>
      <c r="E2">
        <f>77603921</f>
        <v>77603921</v>
      </c>
    </row>
  </sheetData>
  <pageMargins left="0.7" right="0.7" top="0.75" bottom="0.75" header="0.3" footer="0.511811023622047"/>
  <pageSetup orientation="portrait" horizontalDpi="300" verticalDpi="300"/>
  <headerFooter>
    <oddHeader>&amp;C&amp;1 Confidential#</oddHead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Read me </vt:lpstr>
      <vt:lpstr>ITR V2 input data</vt:lpstr>
      <vt:lpstr>Future ITR V2 input data</vt:lpstr>
      <vt:lpstr>ITR V2 esg data</vt:lpstr>
      <vt:lpstr>Future ITR V2 esg data</vt:lpstr>
      <vt:lpstr>ITR target input data</vt:lpstr>
      <vt:lpstr>Future ITR target input data</vt:lpstr>
      <vt:lpstr>Definitions</vt:lpstr>
      <vt:lpstr>Portfolio</vt:lpstr>
      <vt:lpstr>Future Portfolio</vt:lpstr>
      <vt:lpstr>User Notes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Michael Tiemann</cp:lastModifiedBy>
  <cp:revision>120</cp:revision>
  <cp:lastPrinted>2022-02-14T13:19:46Z</cp:lastPrinted>
  <dcterms:created xsi:type="dcterms:W3CDTF">2022-02-08T09:02:08Z</dcterms:created>
  <dcterms:modified xsi:type="dcterms:W3CDTF">2023-12-16T18:53:42Z</dcterms:modified>
  <dc:language>en-US</dc:language>
</cp:coreProperties>
</file>