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A5C9AC68-FABA-DD4D-A524-F3345AE03629}" xr6:coauthVersionLast="47" xr6:coauthVersionMax="47" xr10:uidLastSave="{00000000-0000-0000-0000-000000000000}"/>
  <bookViews>
    <workbookView xWindow="580" yWindow="7060" windowWidth="35020" windowHeight="132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5" i="3" l="1"/>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O471" i="8"/>
  <c r="N137" i="8" l="1"/>
  <c r="M137" i="8"/>
  <c r="N136" i="8"/>
  <c r="M136" i="8"/>
  <c r="N135" i="8"/>
  <c r="M135" i="8"/>
  <c r="N852" i="8" l="1"/>
  <c r="M852" i="8"/>
  <c r="L852" i="8"/>
  <c r="K852" i="8"/>
  <c r="O643" i="8"/>
  <c r="N643" i="8"/>
  <c r="M643" i="8"/>
  <c r="I406" i="8"/>
  <c r="O411" i="8"/>
  <c r="O406" i="8" s="1"/>
  <c r="N411" i="8"/>
  <c r="N406" i="8" s="1"/>
  <c r="O381" i="8"/>
  <c r="N381" i="8"/>
  <c r="I381" i="8"/>
  <c r="I328" i="8"/>
  <c r="O328" i="8"/>
  <c r="N328" i="8"/>
  <c r="M328" i="8"/>
  <c r="N177" i="8"/>
  <c r="O189" i="8"/>
  <c r="N189" i="8"/>
  <c r="M189" i="8"/>
  <c r="O177" i="8"/>
  <c r="M177" i="8"/>
  <c r="O96" i="8" l="1"/>
  <c r="N5" i="7"/>
  <c r="O5" i="7" s="1"/>
  <c r="M8" i="3"/>
  <c r="M10" i="3"/>
  <c r="N10" i="7"/>
  <c r="O10" i="7" s="1"/>
  <c r="N11" i="7"/>
  <c r="O11" i="7" s="1"/>
  <c r="N6" i="7"/>
  <c r="O6" i="7" s="1"/>
  <c r="N8" i="7"/>
  <c r="O8" i="7" s="1"/>
  <c r="N7" i="7"/>
  <c r="O7" i="7" s="1"/>
  <c r="O821" i="8"/>
  <c r="M71" i="8" l="1"/>
  <c r="J5" i="3" s="1"/>
  <c r="M55" i="8"/>
  <c r="N12" i="7"/>
  <c r="O12" i="7" s="1"/>
  <c r="N9" i="7"/>
  <c r="O9" i="7" s="1"/>
  <c r="O3" i="7"/>
  <c r="O4" i="7"/>
  <c r="M18" i="3"/>
  <c r="M17" i="3"/>
  <c r="O172" i="8"/>
  <c r="O171" i="8"/>
  <c r="O170" i="8"/>
  <c r="O169" i="8"/>
  <c r="N172" i="8"/>
  <c r="N171" i="8"/>
  <c r="N170" i="8"/>
  <c r="N169" i="8"/>
  <c r="M172" i="8"/>
  <c r="M171" i="8"/>
  <c r="M170" i="8"/>
  <c r="M169" i="8"/>
  <c r="O168" i="8"/>
  <c r="N168" i="8"/>
  <c r="M168" i="8"/>
  <c r="N212" i="8" l="1"/>
  <c r="N210" i="8"/>
  <c r="N209" i="8"/>
  <c r="M212" i="8"/>
  <c r="M210" i="8"/>
  <c r="M209" i="8"/>
  <c r="O225" i="8"/>
  <c r="N225" i="8"/>
  <c r="M225" i="8"/>
  <c r="O221" i="8"/>
  <c r="N221" i="8"/>
  <c r="M221" i="8"/>
  <c r="O350" i="8"/>
  <c r="N350" i="8"/>
  <c r="M350" i="8"/>
  <c r="O349" i="8"/>
  <c r="O351" i="8" s="1"/>
  <c r="N349" i="8"/>
  <c r="N351" i="8" s="1"/>
  <c r="M349" i="8"/>
  <c r="M351" i="8" s="1"/>
  <c r="O348" i="8"/>
  <c r="O347" i="8"/>
  <c r="O438" i="8"/>
  <c r="O437" i="8"/>
  <c r="O435" i="8"/>
  <c r="O434" i="8"/>
  <c r="O433" i="8"/>
  <c r="O432" i="8"/>
  <c r="O431" i="8"/>
  <c r="O430" i="8"/>
  <c r="N438" i="8"/>
  <c r="N437" i="8"/>
  <c r="N435" i="8"/>
  <c r="N434" i="8"/>
  <c r="N433" i="8"/>
  <c r="N432" i="8"/>
  <c r="N431" i="8"/>
  <c r="N430" i="8"/>
  <c r="M438" i="8"/>
  <c r="M437" i="8"/>
  <c r="M435" i="8"/>
  <c r="M434" i="8"/>
  <c r="M433" i="8"/>
  <c r="M432" i="8"/>
  <c r="M431" i="8"/>
  <c r="M430" i="8"/>
  <c r="O429" i="8"/>
  <c r="N429" i="8"/>
  <c r="M429" i="8"/>
  <c r="O441" i="8"/>
  <c r="N441" i="8"/>
  <c r="M441" i="8"/>
  <c r="M442" i="8"/>
  <c r="N442" i="8"/>
  <c r="O442" i="8"/>
  <c r="O426" i="8"/>
  <c r="N426" i="8"/>
  <c r="M426" i="8"/>
  <c r="O427" i="8"/>
  <c r="N427" i="8"/>
  <c r="M427" i="8"/>
  <c r="O428" i="8"/>
  <c r="N428" i="8"/>
  <c r="M428" i="8"/>
  <c r="O443" i="8"/>
  <c r="N443" i="8"/>
  <c r="M443" i="8"/>
  <c r="O662" i="8"/>
  <c r="N662" i="8"/>
  <c r="M662" i="8"/>
  <c r="L662" i="8"/>
  <c r="K662" i="8"/>
  <c r="O661" i="8"/>
  <c r="N661" i="8"/>
  <c r="M661" i="8"/>
  <c r="L661" i="8"/>
  <c r="K661" i="8"/>
  <c r="O734" i="8"/>
  <c r="N734" i="8"/>
  <c r="M734" i="8"/>
  <c r="L734" i="8"/>
  <c r="K734" i="8"/>
  <c r="K733" i="8"/>
  <c r="O730" i="8"/>
  <c r="N730" i="8"/>
  <c r="M730" i="8"/>
  <c r="L730" i="8"/>
  <c r="K730" i="8"/>
  <c r="O728" i="8"/>
  <c r="N728" i="8"/>
  <c r="M728" i="8"/>
  <c r="L728" i="8"/>
  <c r="K728" i="8"/>
  <c r="O727" i="8"/>
  <c r="N727" i="8"/>
  <c r="M727" i="8"/>
  <c r="L727" i="8"/>
  <c r="K727" i="8"/>
  <c r="O725" i="8"/>
  <c r="N725" i="8"/>
  <c r="M725" i="8"/>
  <c r="L725" i="8"/>
  <c r="K725" i="8"/>
  <c r="O723" i="8"/>
  <c r="N723" i="8"/>
  <c r="M723" i="8"/>
  <c r="L723" i="8"/>
  <c r="K723" i="8"/>
  <c r="K722" i="8"/>
  <c r="O722" i="8"/>
  <c r="N722" i="8"/>
  <c r="M722" i="8"/>
  <c r="L722" i="8"/>
  <c r="O618" i="8"/>
  <c r="N618" i="8"/>
  <c r="N211" i="8" l="1"/>
  <c r="N213" i="8" s="1"/>
  <c r="M211" i="8"/>
  <c r="M213" i="8" s="1"/>
  <c r="K663" i="8"/>
  <c r="L663" i="8"/>
  <c r="M663" i="8"/>
  <c r="N663" i="8"/>
  <c r="O663" i="8"/>
  <c r="O641" i="8"/>
  <c r="N641" i="8"/>
  <c r="O694" i="8"/>
  <c r="O696" i="8" s="1"/>
  <c r="K850" i="8"/>
  <c r="L850" i="8"/>
  <c r="M850" i="8"/>
  <c r="N850" i="8"/>
  <c r="O273" i="8"/>
  <c r="N273" i="8"/>
  <c r="N260" i="8"/>
  <c r="M273" i="8"/>
  <c r="L273" i="8"/>
  <c r="K273" i="8"/>
  <c r="M260" i="8"/>
  <c r="L260" i="8"/>
  <c r="K260" i="8"/>
  <c r="J260" i="8"/>
  <c r="M247" i="8"/>
  <c r="L247" i="8"/>
  <c r="K247" i="8"/>
  <c r="J247" i="8"/>
  <c r="M256" i="8"/>
  <c r="L256" i="8"/>
  <c r="K256" i="8"/>
  <c r="J256" i="8"/>
  <c r="O282" i="8"/>
  <c r="N282" i="8"/>
  <c r="M282" i="8"/>
  <c r="L282" i="8"/>
  <c r="K282" i="8"/>
  <c r="N269" i="8"/>
  <c r="M269" i="8"/>
  <c r="L269" i="8"/>
  <c r="K269" i="8"/>
  <c r="J269" i="8"/>
  <c r="L6" i="8" l="1"/>
  <c r="K6" i="8"/>
  <c r="J6" i="8"/>
  <c r="L5" i="8"/>
  <c r="K5" i="8"/>
  <c r="J5" i="8"/>
  <c r="M15" i="8"/>
  <c r="L15" i="8"/>
  <c r="K15" i="8"/>
  <c r="J15" i="8"/>
  <c r="M14" i="8"/>
  <c r="L14" i="8"/>
  <c r="K14" i="8"/>
  <c r="J14" i="8"/>
  <c r="N24" i="8"/>
  <c r="M24" i="8"/>
  <c r="L24" i="8"/>
  <c r="K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29" i="3"/>
  <c r="M120" i="3"/>
  <c r="J114" i="3"/>
  <c r="J113" i="3"/>
  <c r="M104" i="3"/>
  <c r="M103" i="3"/>
  <c r="M102" i="3"/>
  <c r="M101" i="3"/>
  <c r="M99" i="3"/>
  <c r="M98" i="3"/>
  <c r="M97" i="3"/>
  <c r="M95" i="3"/>
  <c r="J88" i="3"/>
  <c r="J87" i="3"/>
  <c r="M81" i="3"/>
  <c r="J80" i="3"/>
  <c r="J73" i="3"/>
  <c r="J71" i="3"/>
  <c r="J70" i="3"/>
  <c r="J69" i="3"/>
  <c r="M66" i="3"/>
  <c r="J28" i="3"/>
  <c r="M27"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<sst xmlns="http://schemas.openxmlformats.org/spreadsheetml/2006/main" count="5349" uniqueCount="665">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</sst>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yyyy\-mm\-dd;@"/>
    <numFmt numFmtId="165" formatCode="0.0000"/>
    <numFmt numFmtId="166" formatCode="yyyy\-mm\-dd"/>
    <numFmt numFmtId="167" formatCode="0.000"/>
    <numFmt numFmtId="168" formatCode="#,##0.000"/>
  </numFmts>
  <fonts count="23">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s>
  <fills count="21">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s>
  <borders count="1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11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26" Type="http://schemas.openxmlformats.org/officeDocument/2006/relationships/hyperlink" Target="https://investor.conedison.com/static-files/20ccb3a6-7a84-4f12-aaaf-5b01a287327b" TargetMode="External"/><Relationship Id="rId21" Type="http://schemas.openxmlformats.org/officeDocument/2006/relationships/hyperlink" Target="https://s26.q4cdn.com/888045447/files/doc_downloads/2022/10/2022-ESG-Report_10-13-22_Final.pdf" TargetMode="External"/><Relationship Id="rId34" Type="http://schemas.openxmlformats.org/officeDocument/2006/relationships/hyperlink" Target="https://www.exeloncorp.com/sustainability/interactive-csr?year=2021&amp;page=1" TargetMode="External"/><Relationship Id="rId7" Type="http://schemas.openxmlformats.org/officeDocument/2006/relationships/hyperlink" Target="https://www.bmwgroup.com/content/dam/grpw/websites/bmwgroup_com/responsibility/downloads/en/2020/2020-BMW-Group-SVR-2019-Englisch.pdf"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25" Type="http://schemas.openxmlformats.org/officeDocument/2006/relationships/hyperlink" Target="https://cms-cleco.ae-admin.com/docs/default-source/investor-information/2022-eei-investor-deck_november-2022_final.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2" Type="http://schemas.openxmlformats.org/officeDocument/2006/relationships/hyperlink" Target="https://www.aes.com/sites/default/files/2022-05/2021%20Improving%20Lives%20report.pdf" TargetMode="External"/><Relationship Id="rId16" Type="http://schemas.openxmlformats.org/officeDocument/2006/relationships/hyperlink" Target="https://www.oxy.com/globalassets/documents/publications/oxy-climate-report-2021.pdf" TargetMode="External"/><Relationship Id="rId20" Type="http://schemas.openxmlformats.org/officeDocument/2006/relationships/hyperlink" Target="https://www.alliantenergy.com/-/media/alliant/documents/cleanenergy/responsibility-report/esgperformancesummary.pdf" TargetMode="External"/><Relationship Id="rId29" Type="http://schemas.openxmlformats.org/officeDocument/2006/relationships/hyperlink" Target="https://dteempowermi.wpenginepowered.com/wp-content/uploads/2021KeyPerformanceData.xlsx"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11" Type="http://schemas.openxmlformats.org/officeDocument/2006/relationships/hyperlink" Target="https://www.eni.com/assets/documents/eng/reports/2021/Fact-Book-2021-eng.pdf" TargetMode="External"/><Relationship Id="rId24" Type="http://schemas.openxmlformats.org/officeDocument/2006/relationships/hyperlink" Target="https://www.cmc.com/getmedia/f81a63c4-6285-4c8a-a573-35f79d71fe24/CMC_2021_Sustainability_Report.pdf" TargetMode="External"/><Relationship Id="rId32" Type="http://schemas.openxmlformats.org/officeDocument/2006/relationships/hyperlink" Target="https://s201.q4cdn.com/583395453/files/doc_downloads/2022/climate-report-2022.pdf" TargetMode="External"/><Relationship Id="rId37" Type="http://schemas.openxmlformats.org/officeDocument/2006/relationships/hyperlink" Target="https://fecorporateresponsibility.com/content/dam/fecorporateresponsibility/files/reports-resources/eei/EEI2022.pdf" TargetMode="External"/><Relationship Id="rId5" Type="http://schemas.openxmlformats.org/officeDocument/2006/relationships/hyperlink" Target="https://www.bmwgroup.com/content/dam/grpw/websites/bmwgroup_com/ir/downloads/en/2022/hv/E3.7.1.pdf" TargetMode="External"/><Relationship Id="rId15" Type="http://schemas.openxmlformats.org/officeDocument/2006/relationships/hyperlink" Target="https://www.eni.com/assets/documents/eng/just-transition/2021/eni-for-2021-carbon-neutrality-2050-eng.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36" Type="http://schemas.openxmlformats.org/officeDocument/2006/relationships/hyperlink" Target="https://www.worthingtonindustries.com/docs/default-source/default-document-library/worthington-sustainability-report-2022-final-oct6.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19" Type="http://schemas.openxmlformats.org/officeDocument/2006/relationships/hyperlink" Target="https://www.alliantenergy.com/-/media/alliant/documents/cleanenergy/responsibility-report/eeiesgquantitativetemplate.xlsx" TargetMode="External"/><Relationship Id="rId31" Type="http://schemas.openxmlformats.org/officeDocument/2006/relationships/hyperlink" Target="https://aepsustainability.com/performance/report/docs/2022_AEP-Sustainability-Report.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4" Type="http://schemas.openxmlformats.org/officeDocument/2006/relationships/hyperlink" Target="https://www.eni.com/assets/documents/eng/reports/2021/Fact-Book-2021-eng.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8" Type="http://schemas.openxmlformats.org/officeDocument/2006/relationships/hyperlink" Target="https://www.rwe.com/-/media/RWE/documents/09-verantwortung-nachhaltigkeit/cr-berichte/EN/rwe-non-financial-report-2021.pdf" TargetMode="External"/><Relationship Id="rId3" Type="http://schemas.openxmlformats.org/officeDocument/2006/relationships/hyperlink" Target="https://www.aes.com/sites/default/files/2021-02/AES-2019-Sustainabilit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7"/>
  <sheetViews>
    <sheetView topLeftCell="A54" zoomScaleNormal="100" workbookViewId="0">
      <selection activeCell="A57" sqref="A57:XFD57"/>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row>
    <row r="2" spans="1:16">
      <c r="A2" s="62" t="s">
        <v>49</v>
      </c>
      <c r="B2" s="62" t="s">
        <v>50</v>
      </c>
      <c r="C2" s="62" t="s">
        <v>51</v>
      </c>
      <c r="D2" t="s">
        <v>52</v>
      </c>
      <c r="E2" s="66"/>
      <c r="F2" t="s">
        <v>53</v>
      </c>
      <c r="G2" t="s">
        <v>54</v>
      </c>
      <c r="H2" t="s">
        <v>55</v>
      </c>
      <c r="J2">
        <v>1</v>
      </c>
      <c r="K2" s="67">
        <v>44196</v>
      </c>
      <c r="L2">
        <v>9420000000</v>
      </c>
      <c r="M2">
        <v>10189000000</v>
      </c>
      <c r="N2">
        <v>8652000000</v>
      </c>
      <c r="O2">
        <v>9681000000</v>
      </c>
      <c r="P2">
        <v>33648000000</v>
      </c>
    </row>
    <row r="3" spans="1:16">
      <c r="A3" s="62" t="s">
        <v>531</v>
      </c>
      <c r="B3" s="62" t="s">
        <v>532</v>
      </c>
      <c r="C3" s="62" t="s">
        <v>533</v>
      </c>
      <c r="D3" t="s">
        <v>86</v>
      </c>
      <c r="E3" s="66"/>
      <c r="F3" t="s">
        <v>94</v>
      </c>
      <c r="G3" t="s">
        <v>54</v>
      </c>
      <c r="H3" t="s">
        <v>55</v>
      </c>
      <c r="J3">
        <v>1</v>
      </c>
      <c r="K3" s="67">
        <v>44561</v>
      </c>
      <c r="L3" s="4">
        <v>27350000000</v>
      </c>
      <c r="M3" s="4">
        <v>29017000000</v>
      </c>
      <c r="N3" s="4">
        <v>16000000000</v>
      </c>
      <c r="O3" s="4">
        <f>N3+16404000000</f>
        <v>32404000000</v>
      </c>
      <c r="P3" s="4">
        <v>168366000000</v>
      </c>
    </row>
    <row r="4" spans="1:16">
      <c r="A4" s="62" t="s">
        <v>534</v>
      </c>
      <c r="B4" s="62" t="s">
        <v>536</v>
      </c>
      <c r="C4" s="62" t="s">
        <v>535</v>
      </c>
      <c r="D4" t="s">
        <v>131</v>
      </c>
      <c r="E4" s="66"/>
      <c r="F4" t="s">
        <v>94</v>
      </c>
      <c r="G4" t="s">
        <v>54</v>
      </c>
      <c r="H4" t="s">
        <v>55</v>
      </c>
      <c r="J4">
        <v>1</v>
      </c>
      <c r="K4" s="67">
        <v>44561</v>
      </c>
      <c r="L4" s="4">
        <v>131650000000</v>
      </c>
      <c r="M4" s="4">
        <v>205860000000</v>
      </c>
      <c r="N4" s="4">
        <v>140400000000</v>
      </c>
      <c r="O4" s="4">
        <f>N4+33657000000</f>
        <v>174057000000</v>
      </c>
      <c r="P4" s="4">
        <v>293460000000</v>
      </c>
    </row>
    <row r="5" spans="1:16">
      <c r="A5" s="62" t="s">
        <v>563</v>
      </c>
      <c r="B5" s="62" t="s">
        <v>537</v>
      </c>
      <c r="C5" s="62" t="s">
        <v>538</v>
      </c>
      <c r="D5" t="s">
        <v>541</v>
      </c>
      <c r="E5" s="66"/>
      <c r="F5" t="s">
        <v>94</v>
      </c>
      <c r="G5" t="s">
        <v>54</v>
      </c>
      <c r="H5" t="s">
        <v>617</v>
      </c>
      <c r="I5" t="s">
        <v>55</v>
      </c>
      <c r="J5">
        <v>1183000</v>
      </c>
      <c r="K5" s="67">
        <v>44561</v>
      </c>
      <c r="L5" s="4">
        <v>44519</v>
      </c>
      <c r="M5" s="4">
        <v>76575</v>
      </c>
      <c r="N5" s="4">
        <f>L5+18576</f>
        <v>63095</v>
      </c>
      <c r="O5" s="4">
        <f>N5+18230</f>
        <v>81325</v>
      </c>
      <c r="P5" s="4">
        <v>160113</v>
      </c>
    </row>
    <row r="6" spans="1:16">
      <c r="A6" s="62" t="s">
        <v>560</v>
      </c>
      <c r="B6" s="62" t="s">
        <v>537</v>
      </c>
      <c r="C6" s="62" t="s">
        <v>558</v>
      </c>
      <c r="D6" t="s">
        <v>541</v>
      </c>
      <c r="E6" s="66"/>
      <c r="F6" t="s">
        <v>94</v>
      </c>
      <c r="G6" t="s">
        <v>54</v>
      </c>
      <c r="H6" t="s">
        <v>617</v>
      </c>
      <c r="I6" t="s">
        <v>55</v>
      </c>
      <c r="J6">
        <v>1183000</v>
      </c>
      <c r="K6" s="67">
        <v>44561</v>
      </c>
      <c r="L6" s="54">
        <v>44519</v>
      </c>
      <c r="M6" s="4">
        <v>21742</v>
      </c>
      <c r="N6" s="54">
        <f>M6*2.23</f>
        <v>48484.659999999996</v>
      </c>
      <c r="O6" s="54">
        <f>N6+100</f>
        <v>48584.659999999996</v>
      </c>
      <c r="P6" s="54">
        <v>48014</v>
      </c>
    </row>
    <row r="7" spans="1:16">
      <c r="A7" s="62" t="s">
        <v>553</v>
      </c>
      <c r="B7" s="62" t="s">
        <v>537</v>
      </c>
      <c r="C7" s="62" t="s">
        <v>557</v>
      </c>
      <c r="D7" t="s">
        <v>541</v>
      </c>
      <c r="E7" s="66"/>
      <c r="F7" t="s">
        <v>94</v>
      </c>
      <c r="G7" t="s">
        <v>54</v>
      </c>
      <c r="H7" t="s">
        <v>617</v>
      </c>
      <c r="I7" t="s">
        <v>55</v>
      </c>
      <c r="J7">
        <v>1183000</v>
      </c>
      <c r="K7" s="67">
        <v>44561</v>
      </c>
      <c r="L7" s="54">
        <v>44519</v>
      </c>
      <c r="M7" s="4">
        <v>20843</v>
      </c>
      <c r="N7" s="54">
        <f>M7*2.23</f>
        <v>46479.89</v>
      </c>
      <c r="O7" s="54">
        <f>N7+100</f>
        <v>46579.89</v>
      </c>
      <c r="P7" s="54">
        <v>-823</v>
      </c>
    </row>
    <row r="8" spans="1:16">
      <c r="A8" s="62" t="s">
        <v>554</v>
      </c>
      <c r="B8" s="62" t="s">
        <v>537</v>
      </c>
      <c r="C8" s="62" t="s">
        <v>561</v>
      </c>
      <c r="D8" t="s">
        <v>541</v>
      </c>
      <c r="E8" s="66"/>
      <c r="F8" t="s">
        <v>562</v>
      </c>
      <c r="G8" t="s">
        <v>54</v>
      </c>
      <c r="H8" t="s">
        <v>617</v>
      </c>
      <c r="I8" t="s">
        <v>55</v>
      </c>
      <c r="J8">
        <v>1183000</v>
      </c>
      <c r="K8" s="67">
        <v>44561</v>
      </c>
      <c r="L8" s="54">
        <v>44519</v>
      </c>
      <c r="M8" s="4">
        <v>40374</v>
      </c>
      <c r="N8" s="54">
        <f>M8*2.23</f>
        <v>90034.02</v>
      </c>
      <c r="O8" s="54">
        <f>N8+100</f>
        <v>90134.02</v>
      </c>
      <c r="P8" s="54">
        <v>9815</v>
      </c>
    </row>
    <row r="9" spans="1:16">
      <c r="A9" s="62" t="s">
        <v>555</v>
      </c>
      <c r="B9" s="62" t="s">
        <v>556</v>
      </c>
      <c r="C9" s="62" t="s">
        <v>559</v>
      </c>
      <c r="D9" t="s">
        <v>541</v>
      </c>
      <c r="E9" s="66"/>
      <c r="F9" t="s">
        <v>53</v>
      </c>
      <c r="G9" t="s">
        <v>54</v>
      </c>
      <c r="H9" t="s">
        <v>617</v>
      </c>
      <c r="I9" t="s">
        <v>55</v>
      </c>
      <c r="J9">
        <v>1183000</v>
      </c>
      <c r="K9" s="67">
        <v>44561</v>
      </c>
      <c r="L9" s="54">
        <v>44100</v>
      </c>
      <c r="M9" s="4">
        <v>11187</v>
      </c>
      <c r="N9" s="54">
        <f>M9*2.23</f>
        <v>24947.01</v>
      </c>
      <c r="O9" s="54">
        <f>N9+100</f>
        <v>25047.01</v>
      </c>
      <c r="P9" s="54">
        <v>5474</v>
      </c>
    </row>
    <row r="10" spans="1:16">
      <c r="A10" s="62" t="s">
        <v>576</v>
      </c>
      <c r="B10" s="62" t="s">
        <v>540</v>
      </c>
      <c r="C10" s="62" t="s">
        <v>539</v>
      </c>
      <c r="D10" s="90" t="s">
        <v>52</v>
      </c>
      <c r="E10" s="66"/>
      <c r="F10" t="s">
        <v>94</v>
      </c>
      <c r="G10" t="s">
        <v>54</v>
      </c>
      <c r="H10" t="s">
        <v>55</v>
      </c>
      <c r="J10">
        <v>1</v>
      </c>
      <c r="K10" s="67">
        <v>44561</v>
      </c>
      <c r="L10" s="4">
        <v>27070000000</v>
      </c>
      <c r="M10" s="4">
        <v>25956000000</v>
      </c>
      <c r="N10">
        <f>72945000000</f>
        <v>72945000000</v>
      </c>
      <c r="O10">
        <f>N10+2788000000</f>
        <v>75733000000</v>
      </c>
      <c r="P10" s="4">
        <v>75036000000</v>
      </c>
    </row>
    <row r="11" spans="1:16">
      <c r="A11" s="62" t="s">
        <v>577</v>
      </c>
      <c r="B11" s="62" t="s">
        <v>540</v>
      </c>
      <c r="C11" s="62" t="s">
        <v>621</v>
      </c>
      <c r="D11" s="90" t="s">
        <v>52</v>
      </c>
      <c r="E11" s="66"/>
      <c r="F11" t="s">
        <v>94</v>
      </c>
      <c r="G11" t="s">
        <v>54</v>
      </c>
      <c r="H11" t="s">
        <v>55</v>
      </c>
      <c r="J11">
        <v>1</v>
      </c>
      <c r="K11" s="67">
        <v>44561</v>
      </c>
      <c r="L11" s="4">
        <v>27070000000</v>
      </c>
      <c r="M11" s="4">
        <v>25956000000</v>
      </c>
      <c r="N11">
        <f>72945000000</f>
        <v>72945000000</v>
      </c>
      <c r="O11">
        <f>N11+2788000000</f>
        <v>75733000000</v>
      </c>
      <c r="P11" s="4">
        <v>75036000000</v>
      </c>
    </row>
    <row r="12" spans="1:16">
      <c r="A12" s="62" t="s">
        <v>580</v>
      </c>
      <c r="B12" s="62" t="s">
        <v>540</v>
      </c>
      <c r="C12" s="62" t="s">
        <v>622</v>
      </c>
      <c r="D12" s="90" t="s">
        <v>52</v>
      </c>
      <c r="E12" s="66"/>
      <c r="F12" t="s">
        <v>562</v>
      </c>
      <c r="G12" t="s">
        <v>54</v>
      </c>
      <c r="H12" t="s">
        <v>55</v>
      </c>
      <c r="J12">
        <v>1</v>
      </c>
      <c r="K12" s="67">
        <v>44561</v>
      </c>
      <c r="L12" s="4">
        <v>27070000000</v>
      </c>
      <c r="M12" s="4">
        <v>25956000000</v>
      </c>
      <c r="N12">
        <f>72945000000</f>
        <v>72945000000</v>
      </c>
      <c r="O12">
        <f>N12+2788000000</f>
        <v>75733000000</v>
      </c>
      <c r="P12" s="4">
        <v>75036000000</v>
      </c>
    </row>
    <row r="13" spans="1:16">
      <c r="A13" s="62" t="s">
        <v>58</v>
      </c>
      <c r="B13" s="62" t="s">
        <v>59</v>
      </c>
      <c r="C13" s="62" t="s">
        <v>60</v>
      </c>
      <c r="D13" t="s">
        <v>52</v>
      </c>
      <c r="E13" s="66" t="s">
        <v>61</v>
      </c>
      <c r="F13" t="s">
        <v>53</v>
      </c>
      <c r="G13" t="s">
        <v>54</v>
      </c>
      <c r="H13" t="s">
        <v>55</v>
      </c>
      <c r="J13">
        <v>1</v>
      </c>
      <c r="K13" s="67">
        <v>43830</v>
      </c>
      <c r="L13">
        <v>4285299935</v>
      </c>
      <c r="M13">
        <v>1240500000</v>
      </c>
      <c r="N13">
        <v>5829799935</v>
      </c>
      <c r="O13">
        <v>5899099935</v>
      </c>
      <c r="P13">
        <v>5482800000</v>
      </c>
    </row>
    <row r="14" spans="1:16">
      <c r="A14" s="62" t="s">
        <v>64</v>
      </c>
      <c r="B14" s="62" t="s">
        <v>65</v>
      </c>
      <c r="C14" s="62" t="s">
        <v>66</v>
      </c>
      <c r="D14" t="s">
        <v>52</v>
      </c>
      <c r="E14" s="66" t="s">
        <v>61</v>
      </c>
      <c r="F14" t="s">
        <v>53</v>
      </c>
      <c r="G14" t="s">
        <v>54</v>
      </c>
      <c r="H14" t="s">
        <v>55</v>
      </c>
      <c r="J14">
        <v>1</v>
      </c>
      <c r="K14" s="67">
        <v>43830</v>
      </c>
      <c r="L14">
        <v>11600000000</v>
      </c>
      <c r="M14">
        <v>3647700000</v>
      </c>
      <c r="N14">
        <v>18503600000</v>
      </c>
      <c r="O14">
        <v>18519900000</v>
      </c>
      <c r="P14">
        <v>16700700000</v>
      </c>
    </row>
    <row r="15" spans="1:16">
      <c r="A15" s="62" t="s">
        <v>67</v>
      </c>
      <c r="B15" s="62" t="s">
        <v>68</v>
      </c>
      <c r="C15" s="62" t="s">
        <v>69</v>
      </c>
      <c r="D15" t="s">
        <v>52</v>
      </c>
      <c r="E15" s="66" t="s">
        <v>61</v>
      </c>
      <c r="F15" t="s">
        <v>53</v>
      </c>
      <c r="G15" t="s">
        <v>54</v>
      </c>
      <c r="H15" t="s">
        <v>55</v>
      </c>
      <c r="J15">
        <v>1</v>
      </c>
      <c r="K15" s="67">
        <v>43830</v>
      </c>
      <c r="L15">
        <v>18378774986</v>
      </c>
      <c r="M15">
        <v>5910000000</v>
      </c>
      <c r="N15">
        <v>27804774986</v>
      </c>
      <c r="O15">
        <v>27820774986</v>
      </c>
      <c r="P15">
        <v>28933000000</v>
      </c>
    </row>
    <row r="16" spans="1:16">
      <c r="A16" s="62" t="s">
        <v>70</v>
      </c>
      <c r="B16" s="62" t="s">
        <v>71</v>
      </c>
      <c r="C16" s="62" t="s">
        <v>72</v>
      </c>
      <c r="D16" t="s">
        <v>52</v>
      </c>
      <c r="E16" s="66" t="s">
        <v>61</v>
      </c>
      <c r="F16" t="s">
        <v>53</v>
      </c>
      <c r="G16" t="s">
        <v>54</v>
      </c>
      <c r="H16" t="s">
        <v>55</v>
      </c>
      <c r="J16">
        <v>1</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J17">
        <v>1</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J18">
        <v>1</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J19">
        <v>1</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J20">
        <v>1</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J21">
        <v>1</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J22">
        <v>1</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J23">
        <v>1</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J24">
        <v>1</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J25">
        <v>1</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J26">
        <v>1</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J27">
        <v>1</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J28">
        <v>1</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J29">
        <v>1</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J30">
        <v>1</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J31">
        <v>1</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J32">
        <v>1</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J33">
        <v>1</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J34">
        <v>1</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J35">
        <v>1</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J36">
        <v>1</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J37">
        <v>1</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J38">
        <v>1</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J39">
        <v>1</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J40">
        <v>1</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J41">
        <v>1</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J42">
        <v>1</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J43">
        <v>1</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J44">
        <v>1</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J45">
        <v>1</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J46">
        <v>1</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J47">
        <v>1</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J48">
        <v>1</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J49">
        <v>1</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J50">
        <v>1</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J51">
        <v>1</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J52">
        <v>1</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J53">
        <v>1</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J54">
        <v>1</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J55">
        <v>1</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J56">
        <v>1</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J57">
        <v>1</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J58">
        <v>1</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J59">
        <v>1</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J60">
        <v>1</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J61">
        <v>1</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J62">
        <v>1</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J63">
        <v>1</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J64">
        <v>1</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J65">
        <v>1</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J66">
        <v>1</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J67">
        <v>1</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J68">
        <v>1</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J69">
        <v>1</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J70">
        <v>1</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J71">
        <v>1</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J72">
        <v>1</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J73">
        <v>1</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J74">
        <v>1</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J75">
        <v>1</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J76">
        <v>1</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J77">
        <v>1</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J78">
        <v>1</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J79">
        <v>1</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J80">
        <v>1</v>
      </c>
      <c r="K80" s="67">
        <v>44561</v>
      </c>
      <c r="L80">
        <v>34359400000</v>
      </c>
      <c r="M80">
        <v>4776600000</v>
      </c>
      <c r="N80">
        <v>37551600000</v>
      </c>
      <c r="O80">
        <v>37870200000</v>
      </c>
      <c r="P80">
        <v>17111600000</v>
      </c>
    </row>
    <row r="81" spans="1:16">
      <c r="A81" s="62" t="s">
        <v>297</v>
      </c>
      <c r="B81" s="62" t="s">
        <v>298</v>
      </c>
      <c r="C81" s="62" t="s">
        <v>299</v>
      </c>
      <c r="D81" t="s">
        <v>166</v>
      </c>
      <c r="E81" s="66" t="s">
        <v>61</v>
      </c>
      <c r="F81" t="s">
        <v>53</v>
      </c>
      <c r="G81" t="s">
        <v>54</v>
      </c>
      <c r="H81" t="s">
        <v>55</v>
      </c>
      <c r="J81">
        <v>1</v>
      </c>
      <c r="K81" s="67">
        <v>43830</v>
      </c>
      <c r="L81">
        <v>34359400000</v>
      </c>
      <c r="M81">
        <v>4691120536.8652601</v>
      </c>
      <c r="N81">
        <v>37551600000</v>
      </c>
      <c r="O81">
        <v>37870200000</v>
      </c>
      <c r="P81">
        <v>24443570632.443699</v>
      </c>
    </row>
    <row r="82" spans="1:16">
      <c r="A82" s="62" t="s">
        <v>300</v>
      </c>
      <c r="B82" s="62" t="s">
        <v>301</v>
      </c>
      <c r="C82" s="62" t="s">
        <v>302</v>
      </c>
      <c r="D82" t="s">
        <v>52</v>
      </c>
      <c r="E82" s="66" t="s">
        <v>61</v>
      </c>
      <c r="F82" t="s">
        <v>53</v>
      </c>
      <c r="G82" t="s">
        <v>54</v>
      </c>
      <c r="H82" t="s">
        <v>55</v>
      </c>
      <c r="J82">
        <v>1</v>
      </c>
      <c r="K82" s="67">
        <v>44561</v>
      </c>
      <c r="L82">
        <v>10980000000</v>
      </c>
      <c r="M82">
        <v>12100000000</v>
      </c>
      <c r="N82">
        <v>24980000000</v>
      </c>
      <c r="O82">
        <v>26890000000</v>
      </c>
      <c r="P82">
        <v>29683000000</v>
      </c>
    </row>
    <row r="83" spans="1:16">
      <c r="A83" s="62" t="s">
        <v>303</v>
      </c>
      <c r="B83" s="62" t="s">
        <v>304</v>
      </c>
      <c r="C83" s="62" t="s">
        <v>305</v>
      </c>
      <c r="D83" t="s">
        <v>52</v>
      </c>
      <c r="E83" s="66" t="s">
        <v>61</v>
      </c>
      <c r="F83" t="s">
        <v>53</v>
      </c>
      <c r="G83" t="s">
        <v>54</v>
      </c>
      <c r="H83" t="s">
        <v>55</v>
      </c>
      <c r="J83">
        <v>1</v>
      </c>
      <c r="K83" s="67">
        <v>43830</v>
      </c>
      <c r="L83">
        <v>26300000000</v>
      </c>
      <c r="M83">
        <v>7523100000</v>
      </c>
      <c r="N83">
        <v>38120800000</v>
      </c>
      <c r="O83">
        <v>38158300000</v>
      </c>
      <c r="P83">
        <v>34951800000</v>
      </c>
    </row>
    <row r="84" spans="1:16">
      <c r="A84" s="62" t="s">
        <v>306</v>
      </c>
      <c r="B84" s="62" t="s">
        <v>307</v>
      </c>
      <c r="C84" s="62" t="s">
        <v>308</v>
      </c>
      <c r="D84" t="s">
        <v>52</v>
      </c>
      <c r="E84" s="66" t="s">
        <v>61</v>
      </c>
      <c r="F84" t="s">
        <v>99</v>
      </c>
      <c r="G84" t="s">
        <v>54</v>
      </c>
      <c r="H84" t="s">
        <v>55</v>
      </c>
      <c r="J84">
        <v>1</v>
      </c>
      <c r="K84" s="67">
        <v>43830</v>
      </c>
      <c r="L84">
        <v>1633376617</v>
      </c>
      <c r="M84">
        <v>3759556000</v>
      </c>
      <c r="N84">
        <v>2294113617</v>
      </c>
      <c r="O84">
        <v>2386476617</v>
      </c>
      <c r="P84">
        <v>2510796000</v>
      </c>
    </row>
    <row r="85" spans="1:16">
      <c r="A85" s="62" t="s">
        <v>309</v>
      </c>
      <c r="B85" s="62" t="s">
        <v>310</v>
      </c>
      <c r="C85" s="62" t="s">
        <v>311</v>
      </c>
      <c r="D85" t="s">
        <v>52</v>
      </c>
      <c r="E85" s="66" t="s">
        <v>61</v>
      </c>
      <c r="F85" t="s">
        <v>53</v>
      </c>
      <c r="G85" t="s">
        <v>54</v>
      </c>
      <c r="H85" t="s">
        <v>55</v>
      </c>
      <c r="J85">
        <v>1</v>
      </c>
      <c r="K85" s="67">
        <v>43830</v>
      </c>
      <c r="L85">
        <v>30629347167</v>
      </c>
      <c r="M85">
        <v>11529000000</v>
      </c>
      <c r="N85">
        <v>50608347167</v>
      </c>
      <c r="O85">
        <v>50856347167</v>
      </c>
      <c r="P85">
        <v>50448000000</v>
      </c>
    </row>
    <row r="86" spans="1:16">
      <c r="A86" s="62" t="s">
        <v>312</v>
      </c>
      <c r="B86" s="62" t="s">
        <v>313</v>
      </c>
      <c r="C86" s="62" t="s">
        <v>314</v>
      </c>
      <c r="D86" t="s">
        <v>92</v>
      </c>
      <c r="E86" s="66"/>
      <c r="F86" t="s">
        <v>315</v>
      </c>
      <c r="G86" t="s">
        <v>54</v>
      </c>
      <c r="H86" t="s">
        <v>55</v>
      </c>
      <c r="J86">
        <v>1</v>
      </c>
      <c r="K86" s="67">
        <v>44561</v>
      </c>
      <c r="L86">
        <v>2260000000</v>
      </c>
      <c r="M86">
        <v>9690000000</v>
      </c>
      <c r="N86">
        <v>1810000000</v>
      </c>
      <c r="O86">
        <v>2920000000</v>
      </c>
      <c r="P86">
        <v>4846000000</v>
      </c>
    </row>
    <row r="87" spans="1:16">
      <c r="A87" s="62" t="s">
        <v>316</v>
      </c>
      <c r="B87" s="62" t="s">
        <v>317</v>
      </c>
      <c r="C87" s="62" t="s">
        <v>318</v>
      </c>
      <c r="D87" t="s">
        <v>52</v>
      </c>
      <c r="E87" s="66"/>
      <c r="F87" t="s">
        <v>319</v>
      </c>
      <c r="G87" t="s">
        <v>54</v>
      </c>
      <c r="H87" t="s">
        <v>55</v>
      </c>
      <c r="J87">
        <v>1</v>
      </c>
      <c r="K87" s="67">
        <v>44561</v>
      </c>
      <c r="L87">
        <v>36310000000</v>
      </c>
      <c r="M87">
        <v>27740000000</v>
      </c>
      <c r="N87">
        <v>37840000000</v>
      </c>
      <c r="O87">
        <v>39030000000</v>
      </c>
      <c r="P87">
        <v>22073000000</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1"/>
  <sheetViews>
    <sheetView tabSelected="1" zoomScaleNormal="100" workbookViewId="0">
      <pane xSplit="1" ySplit="1" topLeftCell="B767" activePane="bottomRight" state="frozen"/>
      <selection pane="topRight" activeCell="B1" sqref="B1"/>
      <selection pane="bottomLeft" activeCell="A2" sqref="A2"/>
      <selection pane="bottomRight" activeCell="E782" sqref="E782"/>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5" width="14" customWidth="1"/>
    <col min="16" max="16" width="10.1640625" bestFit="1"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7" t="s">
        <v>49</v>
      </c>
      <c r="B2" s="107" t="s">
        <v>50</v>
      </c>
      <c r="C2" s="107" t="s">
        <v>51</v>
      </c>
      <c r="D2" s="68" t="s">
        <v>417</v>
      </c>
      <c r="G2" t="s">
        <v>433</v>
      </c>
      <c r="H2" s="67">
        <v>43523</v>
      </c>
      <c r="J2" s="73">
        <v>70457</v>
      </c>
      <c r="K2" s="74">
        <v>63497</v>
      </c>
      <c r="L2" s="83">
        <v>51878</v>
      </c>
      <c r="M2" s="74"/>
      <c r="N2" s="73"/>
      <c r="O2" s="74"/>
    </row>
    <row r="3" spans="1:16">
      <c r="A3" s="107"/>
      <c r="B3" s="107"/>
      <c r="C3" s="107"/>
      <c r="D3" s="68" t="s">
        <v>418</v>
      </c>
      <c r="E3" t="s">
        <v>419</v>
      </c>
      <c r="G3" t="s">
        <v>433</v>
      </c>
      <c r="H3" s="67">
        <v>43523</v>
      </c>
      <c r="J3" s="73">
        <v>306</v>
      </c>
      <c r="K3" s="74">
        <v>226</v>
      </c>
      <c r="L3" s="73">
        <v>360</v>
      </c>
      <c r="M3" s="74"/>
      <c r="N3" s="73"/>
      <c r="O3" s="74"/>
    </row>
    <row r="4" spans="1:16">
      <c r="A4" s="107"/>
      <c r="B4" s="107"/>
      <c r="C4" s="107"/>
      <c r="D4" s="68" t="s">
        <v>418</v>
      </c>
      <c r="E4" t="s">
        <v>426</v>
      </c>
      <c r="G4" t="s">
        <v>433</v>
      </c>
      <c r="H4" s="67">
        <v>43523</v>
      </c>
      <c r="J4" s="73">
        <v>309</v>
      </c>
      <c r="K4" s="74">
        <v>230</v>
      </c>
      <c r="L4" s="73">
        <v>362</v>
      </c>
      <c r="M4" s="74"/>
      <c r="N4" s="73"/>
      <c r="O4" s="74"/>
    </row>
    <row r="5" spans="1:16">
      <c r="A5" s="107"/>
      <c r="B5" s="107"/>
      <c r="C5" s="107"/>
      <c r="D5" s="68" t="s">
        <v>420</v>
      </c>
      <c r="E5" t="s">
        <v>419</v>
      </c>
      <c r="G5" t="s">
        <v>433</v>
      </c>
      <c r="H5" s="67">
        <v>43523</v>
      </c>
      <c r="J5" s="73">
        <f>J2+J3</f>
        <v>70763</v>
      </c>
      <c r="K5" s="74">
        <f>K2+K3</f>
        <v>63723</v>
      </c>
      <c r="L5" s="73">
        <f>L2+L3</f>
        <v>52238</v>
      </c>
      <c r="M5" s="74"/>
      <c r="N5" s="73"/>
      <c r="O5" s="74"/>
    </row>
    <row r="6" spans="1:16">
      <c r="A6" s="107"/>
      <c r="B6" s="107"/>
      <c r="C6" s="107"/>
      <c r="D6" s="77" t="s">
        <v>421</v>
      </c>
      <c r="E6" s="47" t="s">
        <v>422</v>
      </c>
      <c r="G6" t="s">
        <v>433</v>
      </c>
      <c r="H6" s="67">
        <v>43523</v>
      </c>
      <c r="J6" s="73">
        <f>J7+J8</f>
        <v>5865.8</v>
      </c>
      <c r="K6" s="74">
        <f t="shared" ref="K6" si="0">K7+K8</f>
        <v>15422</v>
      </c>
      <c r="L6" s="73">
        <f t="shared" ref="L6" si="1">L7+L8</f>
        <v>10894.3</v>
      </c>
      <c r="M6" s="74"/>
      <c r="N6" s="73"/>
      <c r="O6" s="74"/>
    </row>
    <row r="7" spans="1:16">
      <c r="A7" s="107"/>
      <c r="B7" s="107"/>
      <c r="C7" s="107"/>
      <c r="D7" s="68" t="s">
        <v>421</v>
      </c>
      <c r="E7">
        <v>3</v>
      </c>
      <c r="G7" t="s">
        <v>433</v>
      </c>
      <c r="H7" s="67">
        <v>43523</v>
      </c>
      <c r="J7" s="73">
        <v>5864</v>
      </c>
      <c r="K7" s="74">
        <v>15421</v>
      </c>
      <c r="L7" s="73">
        <v>10893</v>
      </c>
      <c r="M7" s="74"/>
      <c r="N7" s="73"/>
      <c r="O7" s="74"/>
    </row>
    <row r="8" spans="1:16">
      <c r="A8" s="107"/>
      <c r="B8" s="107"/>
      <c r="C8" s="107"/>
      <c r="D8" s="68" t="s">
        <v>421</v>
      </c>
      <c r="E8">
        <v>6</v>
      </c>
      <c r="G8" t="s">
        <v>433</v>
      </c>
      <c r="H8" s="67">
        <v>43523</v>
      </c>
      <c r="J8" s="73">
        <v>1.8</v>
      </c>
      <c r="K8" s="74">
        <v>1</v>
      </c>
      <c r="L8" s="73">
        <v>1.3</v>
      </c>
      <c r="M8" s="74"/>
      <c r="N8" s="73"/>
      <c r="O8" s="74"/>
    </row>
    <row r="9" spans="1:16">
      <c r="A9" s="107"/>
      <c r="B9" s="107"/>
      <c r="C9" s="107"/>
      <c r="D9" s="68" t="s">
        <v>423</v>
      </c>
      <c r="F9" t="s">
        <v>54</v>
      </c>
      <c r="G9" t="s">
        <v>57</v>
      </c>
      <c r="H9" s="67">
        <v>43523</v>
      </c>
      <c r="J9" s="73"/>
      <c r="K9" s="74"/>
      <c r="L9" s="83">
        <v>81670.055999999997</v>
      </c>
      <c r="M9" s="74"/>
      <c r="N9" s="73"/>
      <c r="O9" s="74"/>
    </row>
    <row r="10" spans="1:16">
      <c r="A10" s="107"/>
      <c r="B10" s="107"/>
      <c r="C10" s="107"/>
      <c r="D10" s="68" t="s">
        <v>424</v>
      </c>
      <c r="H10" s="67">
        <v>43523</v>
      </c>
      <c r="J10" s="73"/>
      <c r="K10" s="74"/>
      <c r="L10" s="75" t="s">
        <v>432</v>
      </c>
      <c r="M10" s="74"/>
      <c r="N10" s="74"/>
      <c r="O10" s="74"/>
    </row>
    <row r="11" spans="1:16">
      <c r="A11" s="107" t="s">
        <v>49</v>
      </c>
      <c r="B11" s="107" t="s">
        <v>50</v>
      </c>
      <c r="C11" s="107" t="s">
        <v>51</v>
      </c>
      <c r="D11" s="68" t="s">
        <v>417</v>
      </c>
      <c r="G11" t="s">
        <v>433</v>
      </c>
      <c r="H11" s="67">
        <v>43888</v>
      </c>
      <c r="J11" s="73">
        <v>70457</v>
      </c>
      <c r="K11" s="74">
        <v>64527</v>
      </c>
      <c r="L11" s="83">
        <v>54154</v>
      </c>
      <c r="M11" s="84">
        <v>49092</v>
      </c>
      <c r="N11" s="73"/>
      <c r="O11" s="74"/>
    </row>
    <row r="12" spans="1:16">
      <c r="A12" s="107"/>
      <c r="B12" s="107"/>
      <c r="C12" s="107"/>
      <c r="D12" s="68" t="s">
        <v>418</v>
      </c>
      <c r="E12" t="s">
        <v>419</v>
      </c>
      <c r="G12" t="s">
        <v>433</v>
      </c>
      <c r="H12" s="67">
        <v>43888</v>
      </c>
      <c r="J12" s="73">
        <v>306</v>
      </c>
      <c r="K12" s="84">
        <v>226</v>
      </c>
      <c r="L12" s="84">
        <v>360</v>
      </c>
      <c r="M12" s="84">
        <v>359</v>
      </c>
      <c r="N12" s="73"/>
      <c r="O12" s="74"/>
    </row>
    <row r="13" spans="1:16">
      <c r="A13" s="107"/>
      <c r="B13" s="107"/>
      <c r="C13" s="107"/>
      <c r="D13" s="68" t="s">
        <v>418</v>
      </c>
      <c r="E13" t="s">
        <v>426</v>
      </c>
      <c r="G13" t="s">
        <v>433</v>
      </c>
      <c r="H13" s="67">
        <v>43888</v>
      </c>
      <c r="J13" s="73">
        <v>309</v>
      </c>
      <c r="K13" s="84">
        <v>230</v>
      </c>
      <c r="L13" s="84">
        <v>362</v>
      </c>
      <c r="M13" s="84">
        <v>360</v>
      </c>
      <c r="N13" s="73"/>
      <c r="O13" s="74"/>
    </row>
    <row r="14" spans="1:16">
      <c r="A14" s="107"/>
      <c r="B14" s="107"/>
      <c r="C14" s="107"/>
      <c r="D14" s="68" t="s">
        <v>420</v>
      </c>
      <c r="E14" t="s">
        <v>419</v>
      </c>
      <c r="G14" t="s">
        <v>433</v>
      </c>
      <c r="H14" s="67">
        <v>43888</v>
      </c>
      <c r="J14" s="73">
        <f>J11+J12</f>
        <v>70763</v>
      </c>
      <c r="K14" s="74">
        <f>K11+K12</f>
        <v>64753</v>
      </c>
      <c r="L14" s="73">
        <f>L11+L12</f>
        <v>54514</v>
      </c>
      <c r="M14" s="74">
        <f>M11+M12</f>
        <v>49451</v>
      </c>
      <c r="N14" s="73"/>
      <c r="O14" s="74"/>
    </row>
    <row r="15" spans="1:16">
      <c r="A15" s="107"/>
      <c r="B15" s="107"/>
      <c r="C15" s="107"/>
      <c r="D15" s="77" t="s">
        <v>421</v>
      </c>
      <c r="E15" s="47" t="s">
        <v>449</v>
      </c>
      <c r="G15" t="s">
        <v>433</v>
      </c>
      <c r="H15" s="67">
        <v>43888</v>
      </c>
      <c r="J15" s="73">
        <f>J16+J17</f>
        <v>5865.8</v>
      </c>
      <c r="K15" s="84">
        <f t="shared" ref="K15:M15" si="2">K16+K17</f>
        <v>15422</v>
      </c>
      <c r="L15" s="73">
        <f t="shared" si="2"/>
        <v>10894.3</v>
      </c>
      <c r="M15" s="84">
        <f t="shared" si="2"/>
        <v>10139.200000000001</v>
      </c>
      <c r="N15" s="73"/>
      <c r="O15" s="74"/>
    </row>
    <row r="16" spans="1:16">
      <c r="A16" s="107"/>
      <c r="B16" s="107"/>
      <c r="C16" s="107"/>
      <c r="D16" s="68" t="s">
        <v>421</v>
      </c>
      <c r="E16">
        <v>3</v>
      </c>
      <c r="G16" t="s">
        <v>433</v>
      </c>
      <c r="H16" s="67">
        <v>43888</v>
      </c>
      <c r="J16" s="73">
        <v>5864</v>
      </c>
      <c r="K16" s="84">
        <v>15421</v>
      </c>
      <c r="L16" s="73">
        <v>10893</v>
      </c>
      <c r="M16" s="84">
        <v>10138</v>
      </c>
      <c r="N16" s="73"/>
      <c r="O16" s="74"/>
    </row>
    <row r="17" spans="1:15">
      <c r="A17" s="107"/>
      <c r="B17" s="107"/>
      <c r="C17" s="107"/>
      <c r="D17" s="68" t="s">
        <v>421</v>
      </c>
      <c r="E17">
        <v>6</v>
      </c>
      <c r="G17" t="s">
        <v>433</v>
      </c>
      <c r="H17" s="67">
        <v>43888</v>
      </c>
      <c r="J17" s="73">
        <v>1.8</v>
      </c>
      <c r="K17" s="84">
        <v>1</v>
      </c>
      <c r="L17" s="73">
        <v>1.3</v>
      </c>
      <c r="M17" s="74">
        <v>1.2</v>
      </c>
      <c r="N17" s="73"/>
      <c r="O17" s="74"/>
    </row>
    <row r="18" spans="1:15">
      <c r="A18" s="107"/>
      <c r="B18" s="107"/>
      <c r="C18" s="107"/>
      <c r="D18" s="68" t="s">
        <v>423</v>
      </c>
      <c r="F18" t="s">
        <v>54</v>
      </c>
      <c r="G18" t="s">
        <v>57</v>
      </c>
      <c r="H18" s="67">
        <v>43888</v>
      </c>
      <c r="J18" s="73"/>
      <c r="K18" s="74"/>
      <c r="L18" s="83">
        <v>81694.925000000003</v>
      </c>
      <c r="M18" s="84">
        <v>75140.111000000004</v>
      </c>
      <c r="N18" s="73"/>
      <c r="O18" s="74"/>
    </row>
    <row r="19" spans="1:15">
      <c r="A19" s="107"/>
      <c r="B19" s="107"/>
      <c r="C19" s="107"/>
      <c r="D19" s="68" t="s">
        <v>423</v>
      </c>
      <c r="F19" t="s">
        <v>427</v>
      </c>
      <c r="G19" t="s">
        <v>57</v>
      </c>
      <c r="H19" s="67">
        <v>43888</v>
      </c>
      <c r="J19" s="73"/>
      <c r="K19" s="74"/>
      <c r="L19" s="73">
        <v>139311.10500000001</v>
      </c>
      <c r="M19" s="74">
        <v>132341.18400000001</v>
      </c>
      <c r="N19" s="73"/>
      <c r="O19" s="74"/>
    </row>
    <row r="20" spans="1:15">
      <c r="A20" s="107"/>
      <c r="B20" s="107"/>
      <c r="C20" s="107"/>
      <c r="D20" s="68" t="s">
        <v>424</v>
      </c>
      <c r="H20" s="67">
        <v>43888</v>
      </c>
      <c r="J20" s="73"/>
      <c r="K20" s="74"/>
      <c r="L20" s="73"/>
      <c r="M20" s="76" t="s">
        <v>431</v>
      </c>
      <c r="N20" s="74"/>
      <c r="O20" s="74"/>
    </row>
    <row r="21" spans="1:15">
      <c r="A21" s="107" t="s">
        <v>49</v>
      </c>
      <c r="B21" s="107" t="s">
        <v>50</v>
      </c>
      <c r="C21" s="107" t="s">
        <v>51</v>
      </c>
      <c r="D21" s="68" t="s">
        <v>417</v>
      </c>
      <c r="G21" t="s">
        <v>433</v>
      </c>
      <c r="H21" s="67">
        <v>44440</v>
      </c>
      <c r="J21" s="73"/>
      <c r="K21" s="74">
        <v>59804</v>
      </c>
      <c r="L21" s="73">
        <v>50291</v>
      </c>
      <c r="M21" s="84">
        <v>45611</v>
      </c>
      <c r="N21" s="73">
        <v>42961</v>
      </c>
      <c r="O21" s="74"/>
    </row>
    <row r="22" spans="1:15">
      <c r="A22" s="107"/>
      <c r="B22" s="107"/>
      <c r="C22" s="107"/>
      <c r="D22" s="68" t="s">
        <v>418</v>
      </c>
      <c r="E22" t="s">
        <v>419</v>
      </c>
      <c r="G22" t="s">
        <v>433</v>
      </c>
      <c r="H22" s="67">
        <v>44440</v>
      </c>
      <c r="J22" s="73"/>
      <c r="K22" s="84">
        <v>220</v>
      </c>
      <c r="L22" s="84">
        <v>314</v>
      </c>
      <c r="M22" s="84">
        <v>324</v>
      </c>
      <c r="N22" s="73">
        <v>254</v>
      </c>
      <c r="O22" s="74"/>
    </row>
    <row r="23" spans="1:15">
      <c r="A23" s="107"/>
      <c r="B23" s="107"/>
      <c r="C23" s="107"/>
      <c r="D23" s="68" t="s">
        <v>418</v>
      </c>
      <c r="E23" t="s">
        <v>426</v>
      </c>
      <c r="G23" t="s">
        <v>433</v>
      </c>
      <c r="H23" s="67">
        <v>44440</v>
      </c>
      <c r="J23" s="73"/>
      <c r="K23" s="84">
        <v>228</v>
      </c>
      <c r="L23" s="84">
        <v>318</v>
      </c>
      <c r="M23" s="84">
        <v>328</v>
      </c>
      <c r="N23" s="73">
        <v>256</v>
      </c>
      <c r="O23" s="74"/>
    </row>
    <row r="24" spans="1:15">
      <c r="A24" s="107"/>
      <c r="B24" s="107"/>
      <c r="C24" s="107"/>
      <c r="D24" s="68" t="s">
        <v>420</v>
      </c>
      <c r="E24" t="s">
        <v>419</v>
      </c>
      <c r="G24" t="s">
        <v>433</v>
      </c>
      <c r="H24" s="67">
        <v>44440</v>
      </c>
      <c r="J24" s="73"/>
      <c r="K24" s="74">
        <f>K21+K22</f>
        <v>60024</v>
      </c>
      <c r="L24" s="73">
        <f t="shared" ref="L24:N24" si="3">L21+L22</f>
        <v>50605</v>
      </c>
      <c r="M24" s="74">
        <f t="shared" si="3"/>
        <v>45935</v>
      </c>
      <c r="N24" s="73">
        <f t="shared" si="3"/>
        <v>43215</v>
      </c>
      <c r="O24" s="74"/>
    </row>
    <row r="25" spans="1:15">
      <c r="A25" s="107"/>
      <c r="B25" s="107"/>
      <c r="C25" s="107"/>
      <c r="D25" s="77" t="s">
        <v>421</v>
      </c>
      <c r="E25" s="47" t="s">
        <v>450</v>
      </c>
      <c r="G25" t="s">
        <v>433</v>
      </c>
      <c r="H25" s="67">
        <v>44440</v>
      </c>
      <c r="J25" s="73"/>
      <c r="K25" s="84">
        <v>13871.8</v>
      </c>
      <c r="L25" s="73">
        <v>10071.1</v>
      </c>
      <c r="M25" s="84">
        <v>9973.2000000000007</v>
      </c>
      <c r="N25" s="73">
        <v>7269.2</v>
      </c>
      <c r="O25" s="74"/>
    </row>
    <row r="26" spans="1:15">
      <c r="A26" s="107"/>
      <c r="B26" s="107"/>
      <c r="C26" s="107"/>
      <c r="D26" s="68" t="s">
        <v>421</v>
      </c>
      <c r="E26">
        <v>3</v>
      </c>
      <c r="G26" t="s">
        <v>433</v>
      </c>
      <c r="H26" s="67">
        <v>44440</v>
      </c>
      <c r="J26" s="73"/>
      <c r="K26" s="84">
        <v>13871</v>
      </c>
      <c r="L26" s="73">
        <v>10070</v>
      </c>
      <c r="M26" s="84">
        <v>9972</v>
      </c>
      <c r="N26" s="73">
        <v>7269</v>
      </c>
      <c r="O26" s="74"/>
    </row>
    <row r="27" spans="1:15">
      <c r="A27" s="107"/>
      <c r="B27" s="107"/>
      <c r="C27" s="107"/>
      <c r="D27" s="68" t="s">
        <v>421</v>
      </c>
      <c r="E27">
        <v>6</v>
      </c>
      <c r="G27" t="s">
        <v>433</v>
      </c>
      <c r="H27" s="67">
        <v>44440</v>
      </c>
      <c r="J27" s="73"/>
      <c r="K27" s="84">
        <v>0.8</v>
      </c>
      <c r="L27" s="73">
        <v>1.1000000000000001</v>
      </c>
      <c r="M27" s="74">
        <v>1.2</v>
      </c>
      <c r="N27" s="73">
        <v>0.2</v>
      </c>
      <c r="O27" s="74"/>
    </row>
    <row r="28" spans="1:15">
      <c r="A28" s="107"/>
      <c r="B28" s="107"/>
      <c r="C28" s="107"/>
      <c r="D28" s="68" t="s">
        <v>423</v>
      </c>
      <c r="F28" t="s">
        <v>54</v>
      </c>
      <c r="G28" t="s">
        <v>57</v>
      </c>
      <c r="H28" s="67">
        <v>44440</v>
      </c>
      <c r="J28" s="73"/>
      <c r="K28" s="74"/>
      <c r="L28" s="85">
        <v>83985.94</v>
      </c>
      <c r="M28" s="84">
        <v>75043.539999999994</v>
      </c>
      <c r="N28" s="73">
        <v>75271.521999999997</v>
      </c>
      <c r="O28" s="74"/>
    </row>
    <row r="29" spans="1:15">
      <c r="A29" s="107"/>
      <c r="B29" s="107"/>
      <c r="C29" s="107"/>
      <c r="D29" s="68" t="s">
        <v>423</v>
      </c>
      <c r="F29" t="s">
        <v>427</v>
      </c>
      <c r="G29" t="s">
        <v>57</v>
      </c>
      <c r="H29" s="67">
        <v>44440</v>
      </c>
      <c r="J29" s="73"/>
      <c r="K29" s="74"/>
      <c r="L29" s="73">
        <v>130781.59</v>
      </c>
      <c r="M29" s="74">
        <v>120964.446</v>
      </c>
      <c r="N29" s="73">
        <v>115564.879</v>
      </c>
      <c r="O29" s="74"/>
    </row>
    <row r="30" spans="1:15">
      <c r="A30" s="107"/>
      <c r="B30" s="107"/>
      <c r="C30" s="107"/>
      <c r="D30" s="68" t="s">
        <v>424</v>
      </c>
      <c r="H30" s="67">
        <v>44440</v>
      </c>
      <c r="J30" s="73"/>
      <c r="K30" s="74"/>
      <c r="L30" s="73"/>
      <c r="M30" s="74"/>
      <c r="N30" s="75" t="s">
        <v>425</v>
      </c>
      <c r="O30" s="74"/>
    </row>
    <row r="31" spans="1:15">
      <c r="A31" s="107" t="s">
        <v>49</v>
      </c>
      <c r="B31" s="107" t="s">
        <v>50</v>
      </c>
      <c r="C31" s="107" t="s">
        <v>51</v>
      </c>
      <c r="D31" s="68" t="s">
        <v>417</v>
      </c>
      <c r="G31" t="s">
        <v>434</v>
      </c>
      <c r="H31" s="67">
        <v>44699</v>
      </c>
      <c r="J31" s="73"/>
      <c r="K31" s="74"/>
      <c r="L31" s="73"/>
      <c r="M31" s="74"/>
      <c r="N31" s="73"/>
      <c r="O31" s="74">
        <v>41202392</v>
      </c>
    </row>
    <row r="32" spans="1:15">
      <c r="A32" s="107"/>
      <c r="B32" s="107"/>
      <c r="C32" s="107"/>
      <c r="D32" s="68" t="s">
        <v>418</v>
      </c>
      <c r="E32" t="s">
        <v>419</v>
      </c>
      <c r="G32" t="s">
        <v>434</v>
      </c>
      <c r="H32" s="67">
        <v>44699</v>
      </c>
      <c r="J32" s="73"/>
      <c r="K32" s="74"/>
      <c r="L32" s="73"/>
      <c r="M32" s="74"/>
      <c r="N32" s="73"/>
      <c r="O32" s="74">
        <v>253302</v>
      </c>
    </row>
    <row r="33" spans="1:15">
      <c r="A33" s="107"/>
      <c r="B33" s="107"/>
      <c r="C33" s="107"/>
      <c r="D33" s="68" t="s">
        <v>418</v>
      </c>
      <c r="E33" t="s">
        <v>426</v>
      </c>
      <c r="G33" t="s">
        <v>434</v>
      </c>
      <c r="H33" s="67">
        <v>44699</v>
      </c>
      <c r="J33" s="73"/>
      <c r="K33" s="74"/>
      <c r="L33" s="73"/>
      <c r="M33" s="74"/>
      <c r="N33" s="73"/>
      <c r="O33" s="74">
        <v>253302</v>
      </c>
    </row>
    <row r="34" spans="1:15">
      <c r="A34" s="107"/>
      <c r="B34" s="107"/>
      <c r="C34" s="107"/>
      <c r="D34" s="68" t="s">
        <v>420</v>
      </c>
      <c r="E34" t="s">
        <v>419</v>
      </c>
      <c r="G34" t="s">
        <v>434</v>
      </c>
      <c r="H34" s="67">
        <v>44699</v>
      </c>
      <c r="J34" s="73"/>
      <c r="K34" s="74"/>
      <c r="L34" s="73"/>
      <c r="M34" s="74"/>
      <c r="N34" s="73"/>
      <c r="O34" s="74">
        <v>41455694</v>
      </c>
    </row>
    <row r="35" spans="1:15">
      <c r="A35" s="107"/>
      <c r="B35" s="107"/>
      <c r="C35" s="107"/>
      <c r="D35" s="77" t="s">
        <v>421</v>
      </c>
      <c r="E35" s="47"/>
      <c r="G35" t="s">
        <v>434</v>
      </c>
      <c r="H35" s="67">
        <v>44699</v>
      </c>
      <c r="J35" s="73"/>
      <c r="K35" s="74"/>
      <c r="L35" s="73"/>
      <c r="M35" s="74"/>
      <c r="N35" s="73"/>
      <c r="O35" s="74">
        <v>7351038</v>
      </c>
    </row>
    <row r="36" spans="1:15">
      <c r="A36" s="107"/>
      <c r="B36" s="107"/>
      <c r="C36" s="107"/>
      <c r="D36" s="68" t="s">
        <v>421</v>
      </c>
      <c r="E36">
        <v>3</v>
      </c>
      <c r="G36" t="s">
        <v>434</v>
      </c>
      <c r="H36" s="67">
        <v>44699</v>
      </c>
      <c r="J36" s="73"/>
      <c r="K36" s="74"/>
      <c r="L36" s="73"/>
      <c r="M36" s="74"/>
      <c r="N36" s="73"/>
      <c r="O36" s="74">
        <v>7350511</v>
      </c>
    </row>
    <row r="37" spans="1:15">
      <c r="A37" s="107"/>
      <c r="B37" s="107"/>
      <c r="C37" s="107"/>
      <c r="D37" s="68" t="s">
        <v>421</v>
      </c>
      <c r="E37">
        <v>6</v>
      </c>
      <c r="G37" t="s">
        <v>434</v>
      </c>
      <c r="H37" s="67">
        <v>44699</v>
      </c>
      <c r="J37" s="73"/>
      <c r="K37" s="74"/>
      <c r="L37" s="73"/>
      <c r="M37" s="74"/>
      <c r="N37" s="73"/>
      <c r="O37" s="74">
        <v>527</v>
      </c>
    </row>
    <row r="38" spans="1:15">
      <c r="A38" s="107"/>
      <c r="B38" s="107"/>
      <c r="C38" s="107"/>
      <c r="D38" s="68" t="s">
        <v>423</v>
      </c>
      <c r="F38" t="s">
        <v>429</v>
      </c>
      <c r="G38" t="s">
        <v>57</v>
      </c>
      <c r="H38" s="67">
        <v>44699</v>
      </c>
      <c r="J38" s="73"/>
      <c r="K38" s="74"/>
      <c r="L38" s="73"/>
      <c r="M38" s="74"/>
      <c r="N38" s="73"/>
      <c r="O38" s="74">
        <v>72506.148000000001</v>
      </c>
    </row>
    <row r="39" spans="1:15">
      <c r="A39" s="107"/>
      <c r="B39" s="107"/>
      <c r="C39" s="107"/>
      <c r="D39" s="68" t="s">
        <v>423</v>
      </c>
      <c r="F39" t="s">
        <v>430</v>
      </c>
      <c r="G39" t="s">
        <v>57</v>
      </c>
      <c r="H39" s="67">
        <v>44699</v>
      </c>
      <c r="J39" s="73"/>
      <c r="K39" s="74"/>
      <c r="L39" s="73"/>
      <c r="M39" s="74"/>
      <c r="N39" s="73"/>
      <c r="O39" s="74">
        <v>67920.774999999994</v>
      </c>
    </row>
    <row r="40" spans="1:15">
      <c r="A40" s="107"/>
      <c r="B40" s="107"/>
      <c r="C40" s="107"/>
      <c r="D40" s="68" t="s">
        <v>424</v>
      </c>
      <c r="H40" s="67">
        <v>44699</v>
      </c>
      <c r="J40" s="73"/>
      <c r="K40" s="74"/>
      <c r="L40" s="73"/>
      <c r="M40" s="74"/>
      <c r="N40" s="74"/>
      <c r="O40" s="76" t="s">
        <v>428</v>
      </c>
    </row>
    <row r="41" spans="1:15">
      <c r="A41" s="107" t="s">
        <v>531</v>
      </c>
      <c r="B41" s="107" t="s">
        <v>532</v>
      </c>
      <c r="C41" s="107" t="s">
        <v>533</v>
      </c>
      <c r="D41" s="68" t="s">
        <v>417</v>
      </c>
      <c r="G41" t="s">
        <v>435</v>
      </c>
      <c r="H41" s="67">
        <v>44196</v>
      </c>
      <c r="J41" s="73"/>
      <c r="K41" s="74"/>
      <c r="L41" s="73"/>
      <c r="M41" s="74">
        <v>91.7</v>
      </c>
      <c r="N41" s="73">
        <v>70.400000000000006</v>
      </c>
      <c r="O41" s="74"/>
    </row>
    <row r="42" spans="1:15">
      <c r="A42" s="107"/>
      <c r="B42" s="107"/>
      <c r="C42" s="107"/>
      <c r="D42" s="68" t="s">
        <v>418</v>
      </c>
      <c r="E42" t="s">
        <v>419</v>
      </c>
      <c r="G42" t="s">
        <v>435</v>
      </c>
      <c r="H42" s="67">
        <v>44196</v>
      </c>
      <c r="J42" s="73"/>
      <c r="K42" s="74"/>
      <c r="L42" s="73"/>
      <c r="M42" s="74">
        <v>4.72</v>
      </c>
      <c r="N42" s="73">
        <v>2.6</v>
      </c>
      <c r="O42" s="74"/>
    </row>
    <row r="43" spans="1:15">
      <c r="A43" s="107"/>
      <c r="B43" s="107"/>
      <c r="C43" s="107"/>
      <c r="D43" s="68" t="s">
        <v>612</v>
      </c>
      <c r="E43" t="s">
        <v>419</v>
      </c>
      <c r="G43" t="s">
        <v>436</v>
      </c>
      <c r="H43" s="67">
        <v>44196</v>
      </c>
      <c r="J43" s="73"/>
      <c r="K43" s="74"/>
      <c r="L43" s="73"/>
      <c r="M43" s="74">
        <v>0.56899999999999995</v>
      </c>
      <c r="N43" s="73">
        <v>0.497</v>
      </c>
      <c r="O43" s="74"/>
    </row>
    <row r="44" spans="1:15">
      <c r="A44" s="107"/>
      <c r="B44" s="107"/>
      <c r="C44" s="107"/>
      <c r="D44" s="68" t="s">
        <v>421</v>
      </c>
      <c r="E44">
        <v>1</v>
      </c>
      <c r="G44" t="s">
        <v>435</v>
      </c>
      <c r="H44" s="67">
        <v>44196</v>
      </c>
      <c r="J44" s="73"/>
      <c r="K44" s="74"/>
      <c r="L44" s="73"/>
      <c r="M44" s="74"/>
      <c r="N44" s="73">
        <v>0.7</v>
      </c>
      <c r="O44" s="74"/>
    </row>
    <row r="45" spans="1:15">
      <c r="A45" s="107"/>
      <c r="B45" s="107"/>
      <c r="C45" s="107"/>
      <c r="D45" s="68" t="s">
        <v>421</v>
      </c>
      <c r="E45">
        <v>2</v>
      </c>
      <c r="G45" t="s">
        <v>435</v>
      </c>
      <c r="H45" s="67">
        <v>44196</v>
      </c>
      <c r="J45" s="73"/>
      <c r="K45" s="74"/>
      <c r="L45" s="73"/>
      <c r="M45" s="74"/>
      <c r="N45" s="73">
        <v>0.6</v>
      </c>
      <c r="O45" s="74"/>
    </row>
    <row r="46" spans="1:15">
      <c r="A46" s="107"/>
      <c r="B46" s="107"/>
      <c r="C46" s="107"/>
      <c r="D46" s="68" t="s">
        <v>421</v>
      </c>
      <c r="E46">
        <v>3</v>
      </c>
      <c r="G46" t="s">
        <v>435</v>
      </c>
      <c r="H46" s="67">
        <v>44196</v>
      </c>
      <c r="J46" s="73"/>
      <c r="K46" s="74"/>
      <c r="L46" s="73"/>
      <c r="M46" s="74"/>
      <c r="N46" s="73">
        <v>5.5</v>
      </c>
      <c r="O46" s="74"/>
    </row>
    <row r="47" spans="1:15">
      <c r="A47" s="107"/>
      <c r="B47" s="107"/>
      <c r="C47" s="107"/>
      <c r="D47" s="68" t="s">
        <v>421</v>
      </c>
      <c r="E47">
        <v>4</v>
      </c>
      <c r="G47" t="s">
        <v>435</v>
      </c>
      <c r="H47" s="67">
        <v>44196</v>
      </c>
      <c r="J47" s="73"/>
      <c r="K47" s="74"/>
      <c r="L47" s="73"/>
      <c r="M47" s="74"/>
      <c r="N47" s="73">
        <v>0.3</v>
      </c>
      <c r="O47" s="74"/>
    </row>
    <row r="48" spans="1:15">
      <c r="A48" s="107"/>
      <c r="B48" s="107"/>
      <c r="C48" s="107"/>
      <c r="D48" s="68" t="s">
        <v>421</v>
      </c>
      <c r="E48">
        <v>5</v>
      </c>
      <c r="G48" t="s">
        <v>435</v>
      </c>
      <c r="H48" s="67">
        <v>44196</v>
      </c>
      <c r="J48" s="73"/>
      <c r="K48" s="74"/>
      <c r="L48" s="73"/>
      <c r="M48" s="74"/>
      <c r="N48" s="73">
        <v>0.1</v>
      </c>
      <c r="O48" s="74"/>
    </row>
    <row r="49" spans="1:15">
      <c r="A49" s="107"/>
      <c r="B49" s="107"/>
      <c r="C49" s="107"/>
      <c r="D49" s="68" t="s">
        <v>421</v>
      </c>
      <c r="E49">
        <v>6</v>
      </c>
      <c r="G49" t="s">
        <v>435</v>
      </c>
      <c r="H49" s="67">
        <v>44196</v>
      </c>
      <c r="J49" s="73"/>
      <c r="K49" s="74"/>
      <c r="L49" s="73"/>
      <c r="M49" s="74"/>
      <c r="N49" s="73">
        <v>0.09</v>
      </c>
      <c r="O49" s="74"/>
    </row>
    <row r="50" spans="1:15">
      <c r="A50" s="107"/>
      <c r="B50" s="107"/>
      <c r="C50" s="107"/>
      <c r="D50" s="68" t="s">
        <v>421</v>
      </c>
      <c r="E50">
        <v>7</v>
      </c>
      <c r="G50" t="s">
        <v>435</v>
      </c>
      <c r="H50" s="67">
        <v>44196</v>
      </c>
      <c r="J50" s="73"/>
      <c r="K50" s="74"/>
      <c r="L50" s="73"/>
      <c r="M50" s="74"/>
      <c r="N50" s="73">
        <v>0.09</v>
      </c>
      <c r="O50" s="74"/>
    </row>
    <row r="51" spans="1:15">
      <c r="A51" s="107"/>
      <c r="B51" s="107"/>
      <c r="C51" s="107"/>
      <c r="D51" s="68" t="s">
        <v>421</v>
      </c>
      <c r="E51">
        <v>9</v>
      </c>
      <c r="G51" t="s">
        <v>435</v>
      </c>
      <c r="H51" s="67">
        <v>44196</v>
      </c>
      <c r="J51" s="73"/>
      <c r="K51" s="74"/>
      <c r="L51" s="73"/>
      <c r="M51" s="74"/>
      <c r="N51" s="73">
        <v>0.09</v>
      </c>
      <c r="O51" s="74"/>
    </row>
    <row r="52" spans="1:15">
      <c r="A52" s="107"/>
      <c r="B52" s="107"/>
      <c r="C52" s="107"/>
      <c r="D52" s="68" t="s">
        <v>421</v>
      </c>
      <c r="E52">
        <v>10</v>
      </c>
      <c r="G52" t="s">
        <v>435</v>
      </c>
      <c r="H52" s="67">
        <v>44196</v>
      </c>
      <c r="J52" s="73"/>
      <c r="K52" s="74"/>
      <c r="L52" s="73"/>
      <c r="M52" s="74"/>
      <c r="N52" s="73">
        <v>0.1</v>
      </c>
      <c r="O52" s="74"/>
    </row>
    <row r="53" spans="1:15">
      <c r="A53" s="107"/>
      <c r="B53" s="107"/>
      <c r="C53" s="107"/>
      <c r="D53" s="68" t="s">
        <v>421</v>
      </c>
      <c r="E53">
        <v>11</v>
      </c>
      <c r="G53" t="s">
        <v>435</v>
      </c>
      <c r="H53" s="67">
        <v>44196</v>
      </c>
      <c r="J53" s="73"/>
      <c r="K53" s="74"/>
      <c r="L53" s="73"/>
      <c r="M53" s="74"/>
      <c r="N53" s="73">
        <v>11.7</v>
      </c>
      <c r="O53" s="74"/>
    </row>
    <row r="54" spans="1:15">
      <c r="A54" s="107"/>
      <c r="B54" s="107"/>
      <c r="C54" s="107"/>
      <c r="D54" s="68" t="s">
        <v>421</v>
      </c>
      <c r="E54" t="s">
        <v>422</v>
      </c>
      <c r="G54" t="s">
        <v>435</v>
      </c>
      <c r="H54" s="67">
        <v>44196</v>
      </c>
      <c r="J54" s="73"/>
      <c r="K54" s="74"/>
      <c r="L54" s="73"/>
      <c r="M54" s="74">
        <v>187.2</v>
      </c>
      <c r="N54" s="73">
        <v>18.899999999999999</v>
      </c>
      <c r="O54" s="74"/>
    </row>
    <row r="55" spans="1:15">
      <c r="A55" s="107"/>
      <c r="B55" s="107"/>
      <c r="C55" s="107"/>
      <c r="D55" s="68" t="s">
        <v>423</v>
      </c>
      <c r="G55" t="s">
        <v>63</v>
      </c>
      <c r="H55" s="67">
        <v>44196</v>
      </c>
      <c r="J55" s="73"/>
      <c r="K55" s="74"/>
      <c r="L55" s="73"/>
      <c r="M55" s="74">
        <f>(M41+M42)/M43</f>
        <v>169.45518453427067</v>
      </c>
      <c r="N55" s="73">
        <v>146.755</v>
      </c>
      <c r="O55" s="74"/>
    </row>
    <row r="56" spans="1:15">
      <c r="A56" s="107"/>
      <c r="B56" s="107"/>
      <c r="C56" s="107"/>
      <c r="D56" s="68" t="s">
        <v>424</v>
      </c>
      <c r="H56" s="67">
        <v>44196</v>
      </c>
      <c r="J56" s="73"/>
      <c r="K56" s="74"/>
      <c r="L56" s="73"/>
      <c r="M56" s="74"/>
      <c r="N56" s="75" t="s">
        <v>544</v>
      </c>
      <c r="O56" s="74"/>
    </row>
    <row r="57" spans="1:15">
      <c r="A57" s="107" t="s">
        <v>531</v>
      </c>
      <c r="B57" s="107" t="s">
        <v>532</v>
      </c>
      <c r="C57" s="107" t="s">
        <v>533</v>
      </c>
      <c r="D57" s="68" t="s">
        <v>417</v>
      </c>
      <c r="G57" t="s">
        <v>435</v>
      </c>
      <c r="H57" s="67">
        <v>44561</v>
      </c>
      <c r="J57" s="73"/>
      <c r="K57" s="74"/>
      <c r="L57" s="73"/>
      <c r="M57" s="74">
        <v>91.7</v>
      </c>
      <c r="N57" s="73">
        <v>70.2</v>
      </c>
      <c r="O57" s="74">
        <v>86.9</v>
      </c>
    </row>
    <row r="58" spans="1:15">
      <c r="A58" s="107"/>
      <c r="B58" s="107"/>
      <c r="C58" s="107"/>
      <c r="D58" s="68" t="s">
        <v>418</v>
      </c>
      <c r="E58" t="s">
        <v>419</v>
      </c>
      <c r="G58" t="s">
        <v>435</v>
      </c>
      <c r="H58" s="67">
        <v>44561</v>
      </c>
      <c r="J58" s="73"/>
      <c r="K58" s="74"/>
      <c r="L58" s="73"/>
      <c r="M58" s="74">
        <v>4.72</v>
      </c>
      <c r="N58" s="73">
        <v>3.1</v>
      </c>
      <c r="O58" s="74">
        <v>2.7</v>
      </c>
    </row>
    <row r="59" spans="1:15">
      <c r="A59" s="107"/>
      <c r="B59" s="107"/>
      <c r="C59" s="107"/>
      <c r="D59" s="68" t="s">
        <v>612</v>
      </c>
      <c r="E59" t="s">
        <v>419</v>
      </c>
      <c r="G59" t="s">
        <v>436</v>
      </c>
      <c r="H59" s="67">
        <v>44561</v>
      </c>
      <c r="J59" s="73"/>
      <c r="K59" s="74"/>
      <c r="L59" s="73"/>
      <c r="M59" s="74">
        <v>0.59899999999999998</v>
      </c>
      <c r="N59" s="73">
        <v>0.53800000000000003</v>
      </c>
      <c r="O59" s="74">
        <v>0.499</v>
      </c>
    </row>
    <row r="60" spans="1:15">
      <c r="A60" s="107"/>
      <c r="B60" s="107"/>
      <c r="C60" s="107"/>
      <c r="D60" s="68" t="s">
        <v>421</v>
      </c>
      <c r="E60">
        <v>1</v>
      </c>
      <c r="G60" t="s">
        <v>435</v>
      </c>
      <c r="H60" s="67">
        <v>44561</v>
      </c>
      <c r="J60" s="73"/>
      <c r="K60" s="74"/>
      <c r="L60" s="73"/>
      <c r="M60" s="74"/>
      <c r="N60" s="73">
        <v>0.7</v>
      </c>
      <c r="O60" s="74">
        <v>0.9</v>
      </c>
    </row>
    <row r="61" spans="1:15">
      <c r="A61" s="107"/>
      <c r="B61" s="107"/>
      <c r="C61" s="107"/>
      <c r="D61" s="68" t="s">
        <v>421</v>
      </c>
      <c r="E61">
        <v>2</v>
      </c>
      <c r="G61" t="s">
        <v>435</v>
      </c>
      <c r="H61" s="67">
        <v>44561</v>
      </c>
      <c r="J61" s="73"/>
      <c r="K61" s="74"/>
      <c r="L61" s="73"/>
      <c r="M61" s="74"/>
      <c r="N61" s="73">
        <v>0.8</v>
      </c>
      <c r="O61" s="74">
        <v>1.4</v>
      </c>
    </row>
    <row r="62" spans="1:15">
      <c r="A62" s="107"/>
      <c r="B62" s="107"/>
      <c r="C62" s="107"/>
      <c r="D62" s="68" t="s">
        <v>421</v>
      </c>
      <c r="E62">
        <v>3</v>
      </c>
      <c r="G62" t="s">
        <v>435</v>
      </c>
      <c r="H62" s="67">
        <v>44561</v>
      </c>
      <c r="J62" s="73"/>
      <c r="K62" s="74"/>
      <c r="L62" s="73"/>
      <c r="M62" s="74"/>
      <c r="N62" s="73">
        <v>5.5</v>
      </c>
      <c r="O62" s="74">
        <v>6.5</v>
      </c>
    </row>
    <row r="63" spans="1:15">
      <c r="A63" s="107"/>
      <c r="B63" s="107"/>
      <c r="C63" s="107"/>
      <c r="D63" s="68" t="s">
        <v>421</v>
      </c>
      <c r="E63">
        <v>4</v>
      </c>
      <c r="G63" t="s">
        <v>435</v>
      </c>
      <c r="H63" s="67">
        <v>44561</v>
      </c>
      <c r="J63" s="73"/>
      <c r="K63" s="74"/>
      <c r="L63" s="73"/>
      <c r="M63" s="74"/>
      <c r="N63" s="73">
        <v>0.3</v>
      </c>
      <c r="O63" s="74">
        <v>0.3</v>
      </c>
    </row>
    <row r="64" spans="1:15">
      <c r="A64" s="107"/>
      <c r="B64" s="107"/>
      <c r="C64" s="107"/>
      <c r="D64" s="68" t="s">
        <v>421</v>
      </c>
      <c r="E64">
        <v>5</v>
      </c>
      <c r="G64" t="s">
        <v>435</v>
      </c>
      <c r="H64" s="67">
        <v>44561</v>
      </c>
      <c r="J64" s="73"/>
      <c r="K64" s="74"/>
      <c r="L64" s="73"/>
      <c r="M64" s="74"/>
      <c r="N64" s="73">
        <v>0.1</v>
      </c>
      <c r="O64" s="74">
        <v>0.1</v>
      </c>
    </row>
    <row r="65" spans="1:15">
      <c r="A65" s="107"/>
      <c r="B65" s="107"/>
      <c r="C65" s="107"/>
      <c r="D65" s="68" t="s">
        <v>421</v>
      </c>
      <c r="E65">
        <v>6</v>
      </c>
      <c r="G65" t="s">
        <v>435</v>
      </c>
      <c r="H65" s="67">
        <v>44561</v>
      </c>
      <c r="J65" s="73"/>
      <c r="K65" s="74"/>
      <c r="L65" s="73"/>
      <c r="M65" s="74"/>
      <c r="N65" s="73">
        <v>0.09</v>
      </c>
      <c r="O65" s="74">
        <v>0.09</v>
      </c>
    </row>
    <row r="66" spans="1:15">
      <c r="A66" s="107"/>
      <c r="B66" s="107"/>
      <c r="C66" s="107"/>
      <c r="D66" s="68" t="s">
        <v>421</v>
      </c>
      <c r="E66">
        <v>7</v>
      </c>
      <c r="G66" t="s">
        <v>435</v>
      </c>
      <c r="H66" s="67">
        <v>44561</v>
      </c>
      <c r="J66" s="73"/>
      <c r="K66" s="74"/>
      <c r="L66" s="73"/>
      <c r="M66" s="74"/>
      <c r="N66" s="73">
        <v>0.09</v>
      </c>
      <c r="O66" s="74">
        <v>0.09</v>
      </c>
    </row>
    <row r="67" spans="1:15">
      <c r="A67" s="107"/>
      <c r="B67" s="107"/>
      <c r="C67" s="107"/>
      <c r="D67" s="68" t="s">
        <v>421</v>
      </c>
      <c r="E67">
        <v>9</v>
      </c>
      <c r="G67" t="s">
        <v>435</v>
      </c>
      <c r="H67" s="67">
        <v>44561</v>
      </c>
      <c r="J67" s="73"/>
      <c r="K67" s="74"/>
      <c r="L67" s="73"/>
      <c r="M67" s="74"/>
      <c r="N67" s="73">
        <v>0.09</v>
      </c>
      <c r="O67" s="74">
        <v>0.09</v>
      </c>
    </row>
    <row r="68" spans="1:15">
      <c r="A68" s="107"/>
      <c r="B68" s="107"/>
      <c r="C68" s="107"/>
      <c r="D68" s="68" t="s">
        <v>421</v>
      </c>
      <c r="E68">
        <v>10</v>
      </c>
      <c r="G68" t="s">
        <v>435</v>
      </c>
      <c r="H68" s="67">
        <v>44561</v>
      </c>
      <c r="J68" s="73"/>
      <c r="K68" s="74"/>
      <c r="L68" s="73"/>
      <c r="M68" s="74"/>
      <c r="N68" s="73">
        <v>0.1</v>
      </c>
      <c r="O68" s="74">
        <v>0.1</v>
      </c>
    </row>
    <row r="69" spans="1:15">
      <c r="A69" s="107"/>
      <c r="B69" s="107"/>
      <c r="C69" s="107"/>
      <c r="D69" s="68" t="s">
        <v>421</v>
      </c>
      <c r="E69">
        <v>11</v>
      </c>
      <c r="G69" t="s">
        <v>435</v>
      </c>
      <c r="H69" s="67">
        <v>44561</v>
      </c>
      <c r="J69" s="73"/>
      <c r="K69" s="74"/>
      <c r="L69" s="73"/>
      <c r="M69" s="74"/>
      <c r="N69" s="73">
        <v>12.5</v>
      </c>
      <c r="O69" s="74">
        <v>13.4</v>
      </c>
    </row>
    <row r="70" spans="1:15">
      <c r="A70" s="107"/>
      <c r="B70" s="107"/>
      <c r="C70" s="107"/>
      <c r="D70" s="68" t="s">
        <v>421</v>
      </c>
      <c r="E70" t="s">
        <v>422</v>
      </c>
      <c r="G70" t="s">
        <v>435</v>
      </c>
      <c r="H70" s="67">
        <v>44561</v>
      </c>
      <c r="J70" s="73"/>
      <c r="K70" s="74"/>
      <c r="L70" s="73"/>
      <c r="M70" s="74">
        <v>22.3</v>
      </c>
      <c r="N70" s="73">
        <v>19.899999999999999</v>
      </c>
      <c r="O70" s="74">
        <v>22.7</v>
      </c>
    </row>
    <row r="71" spans="1:15">
      <c r="A71" s="107"/>
      <c r="B71" s="107"/>
      <c r="C71" s="107"/>
      <c r="D71" s="68" t="s">
        <v>423</v>
      </c>
      <c r="G71" t="s">
        <v>63</v>
      </c>
      <c r="H71" s="67">
        <v>44561</v>
      </c>
      <c r="J71" s="73"/>
      <c r="K71" s="74"/>
      <c r="L71" s="73"/>
      <c r="M71" s="74">
        <f>(M57+M58)/M59</f>
        <v>160.96828046744577</v>
      </c>
      <c r="N71" s="73">
        <v>146.755</v>
      </c>
      <c r="O71" s="74">
        <v>166.56</v>
      </c>
    </row>
    <row r="72" spans="1:15">
      <c r="A72" s="107"/>
      <c r="B72" s="107"/>
      <c r="C72" s="107"/>
      <c r="D72" s="68" t="s">
        <v>424</v>
      </c>
      <c r="H72" s="67">
        <v>44561</v>
      </c>
      <c r="J72" s="73"/>
      <c r="K72" s="74"/>
      <c r="L72" s="73"/>
      <c r="M72" s="74"/>
      <c r="N72" s="73"/>
      <c r="O72" s="76" t="s">
        <v>543</v>
      </c>
    </row>
    <row r="73" spans="1:15">
      <c r="A73" s="107" t="s">
        <v>534</v>
      </c>
      <c r="B73" s="107" t="s">
        <v>536</v>
      </c>
      <c r="C73" s="107" t="s">
        <v>535</v>
      </c>
      <c r="D73" s="68" t="s">
        <v>545</v>
      </c>
      <c r="H73" s="67">
        <v>44651</v>
      </c>
      <c r="I73" s="92">
        <v>2015</v>
      </c>
      <c r="J73" s="73"/>
      <c r="K73" s="74"/>
      <c r="L73" s="73"/>
      <c r="M73" s="74"/>
      <c r="N73" s="73"/>
      <c r="O73" s="74"/>
    </row>
    <row r="74" spans="1:15">
      <c r="A74" s="107"/>
      <c r="B74" s="107"/>
      <c r="C74" s="107"/>
      <c r="D74" s="68" t="s">
        <v>417</v>
      </c>
      <c r="F74" t="s">
        <v>546</v>
      </c>
      <c r="G74" t="s">
        <v>435</v>
      </c>
      <c r="H74" s="67">
        <v>44651</v>
      </c>
      <c r="I74" s="92">
        <v>42</v>
      </c>
      <c r="J74" s="73"/>
      <c r="K74" s="74"/>
      <c r="L74" s="73"/>
      <c r="M74" s="74">
        <v>41</v>
      </c>
      <c r="N74" s="73">
        <v>38</v>
      </c>
      <c r="O74" s="74">
        <v>34</v>
      </c>
    </row>
    <row r="75" spans="1:15">
      <c r="A75" s="107"/>
      <c r="B75" s="107"/>
      <c r="C75" s="107"/>
      <c r="D75" s="68" t="s">
        <v>417</v>
      </c>
      <c r="F75" t="s">
        <v>54</v>
      </c>
      <c r="G75" t="s">
        <v>435</v>
      </c>
      <c r="H75" s="67">
        <v>44651</v>
      </c>
      <c r="I75" s="92">
        <v>50</v>
      </c>
      <c r="J75" s="73"/>
      <c r="K75" s="74"/>
      <c r="L75" s="73"/>
      <c r="M75" s="74">
        <v>55</v>
      </c>
      <c r="N75" s="73">
        <v>52</v>
      </c>
      <c r="O75" s="74">
        <v>49</v>
      </c>
    </row>
    <row r="76" spans="1:15">
      <c r="A76" s="107"/>
      <c r="B76" s="107"/>
      <c r="C76" s="107"/>
      <c r="D76" s="68" t="s">
        <v>418</v>
      </c>
      <c r="F76" t="s">
        <v>546</v>
      </c>
      <c r="G76" t="s">
        <v>435</v>
      </c>
      <c r="H76" s="67">
        <v>44651</v>
      </c>
      <c r="I76" s="92">
        <v>4</v>
      </c>
      <c r="J76" s="73"/>
      <c r="K76" s="74"/>
      <c r="L76" s="73"/>
      <c r="M76" s="74">
        <v>4</v>
      </c>
      <c r="N76" s="73">
        <v>3</v>
      </c>
      <c r="O76" s="74">
        <v>2</v>
      </c>
    </row>
    <row r="77" spans="1:15">
      <c r="A77" s="107"/>
      <c r="B77" s="107"/>
      <c r="C77" s="107"/>
      <c r="D77" s="68" t="s">
        <v>420</v>
      </c>
      <c r="F77" t="s">
        <v>546</v>
      </c>
      <c r="G77" t="s">
        <v>435</v>
      </c>
      <c r="H77" s="67">
        <v>44651</v>
      </c>
      <c r="I77" s="92">
        <v>46</v>
      </c>
      <c r="J77" s="73"/>
      <c r="K77" s="74"/>
      <c r="L77" s="73"/>
      <c r="M77" s="74">
        <v>44</v>
      </c>
      <c r="N77" s="73">
        <v>41</v>
      </c>
      <c r="O77" s="74">
        <v>37</v>
      </c>
    </row>
    <row r="78" spans="1:15">
      <c r="A78" s="107"/>
      <c r="B78" s="107"/>
      <c r="C78" s="107"/>
      <c r="D78" s="68" t="s">
        <v>612</v>
      </c>
      <c r="F78" t="s">
        <v>546</v>
      </c>
      <c r="G78" t="s">
        <v>444</v>
      </c>
      <c r="H78" s="67">
        <v>44651</v>
      </c>
      <c r="I78" s="92">
        <v>21</v>
      </c>
      <c r="J78" s="73"/>
      <c r="K78" s="74"/>
      <c r="L78" s="73"/>
      <c r="M78" s="74">
        <v>19</v>
      </c>
      <c r="N78" s="73">
        <v>18</v>
      </c>
      <c r="O78" s="74">
        <v>17</v>
      </c>
    </row>
    <row r="79" spans="1:15">
      <c r="A79" s="107"/>
      <c r="B79" s="107"/>
      <c r="C79" s="107"/>
      <c r="D79" s="68" t="s">
        <v>421</v>
      </c>
      <c r="E79">
        <v>11</v>
      </c>
      <c r="F79" t="s">
        <v>627</v>
      </c>
      <c r="G79" t="s">
        <v>435</v>
      </c>
      <c r="H79" s="67">
        <v>44651</v>
      </c>
      <c r="I79" s="92">
        <v>410</v>
      </c>
      <c r="J79" s="73"/>
      <c r="K79" s="74"/>
      <c r="L79" s="73"/>
      <c r="M79" s="74">
        <v>410</v>
      </c>
      <c r="N79" s="73">
        <v>400</v>
      </c>
      <c r="O79" s="74">
        <v>400</v>
      </c>
    </row>
    <row r="80" spans="1:15">
      <c r="A80" s="107"/>
      <c r="B80" s="107"/>
      <c r="C80" s="107"/>
      <c r="D80" s="68" t="s">
        <v>605</v>
      </c>
      <c r="E80" t="s">
        <v>430</v>
      </c>
      <c r="F80" t="s">
        <v>546</v>
      </c>
      <c r="G80" t="s">
        <v>63</v>
      </c>
      <c r="H80" s="67"/>
      <c r="I80" s="92">
        <v>153</v>
      </c>
      <c r="J80" s="73"/>
      <c r="K80" s="74"/>
      <c r="L80" s="73"/>
      <c r="M80" s="74">
        <v>160</v>
      </c>
      <c r="N80" s="73">
        <v>147</v>
      </c>
      <c r="O80" s="74">
        <v>148</v>
      </c>
    </row>
    <row r="81" spans="1:15">
      <c r="A81" s="107"/>
      <c r="B81" s="107"/>
      <c r="C81" s="107"/>
      <c r="D81" s="68" t="s">
        <v>424</v>
      </c>
      <c r="H81" s="67">
        <v>44651</v>
      </c>
      <c r="J81" s="73"/>
      <c r="K81" s="74"/>
      <c r="L81" s="73"/>
      <c r="M81" s="74"/>
      <c r="N81" s="73"/>
      <c r="O81" s="76" t="s">
        <v>547</v>
      </c>
    </row>
    <row r="82" spans="1:15">
      <c r="A82" s="108" t="s">
        <v>563</v>
      </c>
      <c r="B82" s="108" t="s">
        <v>537</v>
      </c>
      <c r="C82" s="108" t="s">
        <v>538</v>
      </c>
      <c r="D82" s="68" t="s">
        <v>545</v>
      </c>
      <c r="H82" s="67">
        <v>44651</v>
      </c>
      <c r="I82" s="92">
        <v>2014</v>
      </c>
      <c r="J82" s="73"/>
      <c r="K82" s="74"/>
      <c r="L82" s="73"/>
      <c r="M82" s="74"/>
      <c r="N82" s="73"/>
      <c r="O82" s="74"/>
    </row>
    <row r="83" spans="1:15">
      <c r="A83" s="109"/>
      <c r="B83" s="109"/>
      <c r="C83" s="109"/>
      <c r="D83" s="68" t="s">
        <v>417</v>
      </c>
      <c r="G83" t="s">
        <v>435</v>
      </c>
      <c r="H83" s="67">
        <v>44561</v>
      </c>
      <c r="J83" s="73"/>
      <c r="K83" s="74"/>
      <c r="L83" s="73">
        <v>43.4</v>
      </c>
      <c r="M83" s="74">
        <v>41.2</v>
      </c>
      <c r="N83" s="73">
        <v>37.799999999999997</v>
      </c>
      <c r="O83" s="74">
        <v>40.1</v>
      </c>
    </row>
    <row r="84" spans="1:15">
      <c r="A84" s="109"/>
      <c r="B84" s="109"/>
      <c r="C84" s="109"/>
      <c r="D84" s="68" t="s">
        <v>418</v>
      </c>
      <c r="E84" t="s">
        <v>419</v>
      </c>
      <c r="G84" t="s">
        <v>435</v>
      </c>
      <c r="H84" s="67">
        <v>44561</v>
      </c>
      <c r="J84" s="73"/>
      <c r="K84" s="74"/>
      <c r="L84" s="73">
        <v>0.67</v>
      </c>
      <c r="M84" s="74">
        <v>0.69</v>
      </c>
      <c r="N84" s="73">
        <v>0.73</v>
      </c>
      <c r="O84" s="74">
        <v>0.81</v>
      </c>
    </row>
    <row r="85" spans="1:15">
      <c r="A85" s="109"/>
      <c r="B85" s="109"/>
      <c r="C85" s="109"/>
      <c r="D85" s="68" t="s">
        <v>421</v>
      </c>
      <c r="E85">
        <v>1</v>
      </c>
      <c r="G85" t="s">
        <v>434</v>
      </c>
      <c r="H85" s="67"/>
      <c r="J85" s="73"/>
      <c r="K85" s="74"/>
      <c r="L85" s="73"/>
      <c r="M85" s="74"/>
      <c r="N85" s="73"/>
      <c r="O85" s="74">
        <v>912688</v>
      </c>
    </row>
    <row r="86" spans="1:15">
      <c r="A86" s="109"/>
      <c r="B86" s="109"/>
      <c r="C86" s="109"/>
      <c r="D86" s="68" t="s">
        <v>421</v>
      </c>
      <c r="E86">
        <v>2</v>
      </c>
      <c r="G86" t="s">
        <v>434</v>
      </c>
      <c r="H86" s="67"/>
      <c r="J86" s="73"/>
      <c r="K86" s="74"/>
      <c r="L86" s="73"/>
      <c r="M86" s="74"/>
      <c r="N86" s="73"/>
      <c r="O86" s="74">
        <v>507243</v>
      </c>
    </row>
    <row r="87" spans="1:15">
      <c r="A87" s="109"/>
      <c r="B87" s="109"/>
      <c r="C87" s="109"/>
      <c r="D87" s="68" t="s">
        <v>421</v>
      </c>
      <c r="E87">
        <v>3</v>
      </c>
      <c r="G87" t="s">
        <v>434</v>
      </c>
      <c r="H87" s="67"/>
      <c r="J87" s="73"/>
      <c r="K87" s="74"/>
      <c r="L87" s="73"/>
      <c r="M87" s="74"/>
      <c r="N87" s="73"/>
      <c r="O87" s="74">
        <v>6078093</v>
      </c>
    </row>
    <row r="88" spans="1:15">
      <c r="A88" s="109"/>
      <c r="B88" s="109"/>
      <c r="C88" s="109"/>
      <c r="D88" s="68" t="s">
        <v>421</v>
      </c>
      <c r="E88">
        <v>4</v>
      </c>
      <c r="G88" t="s">
        <v>434</v>
      </c>
      <c r="H88" s="67"/>
      <c r="J88" s="73"/>
      <c r="K88" s="74"/>
      <c r="L88" s="73"/>
      <c r="M88" s="74"/>
      <c r="N88" s="73"/>
      <c r="O88" s="74">
        <v>1413793</v>
      </c>
    </row>
    <row r="89" spans="1:15">
      <c r="A89" s="109"/>
      <c r="B89" s="109"/>
      <c r="C89" s="109"/>
      <c r="D89" s="68" t="s">
        <v>421</v>
      </c>
      <c r="E89">
        <v>5</v>
      </c>
      <c r="G89" t="s">
        <v>434</v>
      </c>
      <c r="H89" s="67"/>
      <c r="J89" s="73"/>
      <c r="K89" s="74"/>
      <c r="L89" s="73"/>
      <c r="M89" s="74"/>
      <c r="N89" s="73"/>
      <c r="O89" s="74">
        <v>131252</v>
      </c>
    </row>
    <row r="90" spans="1:15">
      <c r="A90" s="109"/>
      <c r="B90" s="109"/>
      <c r="C90" s="109"/>
      <c r="D90" s="68" t="s">
        <v>421</v>
      </c>
      <c r="E90">
        <v>6</v>
      </c>
      <c r="G90" t="s">
        <v>434</v>
      </c>
      <c r="H90" s="67"/>
      <c r="J90" s="73"/>
      <c r="K90" s="74"/>
      <c r="L90" s="73"/>
      <c r="M90" s="74"/>
      <c r="N90" s="73"/>
      <c r="O90" s="74">
        <v>16169</v>
      </c>
    </row>
    <row r="91" spans="1:15">
      <c r="A91" s="109"/>
      <c r="B91" s="109"/>
      <c r="C91" s="109"/>
      <c r="D91" s="68" t="s">
        <v>421</v>
      </c>
      <c r="E91">
        <v>7</v>
      </c>
      <c r="G91" t="s">
        <v>434</v>
      </c>
      <c r="H91" s="67"/>
      <c r="J91" s="73"/>
      <c r="K91" s="74"/>
      <c r="L91" s="73"/>
      <c r="M91" s="74"/>
      <c r="N91" s="73"/>
      <c r="O91" s="74">
        <v>101089</v>
      </c>
    </row>
    <row r="92" spans="1:15">
      <c r="A92" s="109"/>
      <c r="B92" s="109"/>
      <c r="C92" s="109"/>
      <c r="D92" s="68" t="s">
        <v>421</v>
      </c>
      <c r="E92">
        <v>10</v>
      </c>
      <c r="G92" t="s">
        <v>434</v>
      </c>
      <c r="H92" s="67"/>
      <c r="J92" s="73"/>
      <c r="K92" s="74"/>
      <c r="L92" s="73"/>
      <c r="M92" s="74"/>
      <c r="N92" s="73"/>
      <c r="O92" s="74">
        <v>11078438</v>
      </c>
    </row>
    <row r="93" spans="1:15">
      <c r="A93" s="109"/>
      <c r="B93" s="109"/>
      <c r="C93" s="109"/>
      <c r="D93" s="68" t="s">
        <v>421</v>
      </c>
      <c r="E93">
        <v>11</v>
      </c>
      <c r="G93" t="s">
        <v>434</v>
      </c>
      <c r="H93" s="67"/>
      <c r="J93" s="73"/>
      <c r="K93" s="74"/>
      <c r="L93" s="73"/>
      <c r="M93" s="74"/>
      <c r="N93" s="73"/>
      <c r="O93" s="74">
        <v>175890257</v>
      </c>
    </row>
    <row r="94" spans="1:15">
      <c r="A94" s="109"/>
      <c r="B94" s="109"/>
      <c r="C94" s="109"/>
      <c r="D94" s="68" t="s">
        <v>421</v>
      </c>
      <c r="E94">
        <v>12</v>
      </c>
      <c r="G94" t="s">
        <v>434</v>
      </c>
      <c r="H94" s="67"/>
      <c r="J94" s="73"/>
      <c r="K94" s="74"/>
      <c r="L94" s="73"/>
      <c r="M94" s="74"/>
      <c r="N94" s="73"/>
      <c r="O94" s="74">
        <v>98954</v>
      </c>
    </row>
    <row r="95" spans="1:15">
      <c r="A95" s="109"/>
      <c r="B95" s="109"/>
      <c r="C95" s="109"/>
      <c r="D95" s="68" t="s">
        <v>421</v>
      </c>
      <c r="E95">
        <v>14</v>
      </c>
      <c r="G95" t="s">
        <v>434</v>
      </c>
      <c r="H95" s="67"/>
      <c r="J95" s="73"/>
      <c r="K95" s="74"/>
      <c r="L95" s="73"/>
      <c r="M95" s="74"/>
      <c r="N95" s="73"/>
      <c r="O95" s="74">
        <v>157343</v>
      </c>
    </row>
    <row r="96" spans="1:15">
      <c r="A96" s="109"/>
      <c r="B96" s="109"/>
      <c r="C96" s="109"/>
      <c r="D96" s="68" t="s">
        <v>421</v>
      </c>
      <c r="E96" t="s">
        <v>422</v>
      </c>
      <c r="G96" t="s">
        <v>435</v>
      </c>
      <c r="H96" s="67">
        <v>44561</v>
      </c>
      <c r="J96" s="73"/>
      <c r="K96" s="74"/>
      <c r="L96" s="73">
        <v>203</v>
      </c>
      <c r="M96" s="74">
        <v>204</v>
      </c>
      <c r="N96" s="73">
        <v>185</v>
      </c>
      <c r="O96" s="74">
        <f>(912688+507243+6078093+1413793+131252+16169+101089+11078438+175890257+98954+157343)/1000000</f>
        <v>196.38531900000001</v>
      </c>
    </row>
    <row r="97" spans="1:15">
      <c r="A97" s="109"/>
      <c r="B97" s="109"/>
      <c r="C97" s="109"/>
      <c r="D97" s="68" t="s">
        <v>496</v>
      </c>
      <c r="G97" t="s">
        <v>435</v>
      </c>
      <c r="H97" s="67">
        <v>44561</v>
      </c>
      <c r="J97" s="73"/>
      <c r="K97" s="74"/>
      <c r="L97" s="73">
        <v>505</v>
      </c>
      <c r="M97" s="74">
        <v>501</v>
      </c>
      <c r="N97" s="73">
        <v>439</v>
      </c>
      <c r="O97" s="74">
        <v>456</v>
      </c>
    </row>
    <row r="98" spans="1:15">
      <c r="A98" s="109"/>
      <c r="B98" s="109"/>
      <c r="C98" s="109"/>
      <c r="D98" s="68" t="s">
        <v>613</v>
      </c>
      <c r="G98" t="s">
        <v>623</v>
      </c>
      <c r="H98" s="67">
        <v>44561</v>
      </c>
      <c r="J98" s="73"/>
      <c r="K98" s="74"/>
      <c r="L98" s="73">
        <v>68</v>
      </c>
      <c r="M98" s="74">
        <v>68</v>
      </c>
      <c r="N98" s="73">
        <v>68</v>
      </c>
      <c r="O98" s="74">
        <v>67</v>
      </c>
    </row>
    <row r="99" spans="1:15">
      <c r="A99" s="110"/>
      <c r="B99" s="110"/>
      <c r="C99" s="110"/>
      <c r="D99" s="68" t="s">
        <v>424</v>
      </c>
      <c r="H99" s="67"/>
      <c r="J99" s="73"/>
      <c r="K99" s="74"/>
      <c r="L99" s="73"/>
      <c r="M99" s="74"/>
      <c r="N99" s="73"/>
      <c r="O99" s="76" t="s">
        <v>583</v>
      </c>
    </row>
    <row r="100" spans="1:15">
      <c r="A100" s="108" t="s">
        <v>560</v>
      </c>
      <c r="B100" s="108" t="s">
        <v>537</v>
      </c>
      <c r="C100" s="108" t="s">
        <v>558</v>
      </c>
      <c r="D100" s="68" t="s">
        <v>545</v>
      </c>
      <c r="H100" s="67">
        <v>44651</v>
      </c>
      <c r="I100" s="92" t="s">
        <v>628</v>
      </c>
      <c r="J100" s="73"/>
      <c r="K100" s="74"/>
      <c r="L100" s="73"/>
      <c r="M100" s="74"/>
      <c r="N100" s="73"/>
      <c r="O100" s="74"/>
    </row>
    <row r="101" spans="1:15">
      <c r="A101" s="109"/>
      <c r="B101" s="109"/>
      <c r="C101" s="109"/>
      <c r="D101" s="68" t="s">
        <v>417</v>
      </c>
      <c r="G101" t="s">
        <v>435</v>
      </c>
      <c r="H101" s="67">
        <v>44561</v>
      </c>
      <c r="I101" s="92" t="s">
        <v>628</v>
      </c>
      <c r="J101" s="73"/>
      <c r="K101" s="74"/>
      <c r="L101" s="73">
        <v>24.1</v>
      </c>
      <c r="M101" s="74">
        <v>22.8</v>
      </c>
      <c r="N101" s="73">
        <v>21.1</v>
      </c>
      <c r="O101" s="74">
        <v>22.3</v>
      </c>
    </row>
    <row r="102" spans="1:15">
      <c r="A102" s="109"/>
      <c r="B102" s="109"/>
      <c r="C102" s="109"/>
      <c r="D102" s="68" t="s">
        <v>420</v>
      </c>
      <c r="F102" t="s">
        <v>564</v>
      </c>
      <c r="G102" t="s">
        <v>435</v>
      </c>
      <c r="H102" s="67">
        <v>44561</v>
      </c>
      <c r="I102" s="92" t="s">
        <v>628</v>
      </c>
      <c r="J102" s="73"/>
      <c r="K102" s="74"/>
      <c r="L102" s="73">
        <v>14.8</v>
      </c>
      <c r="M102" s="74">
        <v>14.8</v>
      </c>
      <c r="N102" s="73">
        <v>11.4</v>
      </c>
      <c r="O102" s="74">
        <v>11</v>
      </c>
    </row>
    <row r="103" spans="1:15">
      <c r="A103" s="109"/>
      <c r="B103" s="109"/>
      <c r="C103" s="109"/>
      <c r="D103" s="68" t="s">
        <v>612</v>
      </c>
      <c r="F103" t="s">
        <v>564</v>
      </c>
      <c r="G103" t="s">
        <v>565</v>
      </c>
      <c r="H103" s="67">
        <v>44561</v>
      </c>
      <c r="I103" s="92" t="s">
        <v>628</v>
      </c>
      <c r="J103" s="73"/>
      <c r="K103" s="74"/>
      <c r="L103" s="73">
        <v>21.4</v>
      </c>
      <c r="M103" s="74">
        <v>19.600000000000001</v>
      </c>
      <c r="N103" s="73">
        <v>20</v>
      </c>
      <c r="O103" s="74">
        <v>20.2</v>
      </c>
    </row>
    <row r="104" spans="1:15">
      <c r="A104" s="109"/>
      <c r="B104" s="109"/>
      <c r="C104" s="109"/>
      <c r="D104" s="68" t="s">
        <v>423</v>
      </c>
      <c r="G104" t="s">
        <v>566</v>
      </c>
      <c r="H104" s="67">
        <v>44561</v>
      </c>
      <c r="I104" s="92" t="s">
        <v>628</v>
      </c>
      <c r="J104" s="73"/>
      <c r="K104" s="74"/>
      <c r="L104" s="73">
        <v>1851</v>
      </c>
      <c r="M104" s="74">
        <v>1871</v>
      </c>
      <c r="N104" s="73">
        <v>1733</v>
      </c>
      <c r="O104" s="74">
        <v>1682</v>
      </c>
    </row>
    <row r="105" spans="1:15">
      <c r="A105" s="110"/>
      <c r="B105" s="110"/>
      <c r="C105" s="110"/>
      <c r="D105" s="68" t="s">
        <v>424</v>
      </c>
      <c r="H105" s="67"/>
      <c r="I105" s="92" t="s">
        <v>628</v>
      </c>
      <c r="J105" s="73"/>
      <c r="K105" s="74"/>
      <c r="L105" s="73"/>
      <c r="M105" s="74"/>
      <c r="N105" s="73"/>
      <c r="O105" s="76" t="s">
        <v>549</v>
      </c>
    </row>
    <row r="106" spans="1:15">
      <c r="A106" s="107" t="s">
        <v>553</v>
      </c>
      <c r="B106" s="107" t="s">
        <v>537</v>
      </c>
      <c r="C106" s="107" t="s">
        <v>557</v>
      </c>
      <c r="D106" s="68" t="s">
        <v>545</v>
      </c>
      <c r="H106" s="67">
        <v>44651</v>
      </c>
      <c r="I106" s="92" t="s">
        <v>628</v>
      </c>
      <c r="J106" s="73"/>
      <c r="K106" s="74"/>
      <c r="L106" s="73"/>
      <c r="M106" s="74"/>
      <c r="N106" s="73"/>
      <c r="O106" s="74"/>
    </row>
    <row r="107" spans="1:15">
      <c r="A107" s="107"/>
      <c r="B107" s="107"/>
      <c r="C107" s="107"/>
      <c r="D107" s="68" t="s">
        <v>496</v>
      </c>
      <c r="G107" t="s">
        <v>435</v>
      </c>
      <c r="H107" s="67">
        <v>44561</v>
      </c>
      <c r="I107" s="92" t="s">
        <v>628</v>
      </c>
      <c r="J107" s="73"/>
      <c r="K107" s="74"/>
      <c r="L107" s="73">
        <v>505</v>
      </c>
      <c r="M107" s="74">
        <v>501</v>
      </c>
      <c r="N107" s="73">
        <v>439</v>
      </c>
      <c r="O107" s="74">
        <v>456</v>
      </c>
    </row>
    <row r="108" spans="1:15">
      <c r="A108" s="107"/>
      <c r="B108" s="107"/>
      <c r="C108" s="107"/>
      <c r="D108" s="68" t="s">
        <v>613</v>
      </c>
      <c r="G108" t="s">
        <v>439</v>
      </c>
      <c r="H108" s="67">
        <v>44561</v>
      </c>
      <c r="I108" s="92" t="s">
        <v>628</v>
      </c>
      <c r="J108" s="73"/>
      <c r="K108" s="74"/>
      <c r="L108" s="73">
        <v>68</v>
      </c>
      <c r="M108" s="74">
        <v>68</v>
      </c>
      <c r="N108" s="73">
        <v>68</v>
      </c>
      <c r="O108" s="74">
        <v>67</v>
      </c>
    </row>
    <row r="109" spans="1:15">
      <c r="A109" s="107"/>
      <c r="B109" s="107"/>
      <c r="C109" s="107"/>
      <c r="D109" s="68" t="s">
        <v>423</v>
      </c>
      <c r="E109" t="s">
        <v>551</v>
      </c>
      <c r="G109" t="s">
        <v>552</v>
      </c>
      <c r="H109" s="67">
        <v>44561</v>
      </c>
      <c r="I109" s="92" t="s">
        <v>628</v>
      </c>
      <c r="J109" s="73"/>
      <c r="K109" s="74"/>
      <c r="L109" s="73">
        <v>76.599999999999994</v>
      </c>
      <c r="M109" s="74">
        <v>72.849999999999994</v>
      </c>
      <c r="N109" s="73">
        <v>64.989999999999995</v>
      </c>
      <c r="O109" s="74">
        <v>70.45</v>
      </c>
    </row>
    <row r="110" spans="1:15">
      <c r="A110" s="107"/>
      <c r="B110" s="107"/>
      <c r="C110" s="107"/>
      <c r="D110" s="68" t="s">
        <v>423</v>
      </c>
      <c r="E110" t="s">
        <v>567</v>
      </c>
      <c r="G110" t="s">
        <v>552</v>
      </c>
      <c r="H110" s="67">
        <v>44561</v>
      </c>
      <c r="I110" s="92" t="s">
        <v>628</v>
      </c>
      <c r="J110" s="73"/>
      <c r="K110" s="74"/>
      <c r="L110" s="73">
        <v>10.3</v>
      </c>
      <c r="M110" s="74">
        <v>10.1</v>
      </c>
      <c r="N110" s="73">
        <v>9.5</v>
      </c>
      <c r="O110" s="74">
        <v>10.9</v>
      </c>
    </row>
    <row r="111" spans="1:15">
      <c r="A111" s="107"/>
      <c r="B111" s="107"/>
      <c r="C111" s="107"/>
      <c r="D111" s="68" t="s">
        <v>605</v>
      </c>
      <c r="E111" t="s">
        <v>430</v>
      </c>
      <c r="G111" t="s">
        <v>185</v>
      </c>
      <c r="H111" s="67">
        <v>44561</v>
      </c>
      <c r="I111" s="92" t="s">
        <v>628</v>
      </c>
      <c r="J111" s="73"/>
      <c r="K111" s="74"/>
      <c r="L111" s="73">
        <v>43.5</v>
      </c>
      <c r="M111" s="74">
        <v>45.4</v>
      </c>
      <c r="N111" s="73">
        <v>45.4</v>
      </c>
      <c r="O111" s="74">
        <v>42.4</v>
      </c>
    </row>
    <row r="112" spans="1:15">
      <c r="A112" s="107"/>
      <c r="B112" s="107"/>
      <c r="C112" s="107"/>
      <c r="D112" s="68" t="s">
        <v>424</v>
      </c>
      <c r="H112" s="67"/>
      <c r="I112" s="92" t="s">
        <v>628</v>
      </c>
      <c r="J112" s="73"/>
      <c r="K112" s="74"/>
      <c r="L112" s="73"/>
      <c r="M112" s="74"/>
      <c r="N112" s="73"/>
      <c r="O112" s="76" t="s">
        <v>549</v>
      </c>
    </row>
    <row r="113" spans="1:15">
      <c r="A113" s="107" t="s">
        <v>554</v>
      </c>
      <c r="B113" s="107" t="s">
        <v>537</v>
      </c>
      <c r="C113" s="107" t="s">
        <v>561</v>
      </c>
      <c r="D113" s="68" t="s">
        <v>545</v>
      </c>
      <c r="H113" s="67">
        <v>44651</v>
      </c>
      <c r="I113" s="92" t="s">
        <v>628</v>
      </c>
      <c r="J113" s="73"/>
      <c r="K113" s="74"/>
      <c r="L113" s="73"/>
      <c r="M113" s="74"/>
      <c r="N113" s="73"/>
      <c r="O113" s="74"/>
    </row>
    <row r="114" spans="1:15">
      <c r="A114" s="107"/>
      <c r="B114" s="107"/>
      <c r="C114" s="107"/>
      <c r="D114" s="68" t="s">
        <v>417</v>
      </c>
      <c r="E114" t="s">
        <v>551</v>
      </c>
      <c r="G114" t="s">
        <v>435</v>
      </c>
      <c r="H114" s="67">
        <v>44561</v>
      </c>
      <c r="I114" s="92" t="s">
        <v>628</v>
      </c>
      <c r="J114" s="73"/>
      <c r="K114" s="74"/>
      <c r="L114" s="73">
        <v>8.19</v>
      </c>
      <c r="M114" s="74">
        <v>7.97</v>
      </c>
      <c r="N114" s="73">
        <v>6.65</v>
      </c>
      <c r="O114" s="74">
        <v>6.72</v>
      </c>
    </row>
    <row r="115" spans="1:15">
      <c r="A115" s="107"/>
      <c r="B115" s="107"/>
      <c r="C115" s="107"/>
      <c r="D115" s="68" t="s">
        <v>418</v>
      </c>
      <c r="E115" t="s">
        <v>419</v>
      </c>
      <c r="G115" t="s">
        <v>435</v>
      </c>
      <c r="H115" s="67">
        <v>44561</v>
      </c>
      <c r="I115" s="92" t="s">
        <v>628</v>
      </c>
      <c r="J115" s="73"/>
      <c r="K115" s="74"/>
      <c r="L115" s="73">
        <v>0.67</v>
      </c>
      <c r="M115" s="74">
        <v>0.69</v>
      </c>
      <c r="N115" s="73">
        <v>0.73</v>
      </c>
      <c r="O115" s="74">
        <v>0.81</v>
      </c>
    </row>
    <row r="116" spans="1:15">
      <c r="A116" s="107"/>
      <c r="B116" s="107"/>
      <c r="C116" s="107"/>
      <c r="D116" s="68" t="s">
        <v>421</v>
      </c>
      <c r="E116">
        <v>11</v>
      </c>
      <c r="G116" t="s">
        <v>435</v>
      </c>
      <c r="H116" s="67">
        <v>44561</v>
      </c>
      <c r="I116" s="92" t="s">
        <v>628</v>
      </c>
      <c r="J116" s="73"/>
      <c r="K116" s="74"/>
      <c r="L116" s="73">
        <v>203</v>
      </c>
      <c r="M116" s="74">
        <v>204</v>
      </c>
      <c r="N116" s="73">
        <v>185</v>
      </c>
      <c r="O116" s="74">
        <v>176</v>
      </c>
    </row>
    <row r="117" spans="1:15">
      <c r="A117" s="107"/>
      <c r="B117" s="107"/>
      <c r="C117" s="107"/>
      <c r="D117" s="68" t="s">
        <v>496</v>
      </c>
      <c r="G117" t="s">
        <v>435</v>
      </c>
      <c r="H117" s="67">
        <v>44561</v>
      </c>
      <c r="I117" s="92" t="s">
        <v>628</v>
      </c>
      <c r="J117" s="73"/>
      <c r="K117" s="74"/>
      <c r="L117" s="73">
        <v>505</v>
      </c>
      <c r="M117" s="74">
        <v>501</v>
      </c>
      <c r="N117" s="73">
        <v>439</v>
      </c>
      <c r="O117" s="74">
        <v>456</v>
      </c>
    </row>
    <row r="118" spans="1:15">
      <c r="A118" s="107"/>
      <c r="B118" s="107"/>
      <c r="C118" s="107"/>
      <c r="D118" s="68" t="s">
        <v>613</v>
      </c>
      <c r="G118" t="s">
        <v>573</v>
      </c>
      <c r="H118" s="67">
        <v>44561</v>
      </c>
      <c r="I118" s="92" t="s">
        <v>628</v>
      </c>
      <c r="J118" s="73"/>
      <c r="K118" s="74"/>
      <c r="L118" s="73">
        <v>253</v>
      </c>
      <c r="M118" s="74">
        <v>248</v>
      </c>
      <c r="N118" s="73">
        <v>248</v>
      </c>
      <c r="O118" s="74">
        <v>228</v>
      </c>
    </row>
    <row r="119" spans="1:15">
      <c r="A119" s="107"/>
      <c r="B119" s="107"/>
      <c r="C119" s="107"/>
      <c r="D119" s="68" t="s">
        <v>423</v>
      </c>
      <c r="G119" t="s">
        <v>574</v>
      </c>
      <c r="H119" s="67">
        <v>44561</v>
      </c>
      <c r="I119" s="92" t="s">
        <v>628</v>
      </c>
      <c r="J119" s="73"/>
      <c r="K119" s="74"/>
      <c r="L119" s="73">
        <v>548</v>
      </c>
      <c r="M119" s="74">
        <v>548</v>
      </c>
      <c r="N119" s="73">
        <v>548</v>
      </c>
      <c r="O119" s="74">
        <v>548</v>
      </c>
    </row>
    <row r="120" spans="1:15">
      <c r="A120" s="107"/>
      <c r="B120" s="107"/>
      <c r="C120" s="107"/>
      <c r="D120" s="68" t="s">
        <v>611</v>
      </c>
      <c r="E120" s="47" t="s">
        <v>568</v>
      </c>
      <c r="G120" s="47" t="s">
        <v>570</v>
      </c>
      <c r="H120" s="67">
        <v>44561</v>
      </c>
      <c r="I120" s="92" t="s">
        <v>628</v>
      </c>
      <c r="J120" s="73"/>
      <c r="K120" s="74"/>
      <c r="L120" s="73">
        <v>76.599999999999994</v>
      </c>
      <c r="M120" s="74">
        <v>72.849999999999994</v>
      </c>
      <c r="N120" s="73">
        <v>64.989999999999995</v>
      </c>
      <c r="O120" s="74">
        <v>70.45</v>
      </c>
    </row>
    <row r="121" spans="1:15">
      <c r="A121" s="107"/>
      <c r="B121" s="107"/>
      <c r="C121" s="107"/>
      <c r="D121" s="68" t="s">
        <v>611</v>
      </c>
      <c r="E121" s="47" t="s">
        <v>497</v>
      </c>
      <c r="G121" s="47" t="s">
        <v>569</v>
      </c>
      <c r="H121" s="67">
        <v>44561</v>
      </c>
      <c r="I121" s="92" t="s">
        <v>628</v>
      </c>
      <c r="J121" s="73"/>
      <c r="K121" s="74"/>
      <c r="L121" s="73">
        <v>28.54</v>
      </c>
      <c r="M121" s="74">
        <v>28.28</v>
      </c>
      <c r="N121" s="73">
        <v>25.33</v>
      </c>
      <c r="O121" s="74">
        <v>28.54</v>
      </c>
    </row>
    <row r="122" spans="1:15">
      <c r="A122" s="107"/>
      <c r="B122" s="107"/>
      <c r="C122" s="107"/>
      <c r="D122" s="68" t="s">
        <v>611</v>
      </c>
      <c r="E122" s="47" t="s">
        <v>571</v>
      </c>
      <c r="G122" s="47" t="s">
        <v>572</v>
      </c>
      <c r="H122" s="67">
        <v>44561</v>
      </c>
      <c r="I122" s="92" t="s">
        <v>628</v>
      </c>
      <c r="J122" s="73"/>
      <c r="K122" s="74"/>
      <c r="L122" s="73">
        <v>9483</v>
      </c>
      <c r="M122" s="74">
        <v>8068</v>
      </c>
      <c r="N122" s="73">
        <v>8073</v>
      </c>
      <c r="O122" s="74">
        <v>8476</v>
      </c>
    </row>
    <row r="123" spans="1:15">
      <c r="A123" s="107"/>
      <c r="B123" s="107"/>
      <c r="C123" s="107"/>
      <c r="D123" s="68" t="s">
        <v>424</v>
      </c>
      <c r="H123" s="67"/>
      <c r="I123" s="92" t="s">
        <v>628</v>
      </c>
      <c r="J123" s="73"/>
      <c r="K123" s="74"/>
      <c r="L123" s="73"/>
      <c r="M123" s="74"/>
      <c r="N123" s="73"/>
      <c r="O123" s="76" t="s">
        <v>549</v>
      </c>
    </row>
    <row r="124" spans="1:15">
      <c r="A124" s="107" t="s">
        <v>555</v>
      </c>
      <c r="B124" s="107" t="s">
        <v>556</v>
      </c>
      <c r="C124" s="107" t="s">
        <v>559</v>
      </c>
      <c r="D124" s="68" t="s">
        <v>545</v>
      </c>
      <c r="H124" s="67">
        <v>44651</v>
      </c>
      <c r="I124" s="92" t="s">
        <v>628</v>
      </c>
      <c r="J124" s="73"/>
      <c r="K124" s="74"/>
      <c r="L124" s="73"/>
      <c r="M124" s="74"/>
      <c r="N124" s="73"/>
      <c r="O124" s="74"/>
    </row>
    <row r="125" spans="1:15">
      <c r="A125" s="107"/>
      <c r="B125" s="107"/>
      <c r="C125" s="107"/>
      <c r="D125" s="68" t="s">
        <v>417</v>
      </c>
      <c r="E125" t="s">
        <v>550</v>
      </c>
      <c r="G125" t="s">
        <v>435</v>
      </c>
      <c r="H125" s="67">
        <v>44561</v>
      </c>
      <c r="I125" s="92" t="s">
        <v>628</v>
      </c>
      <c r="J125" s="73"/>
      <c r="K125" s="74"/>
      <c r="L125" s="73">
        <v>43.4</v>
      </c>
      <c r="M125" s="74">
        <v>41.2</v>
      </c>
      <c r="N125" s="73">
        <v>37.799999999999997</v>
      </c>
      <c r="O125" s="74">
        <v>40.1</v>
      </c>
    </row>
    <row r="126" spans="1:15">
      <c r="A126" s="107"/>
      <c r="B126" s="107"/>
      <c r="C126" s="107"/>
      <c r="D126" s="68" t="s">
        <v>417</v>
      </c>
      <c r="E126" t="s">
        <v>551</v>
      </c>
      <c r="G126" t="s">
        <v>435</v>
      </c>
      <c r="H126" s="67">
        <v>44561</v>
      </c>
      <c r="I126" s="92" t="s">
        <v>628</v>
      </c>
      <c r="J126" s="73"/>
      <c r="K126" s="74"/>
      <c r="L126" s="73">
        <v>0.62</v>
      </c>
      <c r="M126" s="74">
        <v>0.25</v>
      </c>
      <c r="N126" s="73">
        <v>0.36</v>
      </c>
      <c r="O126" s="74">
        <v>1.01</v>
      </c>
    </row>
    <row r="127" spans="1:15">
      <c r="A127" s="107"/>
      <c r="B127" s="107"/>
      <c r="C127" s="107"/>
      <c r="D127" s="68" t="s">
        <v>418</v>
      </c>
      <c r="E127" t="s">
        <v>419</v>
      </c>
      <c r="G127" t="s">
        <v>435</v>
      </c>
      <c r="H127" s="67">
        <v>44561</v>
      </c>
      <c r="I127" s="92" t="s">
        <v>628</v>
      </c>
      <c r="J127" s="73"/>
      <c r="K127" s="74"/>
      <c r="L127" s="73">
        <v>0.67</v>
      </c>
      <c r="M127" s="74">
        <v>0.69</v>
      </c>
      <c r="N127" s="73">
        <v>0.73</v>
      </c>
      <c r="O127" s="74">
        <v>0.81</v>
      </c>
    </row>
    <row r="128" spans="1:15">
      <c r="A128" s="107"/>
      <c r="B128" s="107"/>
      <c r="C128" s="107"/>
      <c r="D128" s="68" t="s">
        <v>421</v>
      </c>
      <c r="E128">
        <v>11</v>
      </c>
      <c r="G128" t="s">
        <v>435</v>
      </c>
      <c r="H128" s="67">
        <v>44561</v>
      </c>
      <c r="I128" s="92" t="s">
        <v>628</v>
      </c>
      <c r="J128" s="73"/>
      <c r="K128" s="74"/>
      <c r="L128" s="73">
        <v>203</v>
      </c>
      <c r="M128" s="74">
        <v>204</v>
      </c>
      <c r="N128" s="73">
        <v>185</v>
      </c>
      <c r="O128" s="74">
        <v>176</v>
      </c>
    </row>
    <row r="129" spans="1:15">
      <c r="A129" s="107"/>
      <c r="B129" s="107"/>
      <c r="C129" s="107"/>
      <c r="D129" s="68" t="s">
        <v>496</v>
      </c>
      <c r="G129" t="s">
        <v>435</v>
      </c>
      <c r="H129" s="67">
        <v>44561</v>
      </c>
      <c r="I129" s="92" t="s">
        <v>628</v>
      </c>
      <c r="J129" s="73"/>
      <c r="K129" s="74"/>
      <c r="L129" s="73">
        <v>505</v>
      </c>
      <c r="M129" s="74">
        <v>501</v>
      </c>
      <c r="N129" s="73">
        <v>439</v>
      </c>
      <c r="O129" s="74">
        <v>456</v>
      </c>
    </row>
    <row r="130" spans="1:15">
      <c r="A130" s="107"/>
      <c r="B130" s="107"/>
      <c r="C130" s="107"/>
      <c r="D130" s="68" t="s">
        <v>613</v>
      </c>
      <c r="G130" t="s">
        <v>623</v>
      </c>
      <c r="H130" s="67">
        <v>44561</v>
      </c>
      <c r="I130" s="92" t="s">
        <v>628</v>
      </c>
      <c r="J130" s="73"/>
      <c r="K130" s="74"/>
      <c r="L130" s="73">
        <v>68</v>
      </c>
      <c r="M130" s="74">
        <v>68</v>
      </c>
      <c r="N130" s="73">
        <v>68</v>
      </c>
      <c r="O130" s="74">
        <v>67</v>
      </c>
    </row>
    <row r="131" spans="1:15">
      <c r="A131" s="107"/>
      <c r="B131" s="107"/>
      <c r="C131" s="107"/>
      <c r="D131" s="68" t="s">
        <v>423</v>
      </c>
      <c r="E131" t="s">
        <v>551</v>
      </c>
      <c r="G131" t="s">
        <v>552</v>
      </c>
      <c r="H131" s="67">
        <v>44561</v>
      </c>
      <c r="I131" s="92" t="s">
        <v>628</v>
      </c>
      <c r="J131" s="73"/>
      <c r="K131" s="74"/>
      <c r="L131" s="73">
        <v>76.599999999999994</v>
      </c>
      <c r="M131" s="74">
        <v>72.849999999999994</v>
      </c>
      <c r="N131" s="73">
        <v>64.989999999999995</v>
      </c>
      <c r="O131" s="74">
        <v>70.45</v>
      </c>
    </row>
    <row r="132" spans="1:15">
      <c r="A132" s="107"/>
      <c r="B132" s="107"/>
      <c r="C132" s="107"/>
      <c r="D132" s="68" t="s">
        <v>423</v>
      </c>
      <c r="E132" t="s">
        <v>550</v>
      </c>
      <c r="G132" t="s">
        <v>63</v>
      </c>
      <c r="H132" s="67">
        <v>44561</v>
      </c>
      <c r="I132" s="92" t="s">
        <v>628</v>
      </c>
      <c r="J132" s="73"/>
      <c r="K132" s="74"/>
      <c r="L132" s="73">
        <v>28.54</v>
      </c>
      <c r="M132" s="74">
        <v>28.28</v>
      </c>
      <c r="N132" s="73">
        <v>25.33</v>
      </c>
      <c r="O132" s="74">
        <v>28.54</v>
      </c>
    </row>
    <row r="133" spans="1:15">
      <c r="A133" s="107"/>
      <c r="B133" s="107"/>
      <c r="C133" s="107"/>
      <c r="D133" s="68" t="s">
        <v>605</v>
      </c>
      <c r="E133" t="s">
        <v>430</v>
      </c>
      <c r="G133" t="s">
        <v>185</v>
      </c>
      <c r="H133" s="67">
        <v>44561</v>
      </c>
      <c r="I133" s="92" t="s">
        <v>628</v>
      </c>
      <c r="J133" s="73"/>
      <c r="K133" s="74"/>
      <c r="L133" s="73">
        <v>43.5</v>
      </c>
      <c r="M133" s="74">
        <v>45.4</v>
      </c>
      <c r="N133" s="73">
        <v>45.4</v>
      </c>
      <c r="O133" s="74">
        <v>42.4</v>
      </c>
    </row>
    <row r="134" spans="1:15">
      <c r="A134" s="107"/>
      <c r="B134" s="107"/>
      <c r="C134" s="107"/>
      <c r="D134" s="68" t="s">
        <v>424</v>
      </c>
      <c r="H134" s="67"/>
      <c r="I134" s="92" t="s">
        <v>628</v>
      </c>
      <c r="J134" s="73"/>
      <c r="K134" s="74"/>
      <c r="L134" s="73"/>
      <c r="M134" s="74"/>
      <c r="N134" s="73"/>
      <c r="O134" s="76" t="s">
        <v>549</v>
      </c>
    </row>
    <row r="135" spans="1:15">
      <c r="A135" s="107" t="s">
        <v>576</v>
      </c>
      <c r="B135" s="107" t="s">
        <v>540</v>
      </c>
      <c r="C135" s="107" t="s">
        <v>539</v>
      </c>
      <c r="D135" s="68" t="s">
        <v>417</v>
      </c>
      <c r="G135" t="s">
        <v>435</v>
      </c>
      <c r="H135" s="67">
        <v>44623</v>
      </c>
      <c r="J135" s="73"/>
      <c r="K135" s="74"/>
      <c r="L135" s="73"/>
      <c r="M135" s="74">
        <f>M139+M149</f>
        <v>22.34</v>
      </c>
      <c r="N135" s="73">
        <f>N139+N149</f>
        <v>19.810000000000002</v>
      </c>
      <c r="O135" s="74"/>
    </row>
    <row r="136" spans="1:15">
      <c r="A136" s="107"/>
      <c r="B136" s="107"/>
      <c r="C136" s="107"/>
      <c r="D136" s="68" t="s">
        <v>418</v>
      </c>
      <c r="E136" t="s">
        <v>419</v>
      </c>
      <c r="G136" t="s">
        <v>435</v>
      </c>
      <c r="H136" s="67">
        <v>44623</v>
      </c>
      <c r="J136" s="73"/>
      <c r="K136" s="74"/>
      <c r="L136" s="73"/>
      <c r="M136" s="74">
        <f t="shared" ref="M136:N136" si="4">M140+M150</f>
        <v>5.31</v>
      </c>
      <c r="N136" s="73">
        <f t="shared" si="4"/>
        <v>4.6499999999999995</v>
      </c>
      <c r="O136" s="74"/>
    </row>
    <row r="137" spans="1:15">
      <c r="A137" s="107"/>
      <c r="B137" s="107"/>
      <c r="C137" s="107"/>
      <c r="D137" s="68" t="s">
        <v>420</v>
      </c>
      <c r="E137" t="s">
        <v>419</v>
      </c>
      <c r="G137" t="s">
        <v>435</v>
      </c>
      <c r="H137" s="67">
        <v>44623</v>
      </c>
      <c r="J137" s="73"/>
      <c r="K137" s="74"/>
      <c r="L137" s="73"/>
      <c r="M137" s="74">
        <f t="shared" ref="M137:N137" si="5">M141+M151</f>
        <v>27.65</v>
      </c>
      <c r="N137" s="73">
        <f t="shared" si="5"/>
        <v>24.46</v>
      </c>
      <c r="O137" s="74"/>
    </row>
    <row r="138" spans="1:15">
      <c r="A138" s="107"/>
      <c r="B138" s="107"/>
      <c r="C138" s="107"/>
      <c r="D138" s="68" t="s">
        <v>424</v>
      </c>
      <c r="H138" s="67"/>
      <c r="J138" s="73"/>
      <c r="K138" s="74"/>
      <c r="L138" s="73"/>
      <c r="M138" s="74"/>
      <c r="N138" s="73"/>
      <c r="O138" s="76" t="s">
        <v>575</v>
      </c>
    </row>
    <row r="139" spans="1:15">
      <c r="A139" s="107" t="s">
        <v>577</v>
      </c>
      <c r="B139" s="107" t="s">
        <v>540</v>
      </c>
      <c r="C139" s="107" t="s">
        <v>621</v>
      </c>
      <c r="D139" s="68" t="s">
        <v>417</v>
      </c>
      <c r="G139" t="s">
        <v>435</v>
      </c>
      <c r="H139" s="67">
        <v>44623</v>
      </c>
      <c r="J139" s="73"/>
      <c r="K139" s="74"/>
      <c r="L139" s="73"/>
      <c r="M139" s="74">
        <v>16.13</v>
      </c>
      <c r="N139" s="73">
        <v>13.71</v>
      </c>
      <c r="O139" s="74"/>
    </row>
    <row r="140" spans="1:15">
      <c r="A140" s="107"/>
      <c r="B140" s="107"/>
      <c r="C140" s="107"/>
      <c r="D140" s="68" t="s">
        <v>418</v>
      </c>
      <c r="G140" t="s">
        <v>435</v>
      </c>
      <c r="H140" s="67">
        <v>44623</v>
      </c>
      <c r="J140" s="73"/>
      <c r="K140" s="74"/>
      <c r="L140" s="73"/>
      <c r="M140" s="74">
        <v>3.42</v>
      </c>
      <c r="N140" s="73">
        <v>3.01</v>
      </c>
      <c r="O140" s="74"/>
    </row>
    <row r="141" spans="1:15">
      <c r="A141" s="107"/>
      <c r="B141" s="107"/>
      <c r="C141" s="107"/>
      <c r="D141" s="68" t="s">
        <v>420</v>
      </c>
      <c r="G141" t="s">
        <v>435</v>
      </c>
      <c r="H141" s="67">
        <v>44623</v>
      </c>
      <c r="J141" s="73"/>
      <c r="K141" s="74"/>
      <c r="L141" s="73"/>
      <c r="M141" s="74">
        <v>19.55</v>
      </c>
      <c r="N141" s="73">
        <v>16.72</v>
      </c>
      <c r="O141" s="74"/>
    </row>
    <row r="142" spans="1:15">
      <c r="A142" s="107"/>
      <c r="B142" s="107"/>
      <c r="C142" s="107"/>
      <c r="D142" s="68" t="s">
        <v>589</v>
      </c>
      <c r="G142" t="s">
        <v>579</v>
      </c>
      <c r="H142" s="67">
        <v>44623</v>
      </c>
      <c r="J142" s="73"/>
      <c r="K142" s="74"/>
      <c r="L142" s="73"/>
      <c r="M142" s="74">
        <v>2.7900000000000001E-2</v>
      </c>
      <c r="N142" s="73">
        <v>2.7E-2</v>
      </c>
      <c r="O142" s="74"/>
    </row>
    <row r="143" spans="1:15">
      <c r="A143" s="107"/>
      <c r="B143" s="107"/>
      <c r="C143" s="107"/>
      <c r="D143" s="68" t="s">
        <v>614</v>
      </c>
      <c r="G143" t="s">
        <v>579</v>
      </c>
      <c r="H143" s="67">
        <v>44623</v>
      </c>
      <c r="J143" s="73"/>
      <c r="K143" s="74"/>
      <c r="L143" s="73"/>
      <c r="M143" s="74">
        <v>5.8999999999999999E-3</v>
      </c>
      <c r="N143" s="73">
        <v>5.8999999999999999E-3</v>
      </c>
      <c r="O143" s="74"/>
    </row>
    <row r="144" spans="1:15">
      <c r="A144" s="107"/>
      <c r="B144" s="107"/>
      <c r="C144" s="107"/>
      <c r="D144" s="68" t="s">
        <v>612</v>
      </c>
      <c r="G144" t="s">
        <v>579</v>
      </c>
      <c r="H144" s="67">
        <v>44623</v>
      </c>
      <c r="J144" s="73"/>
      <c r="K144" s="74"/>
      <c r="L144" s="73"/>
      <c r="M144" s="74">
        <v>3.3799999999999997E-2</v>
      </c>
      <c r="N144" s="73">
        <v>3.2899999999999999E-2</v>
      </c>
      <c r="O144" s="74"/>
    </row>
    <row r="145" spans="1:15">
      <c r="A145" s="107"/>
      <c r="B145" s="107"/>
      <c r="C145" s="107"/>
      <c r="D145" s="68" t="s">
        <v>421</v>
      </c>
      <c r="E145">
        <v>9</v>
      </c>
      <c r="G145" t="s">
        <v>435</v>
      </c>
      <c r="H145" s="67">
        <v>44623</v>
      </c>
      <c r="J145" s="73"/>
      <c r="K145" s="74"/>
      <c r="L145" s="73"/>
      <c r="M145" s="74">
        <v>260</v>
      </c>
      <c r="N145" s="73">
        <v>226</v>
      </c>
      <c r="O145" s="74"/>
    </row>
    <row r="146" spans="1:15">
      <c r="A146" s="107"/>
      <c r="B146" s="107"/>
      <c r="C146" s="107"/>
      <c r="D146" s="68" t="s">
        <v>421</v>
      </c>
      <c r="E146">
        <v>10</v>
      </c>
      <c r="G146" t="s">
        <v>435</v>
      </c>
      <c r="H146" s="67">
        <v>44623</v>
      </c>
      <c r="J146" s="73"/>
      <c r="K146" s="74"/>
      <c r="L146" s="73"/>
      <c r="M146" s="74">
        <v>126</v>
      </c>
      <c r="N146" s="73">
        <v>165</v>
      </c>
      <c r="O146" s="74"/>
    </row>
    <row r="147" spans="1:15">
      <c r="A147" s="107"/>
      <c r="B147" s="107"/>
      <c r="C147" s="107"/>
      <c r="D147" s="68" t="s">
        <v>421</v>
      </c>
      <c r="E147">
        <v>11</v>
      </c>
      <c r="G147" t="s">
        <v>435</v>
      </c>
      <c r="H147" s="67">
        <v>44623</v>
      </c>
      <c r="J147" s="73"/>
      <c r="K147" s="74"/>
      <c r="L147" s="73"/>
      <c r="M147" s="74">
        <v>153</v>
      </c>
      <c r="N147" s="73">
        <v>201</v>
      </c>
      <c r="O147" s="74"/>
    </row>
    <row r="148" spans="1:15">
      <c r="A148" s="107"/>
      <c r="B148" s="107"/>
      <c r="C148" s="107"/>
      <c r="D148" s="68" t="s">
        <v>424</v>
      </c>
      <c r="H148" s="67"/>
      <c r="J148" s="73"/>
      <c r="K148" s="74"/>
      <c r="L148" s="73"/>
      <c r="M148" s="74"/>
      <c r="N148" s="73"/>
      <c r="O148" s="76" t="s">
        <v>575</v>
      </c>
    </row>
    <row r="149" spans="1:15">
      <c r="A149" s="107" t="s">
        <v>578</v>
      </c>
      <c r="B149" s="107" t="s">
        <v>540</v>
      </c>
      <c r="C149" s="107" t="s">
        <v>622</v>
      </c>
      <c r="D149" s="68" t="s">
        <v>417</v>
      </c>
      <c r="G149" t="s">
        <v>435</v>
      </c>
      <c r="H149" s="67">
        <v>44623</v>
      </c>
      <c r="J149" s="73"/>
      <c r="K149" s="74"/>
      <c r="L149" s="73"/>
      <c r="M149" s="74">
        <v>6.21</v>
      </c>
      <c r="N149" s="73">
        <v>6.1</v>
      </c>
      <c r="O149" s="74"/>
    </row>
    <row r="150" spans="1:15">
      <c r="A150" s="107"/>
      <c r="B150" s="107"/>
      <c r="C150" s="107"/>
      <c r="D150" s="68" t="s">
        <v>418</v>
      </c>
      <c r="E150" t="s">
        <v>419</v>
      </c>
      <c r="G150" t="s">
        <v>435</v>
      </c>
      <c r="H150" s="67">
        <v>44623</v>
      </c>
      <c r="J150" s="73"/>
      <c r="K150" s="74"/>
      <c r="L150" s="73"/>
      <c r="M150" s="74">
        <v>1.89</v>
      </c>
      <c r="N150" s="73">
        <v>1.64</v>
      </c>
      <c r="O150" s="74"/>
    </row>
    <row r="151" spans="1:15">
      <c r="A151" s="107"/>
      <c r="B151" s="107"/>
      <c r="C151" s="107"/>
      <c r="D151" s="68" t="s">
        <v>420</v>
      </c>
      <c r="E151" t="s">
        <v>419</v>
      </c>
      <c r="G151" t="s">
        <v>435</v>
      </c>
      <c r="H151" s="67">
        <v>44623</v>
      </c>
      <c r="J151" s="73"/>
      <c r="K151" s="74"/>
      <c r="L151" s="73"/>
      <c r="M151" s="74">
        <v>8.1</v>
      </c>
      <c r="N151" s="73">
        <v>7.74</v>
      </c>
      <c r="O151" s="74"/>
    </row>
    <row r="152" spans="1:15">
      <c r="A152" s="107"/>
      <c r="B152" s="107"/>
      <c r="C152" s="107"/>
      <c r="D152" s="68" t="s">
        <v>589</v>
      </c>
      <c r="G152" t="s">
        <v>661</v>
      </c>
      <c r="H152" s="67">
        <v>44623</v>
      </c>
      <c r="J152" s="73"/>
      <c r="K152" s="74"/>
      <c r="L152" s="73"/>
      <c r="M152" s="74">
        <v>0.51500000000000001</v>
      </c>
      <c r="N152" s="73">
        <v>0.55100000000000005</v>
      </c>
      <c r="O152" s="74"/>
    </row>
    <row r="153" spans="1:15">
      <c r="A153" s="107"/>
      <c r="B153" s="107"/>
      <c r="C153" s="107"/>
      <c r="D153" s="68" t="s">
        <v>614</v>
      </c>
      <c r="G153" t="s">
        <v>661</v>
      </c>
      <c r="H153" s="67">
        <v>44623</v>
      </c>
      <c r="J153" s="73"/>
      <c r="K153" s="74"/>
      <c r="L153" s="73"/>
      <c r="M153" s="74">
        <v>0.157</v>
      </c>
      <c r="N153" s="73">
        <v>0.14799999999999999</v>
      </c>
      <c r="O153" s="74"/>
    </row>
    <row r="154" spans="1:15">
      <c r="A154" s="107"/>
      <c r="B154" s="107"/>
      <c r="C154" s="107"/>
      <c r="D154" s="68" t="s">
        <v>612</v>
      </c>
      <c r="G154" t="s">
        <v>661</v>
      </c>
      <c r="H154" s="67">
        <v>44623</v>
      </c>
      <c r="J154" s="73"/>
      <c r="K154" s="74"/>
      <c r="L154" s="73"/>
      <c r="M154" s="74">
        <v>0.67100000000000004</v>
      </c>
      <c r="N154" s="73">
        <v>0.69799999999999995</v>
      </c>
      <c r="O154" s="74"/>
    </row>
    <row r="155" spans="1:15">
      <c r="A155" s="107"/>
      <c r="B155" s="107"/>
      <c r="C155" s="107"/>
      <c r="D155" s="68" t="s">
        <v>424</v>
      </c>
      <c r="H155" s="67"/>
      <c r="J155" s="73"/>
      <c r="K155" s="74"/>
      <c r="L155" s="73"/>
      <c r="M155" s="74"/>
      <c r="N155" s="73"/>
      <c r="O155" s="76" t="s">
        <v>575</v>
      </c>
    </row>
    <row r="156" spans="1:15">
      <c r="A156" s="107" t="s">
        <v>58</v>
      </c>
      <c r="B156" s="107" t="s">
        <v>59</v>
      </c>
      <c r="C156" s="107" t="s">
        <v>60</v>
      </c>
      <c r="D156" s="68" t="s">
        <v>417</v>
      </c>
      <c r="G156" t="s">
        <v>435</v>
      </c>
      <c r="H156" s="67">
        <v>44561</v>
      </c>
      <c r="J156" s="73">
        <v>8.0287915246316803</v>
      </c>
      <c r="K156" s="74">
        <v>6.5660701667357202</v>
      </c>
      <c r="L156" s="73">
        <v>6.62201886746863</v>
      </c>
      <c r="M156" s="74">
        <v>4.2233661489335503</v>
      </c>
      <c r="N156" s="73">
        <v>3.7507315607425</v>
      </c>
      <c r="O156" s="74">
        <v>4.2233661489335503</v>
      </c>
    </row>
    <row r="157" spans="1:15">
      <c r="A157" s="107"/>
      <c r="B157" s="107"/>
      <c r="C157" s="107"/>
      <c r="D157" s="68" t="s">
        <v>418</v>
      </c>
      <c r="E157" t="s">
        <v>419</v>
      </c>
      <c r="G157" t="s">
        <v>435</v>
      </c>
      <c r="H157" s="67">
        <v>44561</v>
      </c>
      <c r="J157" s="73">
        <v>0</v>
      </c>
      <c r="K157" s="74">
        <v>0</v>
      </c>
      <c r="L157" s="73">
        <v>0</v>
      </c>
      <c r="M157" s="74">
        <v>0</v>
      </c>
      <c r="N157" s="73">
        <v>0</v>
      </c>
      <c r="O157" s="74">
        <v>0</v>
      </c>
    </row>
    <row r="158" spans="1:15">
      <c r="A158" s="107"/>
      <c r="B158" s="107"/>
      <c r="C158" s="107"/>
      <c r="D158" s="68" t="s">
        <v>420</v>
      </c>
      <c r="E158" t="s">
        <v>419</v>
      </c>
      <c r="G158" t="s">
        <v>435</v>
      </c>
      <c r="H158" s="67">
        <v>44561</v>
      </c>
      <c r="J158" s="73">
        <v>8.0287915246316803</v>
      </c>
      <c r="K158" s="74">
        <v>6.5660701667357202</v>
      </c>
      <c r="L158" s="73">
        <v>6.62201886746863</v>
      </c>
      <c r="M158" s="74">
        <v>4.2233661489335503</v>
      </c>
      <c r="N158" s="73">
        <v>3.7507315607425</v>
      </c>
      <c r="O158" s="74">
        <v>4.2233661489335503</v>
      </c>
    </row>
    <row r="159" spans="1:15">
      <c r="A159" s="107"/>
      <c r="B159" s="107"/>
      <c r="C159" s="107"/>
      <c r="D159" s="68" t="s">
        <v>421</v>
      </c>
      <c r="E159" t="s">
        <v>422</v>
      </c>
      <c r="G159" t="s">
        <v>435</v>
      </c>
      <c r="H159" s="67">
        <v>44561</v>
      </c>
      <c r="J159" s="73"/>
      <c r="K159" s="74"/>
      <c r="L159" s="73"/>
      <c r="M159" s="74"/>
      <c r="N159" s="73"/>
      <c r="O159" s="74"/>
    </row>
    <row r="160" spans="1:15">
      <c r="A160" s="107"/>
      <c r="B160" s="107"/>
      <c r="C160" s="107"/>
      <c r="D160" s="68" t="s">
        <v>423</v>
      </c>
      <c r="G160" t="s">
        <v>63</v>
      </c>
      <c r="H160" s="67">
        <v>44561</v>
      </c>
      <c r="J160" s="73">
        <v>10.311126979999999</v>
      </c>
      <c r="K160" s="74">
        <v>9.0333661999999997</v>
      </c>
      <c r="L160" s="73">
        <v>8.7434580000000004</v>
      </c>
      <c r="M160" s="74">
        <v>6.4909062000000004</v>
      </c>
      <c r="N160" s="73">
        <v>6.0783424000000004</v>
      </c>
      <c r="O160" s="74">
        <v>6.4909062000000004</v>
      </c>
    </row>
    <row r="161" spans="1:18">
      <c r="A161" s="107"/>
      <c r="B161" s="107"/>
      <c r="C161" s="107"/>
      <c r="D161" s="68" t="s">
        <v>424</v>
      </c>
      <c r="H161" s="67"/>
      <c r="J161" s="73"/>
      <c r="K161" s="74"/>
      <c r="L161" s="73"/>
      <c r="M161" s="74"/>
      <c r="N161" s="73"/>
      <c r="O161" s="74"/>
    </row>
    <row r="162" spans="1:18">
      <c r="A162" s="108" t="s">
        <v>64</v>
      </c>
      <c r="B162" s="108" t="s">
        <v>65</v>
      </c>
      <c r="C162" s="108" t="s">
        <v>66</v>
      </c>
      <c r="D162" s="68" t="s">
        <v>417</v>
      </c>
      <c r="G162" t="s">
        <v>435</v>
      </c>
      <c r="H162" s="67">
        <v>44561</v>
      </c>
      <c r="J162" s="73">
        <v>12.247083817892101</v>
      </c>
      <c r="K162" s="74">
        <v>13.5958064794906</v>
      </c>
      <c r="L162" s="73">
        <v>14.5804238153298</v>
      </c>
      <c r="M162" s="74">
        <v>11.098764958614</v>
      </c>
      <c r="N162" s="73">
        <v>11.0377558529367</v>
      </c>
      <c r="O162" s="74"/>
    </row>
    <row r="163" spans="1:18">
      <c r="A163" s="109"/>
      <c r="B163" s="109"/>
      <c r="C163" s="109"/>
      <c r="D163" s="68" t="s">
        <v>418</v>
      </c>
      <c r="E163" t="s">
        <v>419</v>
      </c>
      <c r="G163" t="s">
        <v>435</v>
      </c>
      <c r="H163" s="67">
        <v>44561</v>
      </c>
      <c r="J163" s="73">
        <v>0</v>
      </c>
      <c r="K163" s="74">
        <v>0</v>
      </c>
      <c r="L163" s="73">
        <v>0</v>
      </c>
      <c r="M163" s="74">
        <v>0</v>
      </c>
      <c r="N163" s="73">
        <v>0</v>
      </c>
      <c r="O163" s="74"/>
    </row>
    <row r="164" spans="1:18">
      <c r="A164" s="109"/>
      <c r="B164" s="109"/>
      <c r="C164" s="109"/>
      <c r="D164" s="68" t="s">
        <v>420</v>
      </c>
      <c r="E164" t="s">
        <v>419</v>
      </c>
      <c r="G164" t="s">
        <v>435</v>
      </c>
      <c r="H164" s="67">
        <v>44561</v>
      </c>
      <c r="J164" s="73">
        <v>12.247083817892101</v>
      </c>
      <c r="K164" s="74">
        <v>13.5958064794906</v>
      </c>
      <c r="L164" s="73">
        <v>14.5804238153298</v>
      </c>
      <c r="M164" s="74">
        <v>11.098764958614</v>
      </c>
      <c r="N164" s="73">
        <v>11.0377558529367</v>
      </c>
      <c r="O164" s="74"/>
    </row>
    <row r="165" spans="1:18">
      <c r="A165" s="109"/>
      <c r="B165" s="109"/>
      <c r="C165" s="109"/>
      <c r="D165" s="68" t="s">
        <v>421</v>
      </c>
      <c r="E165" t="s">
        <v>422</v>
      </c>
      <c r="G165" t="s">
        <v>435</v>
      </c>
      <c r="H165" s="67">
        <v>44561</v>
      </c>
      <c r="J165" s="73"/>
      <c r="K165" s="74"/>
      <c r="L165" s="73"/>
      <c r="M165" s="74"/>
      <c r="N165" s="73"/>
      <c r="O165" s="74"/>
    </row>
    <row r="166" spans="1:18">
      <c r="A166" s="109"/>
      <c r="B166" s="109"/>
      <c r="C166" s="109"/>
      <c r="D166" s="68" t="s">
        <v>423</v>
      </c>
      <c r="G166" t="s">
        <v>63</v>
      </c>
      <c r="H166" s="67">
        <v>44561</v>
      </c>
      <c r="J166" s="73">
        <v>16.476443515</v>
      </c>
      <c r="K166" s="74">
        <v>18.56133809</v>
      </c>
      <c r="L166" s="73">
        <v>21.667851862999999</v>
      </c>
      <c r="M166" s="74">
        <v>20.524337211500001</v>
      </c>
      <c r="N166" s="73">
        <v>22.008184386</v>
      </c>
      <c r="O166" s="74"/>
    </row>
    <row r="167" spans="1:18">
      <c r="A167" s="110"/>
      <c r="B167" s="110"/>
      <c r="C167" s="110"/>
      <c r="D167" s="68" t="s">
        <v>424</v>
      </c>
      <c r="H167" s="67"/>
      <c r="J167" s="73"/>
      <c r="K167" s="74"/>
      <c r="L167" s="73"/>
      <c r="M167" s="74"/>
      <c r="N167" s="73"/>
      <c r="O167" s="74"/>
    </row>
    <row r="168" spans="1:18">
      <c r="A168" s="107" t="s">
        <v>64</v>
      </c>
      <c r="B168" s="107" t="s">
        <v>65</v>
      </c>
      <c r="C168" s="107" t="s">
        <v>66</v>
      </c>
      <c r="D168" s="68" t="s">
        <v>417</v>
      </c>
      <c r="E168" t="s">
        <v>449</v>
      </c>
      <c r="F168" t="s">
        <v>588</v>
      </c>
      <c r="G168" t="s">
        <v>434</v>
      </c>
      <c r="H168" s="67">
        <v>44762</v>
      </c>
      <c r="J168" s="73"/>
      <c r="K168" s="74"/>
      <c r="L168" s="73"/>
      <c r="M168" s="74">
        <f>14268761</f>
        <v>14268761</v>
      </c>
      <c r="N168" s="73">
        <f>12591944</f>
        <v>12591944</v>
      </c>
      <c r="O168" s="74">
        <f>15690441</f>
        <v>15690441</v>
      </c>
      <c r="P168" s="58"/>
      <c r="Q168" s="58"/>
      <c r="R168" s="58"/>
    </row>
    <row r="169" spans="1:18">
      <c r="A169" s="107"/>
      <c r="B169" s="107"/>
      <c r="C169" s="107"/>
      <c r="D169" s="68" t="s">
        <v>417</v>
      </c>
      <c r="E169" t="s">
        <v>456</v>
      </c>
      <c r="F169" t="s">
        <v>588</v>
      </c>
      <c r="G169" t="s">
        <v>434</v>
      </c>
      <c r="H169" s="67">
        <v>44762</v>
      </c>
      <c r="J169" s="73"/>
      <c r="K169" s="74"/>
      <c r="L169" s="73"/>
      <c r="M169" s="74">
        <f>14198188</f>
        <v>14198188</v>
      </c>
      <c r="N169" s="73">
        <f>12524790</f>
        <v>12524790</v>
      </c>
      <c r="O169" s="74">
        <f>15617335</f>
        <v>15617335</v>
      </c>
      <c r="P169" s="58"/>
      <c r="Q169" s="58"/>
      <c r="R169" s="58"/>
    </row>
    <row r="170" spans="1:18">
      <c r="A170" s="107"/>
      <c r="B170" s="107"/>
      <c r="C170" s="107"/>
      <c r="D170" s="68" t="s">
        <v>417</v>
      </c>
      <c r="E170" t="s">
        <v>528</v>
      </c>
      <c r="F170" t="s">
        <v>588</v>
      </c>
      <c r="G170" t="s">
        <v>434</v>
      </c>
      <c r="H170" s="67">
        <v>44762</v>
      </c>
      <c r="J170" s="73"/>
      <c r="K170" s="74"/>
      <c r="L170" s="73"/>
      <c r="M170" s="74">
        <f>4814</f>
        <v>4814</v>
      </c>
      <c r="N170" s="73">
        <f>3812</f>
        <v>3812</v>
      </c>
      <c r="O170" s="74">
        <f>3355</f>
        <v>3355</v>
      </c>
      <c r="P170" s="58"/>
      <c r="Q170" s="58"/>
      <c r="R170" s="58"/>
    </row>
    <row r="171" spans="1:18">
      <c r="A171" s="107"/>
      <c r="B171" s="107"/>
      <c r="C171" s="107"/>
      <c r="D171" s="68" t="s">
        <v>417</v>
      </c>
      <c r="E171" t="s">
        <v>529</v>
      </c>
      <c r="F171" t="s">
        <v>588</v>
      </c>
      <c r="G171" t="s">
        <v>434</v>
      </c>
      <c r="H171" s="67">
        <v>44762</v>
      </c>
      <c r="J171" s="73"/>
      <c r="K171" s="74"/>
      <c r="L171" s="73"/>
      <c r="M171" s="74">
        <f>22779</f>
        <v>22779</v>
      </c>
      <c r="N171" s="73">
        <f>21242</f>
        <v>21242</v>
      </c>
      <c r="O171" s="74">
        <f>26236</f>
        <v>26236</v>
      </c>
      <c r="P171" s="58"/>
      <c r="Q171" s="58"/>
      <c r="R171" s="58"/>
    </row>
    <row r="172" spans="1:18">
      <c r="A172" s="107"/>
      <c r="B172" s="107"/>
      <c r="C172" s="107"/>
      <c r="D172" s="68" t="s">
        <v>417</v>
      </c>
      <c r="E172" t="s">
        <v>530</v>
      </c>
      <c r="F172" t="s">
        <v>588</v>
      </c>
      <c r="G172" t="s">
        <v>434</v>
      </c>
      <c r="H172" s="67">
        <v>44762</v>
      </c>
      <c r="J172" s="73"/>
      <c r="K172" s="74"/>
      <c r="L172" s="73"/>
      <c r="M172" s="74">
        <f>42979</f>
        <v>42979</v>
      </c>
      <c r="N172" s="73">
        <f>42099</f>
        <v>42099</v>
      </c>
      <c r="O172" s="74">
        <f>43514</f>
        <v>43514</v>
      </c>
      <c r="P172" s="58"/>
      <c r="Q172" s="58"/>
      <c r="R172" s="58"/>
    </row>
    <row r="173" spans="1:18">
      <c r="A173" s="107"/>
      <c r="B173" s="107"/>
      <c r="C173" s="107"/>
      <c r="D173" s="68" t="s">
        <v>418</v>
      </c>
      <c r="E173" t="s">
        <v>419</v>
      </c>
      <c r="G173" t="s">
        <v>434</v>
      </c>
      <c r="H173" s="67">
        <v>44762</v>
      </c>
      <c r="J173" s="73"/>
      <c r="K173" s="74"/>
      <c r="L173" s="73"/>
      <c r="M173" s="74">
        <v>422</v>
      </c>
      <c r="N173" s="73">
        <v>364</v>
      </c>
      <c r="O173" s="74">
        <v>433</v>
      </c>
      <c r="P173" s="58"/>
      <c r="Q173" s="58"/>
      <c r="R173" s="58"/>
    </row>
    <row r="174" spans="1:18">
      <c r="A174" s="107"/>
      <c r="B174" s="107"/>
      <c r="C174" s="107"/>
      <c r="D174" s="68" t="s">
        <v>418</v>
      </c>
      <c r="E174" t="s">
        <v>426</v>
      </c>
      <c r="G174" t="s">
        <v>434</v>
      </c>
      <c r="H174" s="67">
        <v>44762</v>
      </c>
      <c r="J174" s="73"/>
      <c r="K174" s="74"/>
      <c r="L174" s="73"/>
      <c r="M174" s="74">
        <v>412</v>
      </c>
      <c r="N174" s="74">
        <v>344</v>
      </c>
      <c r="O174" s="74">
        <v>408</v>
      </c>
    </row>
    <row r="175" spans="1:18">
      <c r="A175" s="107"/>
      <c r="B175" s="107"/>
      <c r="C175" s="107"/>
      <c r="D175" s="68" t="s">
        <v>421</v>
      </c>
      <c r="H175" s="67"/>
      <c r="J175" s="73"/>
      <c r="K175" s="74"/>
      <c r="L175" s="73"/>
      <c r="M175" s="74"/>
      <c r="N175" s="73"/>
      <c r="O175" s="74"/>
    </row>
    <row r="176" spans="1:18">
      <c r="A176" s="107"/>
      <c r="B176" s="107"/>
      <c r="C176" s="107"/>
      <c r="D176" s="68" t="s">
        <v>599</v>
      </c>
      <c r="G176" t="s">
        <v>629</v>
      </c>
      <c r="H176" s="67">
        <v>44762</v>
      </c>
      <c r="J176" s="73"/>
      <c r="K176" s="74"/>
      <c r="L176" s="73"/>
      <c r="M176" s="74">
        <v>178466.73495000001</v>
      </c>
      <c r="N176" s="73">
        <v>171565.87414999999</v>
      </c>
      <c r="O176" s="74">
        <v>172043.20735000001</v>
      </c>
    </row>
    <row r="177" spans="1:15">
      <c r="A177" s="107"/>
      <c r="B177" s="107"/>
      <c r="C177" s="107"/>
      <c r="D177" s="68" t="s">
        <v>423</v>
      </c>
      <c r="E177" t="s">
        <v>456</v>
      </c>
      <c r="F177" t="s">
        <v>430</v>
      </c>
      <c r="G177" t="s">
        <v>82</v>
      </c>
      <c r="H177" s="67">
        <v>44762</v>
      </c>
      <c r="J177" s="73"/>
      <c r="K177" s="74"/>
      <c r="L177" s="73"/>
      <c r="M177" s="96">
        <f>SUM(M178:M188)</f>
        <v>32233018.312095005</v>
      </c>
      <c r="N177" s="97">
        <f>SUM(N178:N188)</f>
        <v>31138411.893789001</v>
      </c>
      <c r="O177" s="96">
        <f>SUM(O178:O188)</f>
        <v>31900942.297408</v>
      </c>
    </row>
    <row r="178" spans="1:15">
      <c r="A178" s="107"/>
      <c r="B178" s="107"/>
      <c r="C178" s="107"/>
      <c r="D178" s="68" t="s">
        <v>456</v>
      </c>
      <c r="E178" t="s">
        <v>517</v>
      </c>
      <c r="F178" t="s">
        <v>430</v>
      </c>
      <c r="G178" t="s">
        <v>82</v>
      </c>
      <c r="H178" s="67">
        <v>44762</v>
      </c>
      <c r="J178" s="73"/>
      <c r="K178" s="74"/>
      <c r="L178" s="73"/>
      <c r="M178" s="74">
        <v>8643022.3450000007</v>
      </c>
      <c r="N178" s="73">
        <v>7020083.7143700002</v>
      </c>
      <c r="O178" s="74">
        <v>10217886.18737</v>
      </c>
    </row>
    <row r="179" spans="1:15">
      <c r="A179" s="107"/>
      <c r="B179" s="107"/>
      <c r="C179" s="107"/>
      <c r="D179" s="68" t="s">
        <v>456</v>
      </c>
      <c r="E179" t="s">
        <v>518</v>
      </c>
      <c r="F179" t="s">
        <v>430</v>
      </c>
      <c r="G179" t="s">
        <v>82</v>
      </c>
      <c r="H179" s="67">
        <v>44762</v>
      </c>
      <c r="J179" s="73"/>
      <c r="K179" s="74"/>
      <c r="L179" s="73"/>
      <c r="M179" s="74">
        <v>11070789.715</v>
      </c>
      <c r="N179" s="73">
        <v>10451667.45362</v>
      </c>
      <c r="O179" s="74">
        <v>10081715.725</v>
      </c>
    </row>
    <row r="180" spans="1:15">
      <c r="A180" s="107"/>
      <c r="B180" s="107"/>
      <c r="C180" s="107"/>
      <c r="D180" s="68" t="s">
        <v>456</v>
      </c>
      <c r="E180" t="s">
        <v>519</v>
      </c>
      <c r="F180" t="s">
        <v>430</v>
      </c>
      <c r="G180" t="s">
        <v>82</v>
      </c>
      <c r="H180" s="67">
        <v>44762</v>
      </c>
      <c r="J180" s="73"/>
      <c r="K180" s="74"/>
      <c r="L180" s="73"/>
      <c r="M180" s="74">
        <v>3747846.2</v>
      </c>
      <c r="N180" s="73">
        <v>2346939.1</v>
      </c>
      <c r="O180" s="74">
        <v>0</v>
      </c>
    </row>
    <row r="181" spans="1:15">
      <c r="A181" s="107"/>
      <c r="B181" s="107"/>
      <c r="C181" s="107"/>
      <c r="D181" s="68" t="s">
        <v>456</v>
      </c>
      <c r="E181" t="s">
        <v>520</v>
      </c>
      <c r="F181" t="s">
        <v>430</v>
      </c>
      <c r="G181" t="s">
        <v>82</v>
      </c>
      <c r="H181" s="67">
        <v>44762</v>
      </c>
      <c r="J181" s="73"/>
      <c r="K181" s="74"/>
      <c r="L181" s="73"/>
      <c r="M181" s="74">
        <v>4957.5519999999997</v>
      </c>
      <c r="N181" s="73">
        <v>743.29379999999992</v>
      </c>
      <c r="O181" s="74">
        <v>680.21500000000003</v>
      </c>
    </row>
    <row r="182" spans="1:15">
      <c r="A182" s="107"/>
      <c r="B182" s="107"/>
      <c r="C182" s="107"/>
      <c r="D182" s="68" t="s">
        <v>456</v>
      </c>
      <c r="E182" t="s">
        <v>521</v>
      </c>
      <c r="F182" t="s">
        <v>430</v>
      </c>
      <c r="G182" t="s">
        <v>82</v>
      </c>
      <c r="H182" s="67">
        <v>44762</v>
      </c>
      <c r="J182" s="73"/>
      <c r="K182" s="74"/>
      <c r="L182" s="73"/>
      <c r="M182" s="74"/>
      <c r="N182" s="73"/>
      <c r="O182" s="74"/>
    </row>
    <row r="183" spans="1:15">
      <c r="A183" s="107"/>
      <c r="B183" s="107"/>
      <c r="C183" s="107"/>
      <c r="D183" s="68" t="s">
        <v>456</v>
      </c>
      <c r="E183" t="s">
        <v>522</v>
      </c>
      <c r="F183" t="s">
        <v>430</v>
      </c>
      <c r="G183" t="s">
        <v>82</v>
      </c>
      <c r="H183" s="67">
        <v>44762</v>
      </c>
      <c r="J183" s="73"/>
      <c r="K183" s="74"/>
      <c r="L183" s="73"/>
      <c r="M183" s="74">
        <v>62897.669002000002</v>
      </c>
      <c r="N183" s="73">
        <v>43163.319000000003</v>
      </c>
      <c r="O183" s="74">
        <v>32782.554499999998</v>
      </c>
    </row>
    <row r="184" spans="1:15">
      <c r="A184" s="107"/>
      <c r="B184" s="107"/>
      <c r="C184" s="107"/>
      <c r="D184" s="68" t="s">
        <v>456</v>
      </c>
      <c r="E184" t="s">
        <v>523</v>
      </c>
      <c r="F184" t="s">
        <v>430</v>
      </c>
      <c r="G184" t="s">
        <v>82</v>
      </c>
      <c r="H184" s="67">
        <v>44762</v>
      </c>
      <c r="J184" s="73"/>
      <c r="K184" s="74"/>
      <c r="L184" s="73"/>
      <c r="M184" s="74">
        <v>0</v>
      </c>
      <c r="N184" s="73">
        <v>0</v>
      </c>
      <c r="O184" s="74">
        <v>0</v>
      </c>
    </row>
    <row r="185" spans="1:15">
      <c r="A185" s="107"/>
      <c r="B185" s="107"/>
      <c r="C185" s="107"/>
      <c r="D185" s="68" t="s">
        <v>456</v>
      </c>
      <c r="E185" t="s">
        <v>524</v>
      </c>
      <c r="F185" t="s">
        <v>430</v>
      </c>
      <c r="G185" t="s">
        <v>82</v>
      </c>
      <c r="H185" s="67">
        <v>44762</v>
      </c>
      <c r="J185" s="73"/>
      <c r="K185" s="74"/>
      <c r="L185" s="73"/>
      <c r="M185" s="74">
        <v>401658.99240300001</v>
      </c>
      <c r="N185" s="73">
        <v>396418.86952100002</v>
      </c>
      <c r="O185" s="74">
        <v>351430.85375500005</v>
      </c>
    </row>
    <row r="186" spans="1:15">
      <c r="A186" s="107"/>
      <c r="B186" s="107"/>
      <c r="C186" s="107"/>
      <c r="D186" s="68" t="s">
        <v>456</v>
      </c>
      <c r="E186" t="s">
        <v>525</v>
      </c>
      <c r="F186" t="s">
        <v>430</v>
      </c>
      <c r="G186" t="s">
        <v>82</v>
      </c>
      <c r="H186" s="67">
        <v>44762</v>
      </c>
      <c r="J186" s="73"/>
      <c r="K186" s="74"/>
      <c r="L186" s="73"/>
      <c r="M186" s="74">
        <v>15876.938676</v>
      </c>
      <c r="N186" s="73">
        <v>23605.580087999999</v>
      </c>
      <c r="O186" s="74">
        <v>34128.462853000005</v>
      </c>
    </row>
    <row r="187" spans="1:15">
      <c r="A187" s="107"/>
      <c r="B187" s="107"/>
      <c r="C187" s="107"/>
      <c r="D187" s="68" t="s">
        <v>456</v>
      </c>
      <c r="E187" t="s">
        <v>526</v>
      </c>
      <c r="F187" t="s">
        <v>430</v>
      </c>
      <c r="G187" t="s">
        <v>82</v>
      </c>
      <c r="H187" s="67">
        <v>44762</v>
      </c>
      <c r="J187" s="73"/>
      <c r="K187" s="74"/>
      <c r="L187" s="73"/>
      <c r="M187" s="74">
        <v>5224940.3026100006</v>
      </c>
      <c r="N187" s="73">
        <v>8463410.366390001</v>
      </c>
      <c r="O187" s="74">
        <v>8716371.8239300009</v>
      </c>
    </row>
    <row r="188" spans="1:15">
      <c r="A188" s="107"/>
      <c r="B188" s="107"/>
      <c r="C188" s="107"/>
      <c r="D188" s="68" t="s">
        <v>456</v>
      </c>
      <c r="E188" t="s">
        <v>527</v>
      </c>
      <c r="F188" t="s">
        <v>430</v>
      </c>
      <c r="G188" t="s">
        <v>82</v>
      </c>
      <c r="H188" s="67">
        <v>44762</v>
      </c>
      <c r="J188" s="73"/>
      <c r="K188" s="74"/>
      <c r="L188" s="73"/>
      <c r="M188" s="74">
        <v>3061028.5974039999</v>
      </c>
      <c r="N188" s="73">
        <v>2392380.1970000002</v>
      </c>
      <c r="O188" s="74">
        <v>2465946.4750000001</v>
      </c>
    </row>
    <row r="189" spans="1:15">
      <c r="A189" s="107"/>
      <c r="B189" s="107"/>
      <c r="C189" s="107"/>
      <c r="D189" s="68" t="s">
        <v>423</v>
      </c>
      <c r="E189" t="s">
        <v>456</v>
      </c>
      <c r="F189" t="s">
        <v>588</v>
      </c>
      <c r="G189" t="s">
        <v>82</v>
      </c>
      <c r="H189" s="67">
        <v>44762</v>
      </c>
      <c r="J189" s="73"/>
      <c r="K189" s="74"/>
      <c r="L189" s="73"/>
      <c r="M189" s="96">
        <f>SUM(M190:M200)</f>
        <v>22837362.731270008</v>
      </c>
      <c r="N189" s="97">
        <f>SUM(N190:N200)</f>
        <v>22586018.691</v>
      </c>
      <c r="O189" s="96">
        <f>SUM(O190:O200)</f>
        <v>25729418.987590004</v>
      </c>
    </row>
    <row r="190" spans="1:15">
      <c r="A190" s="107"/>
      <c r="B190" s="107"/>
      <c r="C190" s="107"/>
      <c r="D190" s="68" t="s">
        <v>456</v>
      </c>
      <c r="E190" t="s">
        <v>517</v>
      </c>
      <c r="F190" t="s">
        <v>588</v>
      </c>
      <c r="G190" t="s">
        <v>82</v>
      </c>
      <c r="H190" s="67">
        <v>44762</v>
      </c>
      <c r="J190" s="73"/>
      <c r="K190" s="74"/>
      <c r="L190" s="73"/>
      <c r="M190" s="74">
        <v>8643022.3450000007</v>
      </c>
      <c r="N190" s="73">
        <v>7020083.7143700002</v>
      </c>
      <c r="O190">
        <v>10217886.18737</v>
      </c>
    </row>
    <row r="191" spans="1:15">
      <c r="A191" s="107"/>
      <c r="B191" s="107"/>
      <c r="C191" s="107"/>
      <c r="D191" s="68" t="s">
        <v>456</v>
      </c>
      <c r="E191" t="s">
        <v>518</v>
      </c>
      <c r="F191" t="s">
        <v>588</v>
      </c>
      <c r="G191" t="s">
        <v>82</v>
      </c>
      <c r="H191" s="67">
        <v>44762</v>
      </c>
      <c r="J191" s="73"/>
      <c r="K191" s="74"/>
      <c r="L191" s="73"/>
      <c r="M191" s="74">
        <v>11059565.715</v>
      </c>
      <c r="N191" s="73">
        <v>10440401.45362</v>
      </c>
      <c r="O191">
        <v>10054417.947999999</v>
      </c>
    </row>
    <row r="192" spans="1:15">
      <c r="A192" s="107"/>
      <c r="B192" s="107"/>
      <c r="C192" s="107"/>
      <c r="D192" s="68" t="s">
        <v>456</v>
      </c>
      <c r="E192" t="s">
        <v>519</v>
      </c>
      <c r="F192" t="s">
        <v>588</v>
      </c>
      <c r="G192" t="s">
        <v>82</v>
      </c>
      <c r="H192" s="67">
        <v>44762</v>
      </c>
      <c r="J192" s="73"/>
      <c r="K192" s="74"/>
      <c r="L192" s="73"/>
      <c r="M192" s="74">
        <v>0</v>
      </c>
      <c r="N192" s="73">
        <v>0</v>
      </c>
      <c r="O192">
        <v>0</v>
      </c>
    </row>
    <row r="193" spans="1:15">
      <c r="A193" s="107"/>
      <c r="B193" s="107"/>
      <c r="C193" s="107"/>
      <c r="D193" s="68" t="s">
        <v>456</v>
      </c>
      <c r="E193" t="s">
        <v>520</v>
      </c>
      <c r="F193" t="s">
        <v>588</v>
      </c>
      <c r="G193" t="s">
        <v>82</v>
      </c>
      <c r="H193" s="67">
        <v>44762</v>
      </c>
      <c r="J193" s="73"/>
      <c r="K193" s="74"/>
      <c r="L193" s="73"/>
      <c r="M193" s="74">
        <v>4957.5519999999997</v>
      </c>
      <c r="N193" s="73">
        <v>743.29379999999992</v>
      </c>
      <c r="O193">
        <v>680.21500000000003</v>
      </c>
    </row>
    <row r="194" spans="1:15">
      <c r="A194" s="107"/>
      <c r="B194" s="107"/>
      <c r="C194" s="107"/>
      <c r="D194" s="68" t="s">
        <v>456</v>
      </c>
      <c r="E194" t="s">
        <v>521</v>
      </c>
      <c r="F194" t="s">
        <v>588</v>
      </c>
      <c r="G194" t="s">
        <v>82</v>
      </c>
      <c r="H194" s="67">
        <v>44762</v>
      </c>
      <c r="J194" s="73"/>
      <c r="K194" s="74"/>
      <c r="L194" s="73"/>
      <c r="M194" s="74"/>
      <c r="N194" s="73"/>
    </row>
    <row r="195" spans="1:15">
      <c r="A195" s="107"/>
      <c r="B195" s="107"/>
      <c r="C195" s="107"/>
      <c r="D195" s="68" t="s">
        <v>456</v>
      </c>
      <c r="E195" t="s">
        <v>522</v>
      </c>
      <c r="F195" t="s">
        <v>588</v>
      </c>
      <c r="G195" t="s">
        <v>82</v>
      </c>
      <c r="H195" s="67">
        <v>44762</v>
      </c>
      <c r="J195" s="73"/>
      <c r="K195" s="74"/>
      <c r="L195" s="73"/>
      <c r="M195" s="74">
        <v>0</v>
      </c>
      <c r="N195" s="73">
        <v>0</v>
      </c>
      <c r="O195">
        <v>0</v>
      </c>
    </row>
    <row r="196" spans="1:15">
      <c r="A196" s="107"/>
      <c r="B196" s="107"/>
      <c r="C196" s="107"/>
      <c r="D196" s="68" t="s">
        <v>456</v>
      </c>
      <c r="E196" t="s">
        <v>523</v>
      </c>
      <c r="F196" t="s">
        <v>588</v>
      </c>
      <c r="G196" t="s">
        <v>82</v>
      </c>
      <c r="H196" s="67">
        <v>44762</v>
      </c>
      <c r="J196" s="73"/>
      <c r="K196" s="74"/>
      <c r="L196" s="73"/>
      <c r="M196" s="74">
        <v>0</v>
      </c>
      <c r="N196" s="73">
        <v>0</v>
      </c>
      <c r="O196">
        <v>0</v>
      </c>
    </row>
    <row r="197" spans="1:15">
      <c r="A197" s="107"/>
      <c r="B197" s="107"/>
      <c r="C197" s="107"/>
      <c r="D197" s="68" t="s">
        <v>456</v>
      </c>
      <c r="E197" t="s">
        <v>524</v>
      </c>
      <c r="F197" t="s">
        <v>588</v>
      </c>
      <c r="G197" t="s">
        <v>82</v>
      </c>
      <c r="H197" s="67">
        <v>44762</v>
      </c>
      <c r="J197" s="73"/>
      <c r="K197" s="74"/>
      <c r="L197" s="73"/>
      <c r="M197" s="74">
        <v>227621.91999999998</v>
      </c>
      <c r="N197" s="73">
        <v>242130.32000000004</v>
      </c>
      <c r="O197">
        <v>208904.497</v>
      </c>
    </row>
    <row r="198" spans="1:15">
      <c r="A198" s="107"/>
      <c r="B198" s="107"/>
      <c r="C198" s="107"/>
      <c r="D198" s="68" t="s">
        <v>456</v>
      </c>
      <c r="E198" t="s">
        <v>525</v>
      </c>
      <c r="F198" t="s">
        <v>588</v>
      </c>
      <c r="G198" t="s">
        <v>82</v>
      </c>
      <c r="H198" s="67">
        <v>44762</v>
      </c>
      <c r="J198" s="73"/>
      <c r="K198" s="74"/>
      <c r="L198" s="73"/>
      <c r="M198" s="74">
        <v>6349.4542700000002</v>
      </c>
      <c r="N198" s="73">
        <v>10786.04421</v>
      </c>
      <c r="O198">
        <v>16541.443219999997</v>
      </c>
    </row>
    <row r="199" spans="1:15">
      <c r="A199" s="107"/>
      <c r="B199" s="107"/>
      <c r="C199" s="107"/>
      <c r="D199" s="68" t="s">
        <v>456</v>
      </c>
      <c r="E199" t="s">
        <v>526</v>
      </c>
      <c r="F199" t="s">
        <v>588</v>
      </c>
      <c r="G199" t="s">
        <v>82</v>
      </c>
      <c r="H199" s="67">
        <v>44762</v>
      </c>
      <c r="J199" s="73"/>
      <c r="K199" s="74"/>
      <c r="L199" s="73"/>
      <c r="M199" s="74">
        <v>2895845.7450000001</v>
      </c>
      <c r="N199" s="73">
        <v>4871873.8650000002</v>
      </c>
      <c r="O199">
        <v>5230988.6970000006</v>
      </c>
    </row>
    <row r="200" spans="1:15">
      <c r="A200" s="107"/>
      <c r="B200" s="107"/>
      <c r="C200" s="107"/>
      <c r="D200" s="68" t="s">
        <v>456</v>
      </c>
      <c r="E200" t="s">
        <v>527</v>
      </c>
      <c r="F200" t="s">
        <v>588</v>
      </c>
      <c r="G200" t="s">
        <v>82</v>
      </c>
      <c r="H200" s="67">
        <v>44762</v>
      </c>
      <c r="J200" s="73"/>
      <c r="K200" s="74"/>
      <c r="L200" s="73"/>
      <c r="M200" s="74">
        <v>0</v>
      </c>
      <c r="N200" s="73">
        <v>0</v>
      </c>
      <c r="O200">
        <v>0</v>
      </c>
    </row>
    <row r="201" spans="1:15">
      <c r="A201" s="107"/>
      <c r="B201" s="107"/>
      <c r="C201" s="107"/>
      <c r="D201" s="68" t="s">
        <v>424</v>
      </c>
      <c r="H201" s="67"/>
      <c r="J201" s="73"/>
      <c r="K201" s="74"/>
      <c r="L201" s="73"/>
      <c r="M201" s="74"/>
      <c r="N201" s="73"/>
      <c r="O201" s="95" t="s">
        <v>585</v>
      </c>
    </row>
    <row r="202" spans="1:15">
      <c r="A202" s="107"/>
      <c r="B202" s="107"/>
      <c r="C202" s="107"/>
      <c r="D202" s="68" t="s">
        <v>482</v>
      </c>
      <c r="H202" s="67">
        <v>44762</v>
      </c>
      <c r="J202" s="73"/>
      <c r="K202" s="74"/>
      <c r="L202" s="73"/>
      <c r="M202" s="74"/>
      <c r="N202" s="73"/>
      <c r="O202" s="76" t="s">
        <v>584</v>
      </c>
    </row>
    <row r="203" spans="1:15">
      <c r="A203" s="107" t="s">
        <v>67</v>
      </c>
      <c r="B203" s="107" t="s">
        <v>68</v>
      </c>
      <c r="C203" s="107" t="s">
        <v>69</v>
      </c>
      <c r="D203" s="68" t="s">
        <v>417</v>
      </c>
      <c r="G203" t="s">
        <v>435</v>
      </c>
      <c r="H203" s="67">
        <v>44561</v>
      </c>
      <c r="J203" s="73">
        <v>28.146923974777199</v>
      </c>
      <c r="K203" s="74">
        <v>31.187509563115398</v>
      </c>
      <c r="L203" s="73">
        <v>30.6720137556736</v>
      </c>
      <c r="M203" s="74">
        <v>23.409708274206501</v>
      </c>
      <c r="N203" s="73">
        <v>25.799494098497401</v>
      </c>
      <c r="O203" s="74"/>
    </row>
    <row r="204" spans="1:15">
      <c r="A204" s="107"/>
      <c r="B204" s="107"/>
      <c r="C204" s="107"/>
      <c r="D204" s="68" t="s">
        <v>418</v>
      </c>
      <c r="E204" t="s">
        <v>419</v>
      </c>
      <c r="G204" t="s">
        <v>435</v>
      </c>
      <c r="H204" s="67">
        <v>44561</v>
      </c>
      <c r="J204" s="73">
        <v>0</v>
      </c>
      <c r="K204" s="74">
        <v>0</v>
      </c>
      <c r="L204" s="73">
        <v>0</v>
      </c>
      <c r="M204" s="74">
        <v>0</v>
      </c>
      <c r="N204" s="73">
        <v>0</v>
      </c>
      <c r="O204" s="74"/>
    </row>
    <row r="205" spans="1:15">
      <c r="A205" s="107"/>
      <c r="B205" s="107"/>
      <c r="C205" s="107"/>
      <c r="D205" s="68" t="s">
        <v>420</v>
      </c>
      <c r="E205" t="s">
        <v>419</v>
      </c>
      <c r="G205" t="s">
        <v>435</v>
      </c>
      <c r="H205" s="67">
        <v>44561</v>
      </c>
      <c r="J205" s="73">
        <v>28.146923974777199</v>
      </c>
      <c r="K205" s="74">
        <v>31.187509563115398</v>
      </c>
      <c r="L205" s="73">
        <v>30.6720137556736</v>
      </c>
      <c r="M205" s="74">
        <v>23.409708274206501</v>
      </c>
      <c r="N205" s="73">
        <v>25.799494098497401</v>
      </c>
      <c r="O205" s="74"/>
    </row>
    <row r="206" spans="1:15">
      <c r="A206" s="107"/>
      <c r="B206" s="107"/>
      <c r="C206" s="107"/>
      <c r="D206" s="68" t="s">
        <v>421</v>
      </c>
      <c r="E206" t="s">
        <v>422</v>
      </c>
      <c r="G206" t="s">
        <v>435</v>
      </c>
      <c r="H206" s="67">
        <v>44561</v>
      </c>
      <c r="J206" s="73"/>
      <c r="K206" s="74"/>
      <c r="L206" s="73"/>
      <c r="M206" s="74"/>
      <c r="N206" s="73"/>
      <c r="O206" s="74"/>
    </row>
    <row r="207" spans="1:15">
      <c r="A207" s="107"/>
      <c r="B207" s="107"/>
      <c r="C207" s="107"/>
      <c r="D207" s="68" t="s">
        <v>423</v>
      </c>
      <c r="G207" t="s">
        <v>63</v>
      </c>
      <c r="H207" s="67">
        <v>44561</v>
      </c>
      <c r="J207" s="73">
        <v>38.509234999999997</v>
      </c>
      <c r="K207" s="74">
        <v>40.953088000000001</v>
      </c>
      <c r="L207" s="73">
        <v>42.757387999999999</v>
      </c>
      <c r="M207" s="74">
        <v>35.416853000000003</v>
      </c>
      <c r="N207" s="73">
        <v>35.824987</v>
      </c>
      <c r="O207" s="74"/>
    </row>
    <row r="208" spans="1:15">
      <c r="A208" s="107"/>
      <c r="B208" s="107"/>
      <c r="C208" s="107"/>
      <c r="D208" s="68" t="s">
        <v>424</v>
      </c>
      <c r="H208" s="67"/>
      <c r="J208" s="73"/>
      <c r="K208" s="74"/>
      <c r="L208" s="73"/>
      <c r="M208" s="74"/>
      <c r="N208" s="73"/>
      <c r="O208" s="74"/>
    </row>
    <row r="209" spans="1:15">
      <c r="A209" s="107" t="s">
        <v>67</v>
      </c>
      <c r="B209" s="107" t="s">
        <v>68</v>
      </c>
      <c r="C209" s="107" t="s">
        <v>69</v>
      </c>
      <c r="D209" s="68" t="s">
        <v>417</v>
      </c>
      <c r="G209" t="s">
        <v>434</v>
      </c>
      <c r="H209" s="67">
        <v>44561</v>
      </c>
      <c r="J209" s="73"/>
      <c r="K209" s="74"/>
      <c r="L209" s="73"/>
      <c r="M209" s="74">
        <f>24413651</f>
        <v>24413651</v>
      </c>
      <c r="N209" s="73">
        <f>25967236</f>
        <v>25967236</v>
      </c>
      <c r="O209" s="74"/>
    </row>
    <row r="210" spans="1:15">
      <c r="A210" s="107"/>
      <c r="B210" s="107"/>
      <c r="C210" s="107"/>
      <c r="D210" s="68" t="s">
        <v>418</v>
      </c>
      <c r="E210" t="s">
        <v>419</v>
      </c>
      <c r="G210" t="s">
        <v>434</v>
      </c>
      <c r="H210" s="67">
        <v>44561</v>
      </c>
      <c r="J210" s="73"/>
      <c r="K210" s="74"/>
      <c r="L210" s="73"/>
      <c r="M210" s="74">
        <f>62836</f>
        <v>62836</v>
      </c>
      <c r="N210" s="73">
        <f>58106</f>
        <v>58106</v>
      </c>
      <c r="O210" s="74"/>
    </row>
    <row r="211" spans="1:15">
      <c r="A211" s="107"/>
      <c r="B211" s="107"/>
      <c r="C211" s="107"/>
      <c r="D211" s="68" t="s">
        <v>420</v>
      </c>
      <c r="E211" t="s">
        <v>419</v>
      </c>
      <c r="G211" t="s">
        <v>434</v>
      </c>
      <c r="H211" s="67">
        <v>44561</v>
      </c>
      <c r="J211" s="73"/>
      <c r="K211" s="74"/>
      <c r="L211" s="73"/>
      <c r="M211" s="74">
        <f>M209+M210</f>
        <v>24476487</v>
      </c>
      <c r="N211" s="74">
        <f>N209+N210</f>
        <v>26025342</v>
      </c>
      <c r="O211" s="74"/>
    </row>
    <row r="212" spans="1:15">
      <c r="A212" s="107"/>
      <c r="B212" s="107"/>
      <c r="C212" s="107"/>
      <c r="D212" s="68" t="s">
        <v>421</v>
      </c>
      <c r="E212" t="s">
        <v>516</v>
      </c>
      <c r="G212" t="s">
        <v>434</v>
      </c>
      <c r="H212" s="67">
        <v>44561</v>
      </c>
      <c r="J212" s="73"/>
      <c r="K212" s="74"/>
      <c r="L212" s="73"/>
      <c r="M212" s="74">
        <f>792353</f>
        <v>792353</v>
      </c>
      <c r="N212" s="73">
        <f>13769661</f>
        <v>13769661</v>
      </c>
      <c r="O212" s="74"/>
    </row>
    <row r="213" spans="1:15">
      <c r="A213" s="107"/>
      <c r="B213" s="107"/>
      <c r="C213" s="107"/>
      <c r="D213" s="68" t="s">
        <v>423</v>
      </c>
      <c r="G213" t="s">
        <v>82</v>
      </c>
      <c r="H213" s="67">
        <v>44561</v>
      </c>
      <c r="J213" s="73"/>
      <c r="K213" s="74"/>
      <c r="L213" s="73"/>
      <c r="M213" s="74">
        <f>M211/0.77</f>
        <v>31787645.454545453</v>
      </c>
      <c r="N213" s="74">
        <f>N211/0.77</f>
        <v>33799145.454545453</v>
      </c>
      <c r="O213" s="74"/>
    </row>
    <row r="214" spans="1:15">
      <c r="A214" s="107"/>
      <c r="B214" s="107"/>
      <c r="C214" s="107"/>
      <c r="D214" s="68" t="s">
        <v>424</v>
      </c>
      <c r="H214" s="67"/>
      <c r="J214" s="73"/>
      <c r="K214" s="74"/>
      <c r="L214" s="73"/>
      <c r="M214" s="74"/>
      <c r="N214" s="73"/>
      <c r="O214" s="74"/>
    </row>
    <row r="215" spans="1:15">
      <c r="A215" s="107" t="s">
        <v>70</v>
      </c>
      <c r="B215" s="107" t="s">
        <v>71</v>
      </c>
      <c r="C215" s="107" t="s">
        <v>72</v>
      </c>
      <c r="D215" s="68" t="s">
        <v>417</v>
      </c>
      <c r="G215" t="s">
        <v>435</v>
      </c>
      <c r="H215" s="67">
        <v>44561</v>
      </c>
      <c r="J215" s="73">
        <v>91.800593776570196</v>
      </c>
      <c r="K215" s="74">
        <v>66.975500250346002</v>
      </c>
      <c r="L215" s="73">
        <v>66.441625876883506</v>
      </c>
      <c r="M215" s="74">
        <v>58.130282313466502</v>
      </c>
      <c r="N215" s="73">
        <v>43.9616275947863</v>
      </c>
      <c r="O215" s="74"/>
    </row>
    <row r="216" spans="1:15">
      <c r="A216" s="107"/>
      <c r="B216" s="107"/>
      <c r="C216" s="107"/>
      <c r="D216" s="68" t="s">
        <v>418</v>
      </c>
      <c r="E216" t="s">
        <v>419</v>
      </c>
      <c r="G216" t="s">
        <v>435</v>
      </c>
      <c r="H216" s="67">
        <v>44561</v>
      </c>
      <c r="J216" s="73">
        <v>0</v>
      </c>
      <c r="K216" s="74">
        <v>0</v>
      </c>
      <c r="L216" s="73">
        <v>0</v>
      </c>
      <c r="M216" s="74">
        <v>0</v>
      </c>
      <c r="N216" s="73">
        <v>0</v>
      </c>
      <c r="O216" s="74"/>
    </row>
    <row r="217" spans="1:15">
      <c r="A217" s="107"/>
      <c r="B217" s="107"/>
      <c r="C217" s="107"/>
      <c r="D217" s="68" t="s">
        <v>420</v>
      </c>
      <c r="E217" t="s">
        <v>419</v>
      </c>
      <c r="G217" t="s">
        <v>435</v>
      </c>
      <c r="H217" s="67">
        <v>44561</v>
      </c>
      <c r="J217" s="73">
        <v>91.800593776570196</v>
      </c>
      <c r="K217" s="74">
        <v>66.975500250346002</v>
      </c>
      <c r="L217" s="73">
        <v>66.441625876883506</v>
      </c>
      <c r="M217" s="74">
        <v>58.130282313466502</v>
      </c>
      <c r="N217" s="73">
        <v>43.9616275947863</v>
      </c>
      <c r="O217" s="74"/>
    </row>
    <row r="218" spans="1:15">
      <c r="A218" s="107"/>
      <c r="B218" s="107"/>
      <c r="C218" s="107"/>
      <c r="D218" s="68" t="s">
        <v>421</v>
      </c>
      <c r="E218" t="s">
        <v>422</v>
      </c>
      <c r="G218" t="s">
        <v>435</v>
      </c>
      <c r="H218" s="67">
        <v>44561</v>
      </c>
      <c r="J218" s="73"/>
      <c r="K218" s="74"/>
      <c r="L218" s="73"/>
      <c r="M218" s="74"/>
      <c r="N218" s="73"/>
      <c r="O218" s="74"/>
    </row>
    <row r="219" spans="1:15">
      <c r="A219" s="107"/>
      <c r="B219" s="107"/>
      <c r="C219" s="107"/>
      <c r="D219" s="68" t="s">
        <v>423</v>
      </c>
      <c r="G219" t="s">
        <v>63</v>
      </c>
      <c r="H219" s="67">
        <v>44561</v>
      </c>
      <c r="J219" s="73">
        <v>127.7698075333</v>
      </c>
      <c r="K219" s="74">
        <v>93.827355038848793</v>
      </c>
      <c r="L219" s="73">
        <v>93.541288949491104</v>
      </c>
      <c r="M219" s="74">
        <v>83.962493096499898</v>
      </c>
      <c r="N219" s="73">
        <v>71.7325673733</v>
      </c>
      <c r="O219" s="74"/>
    </row>
    <row r="220" spans="1:15">
      <c r="A220" s="107"/>
      <c r="B220" s="107"/>
      <c r="C220" s="107"/>
      <c r="D220" s="68" t="s">
        <v>424</v>
      </c>
      <c r="H220" s="67"/>
      <c r="J220" s="73"/>
      <c r="K220" s="74"/>
      <c r="L220" s="73"/>
      <c r="M220" s="74"/>
      <c r="N220" s="73"/>
      <c r="O220" s="74"/>
    </row>
    <row r="221" spans="1:15">
      <c r="A221" s="107" t="s">
        <v>70</v>
      </c>
      <c r="B221" s="107" t="s">
        <v>71</v>
      </c>
      <c r="C221" s="107" t="s">
        <v>72</v>
      </c>
      <c r="D221" s="68" t="s">
        <v>417</v>
      </c>
      <c r="G221" t="s">
        <v>435</v>
      </c>
      <c r="H221" s="67">
        <v>44561</v>
      </c>
      <c r="J221" s="73"/>
      <c r="K221" s="74"/>
      <c r="L221" s="73"/>
      <c r="M221" s="74">
        <f>65006727</f>
        <v>65006727</v>
      </c>
      <c r="N221" s="73">
        <f>49642532</f>
        <v>49642532</v>
      </c>
      <c r="O221" s="74">
        <f>56401080</f>
        <v>56401080</v>
      </c>
    </row>
    <row r="222" spans="1:15">
      <c r="A222" s="107"/>
      <c r="B222" s="107"/>
      <c r="C222" s="107"/>
      <c r="D222" s="68" t="s">
        <v>418</v>
      </c>
      <c r="E222" t="s">
        <v>419</v>
      </c>
      <c r="G222" t="s">
        <v>435</v>
      </c>
      <c r="H222" s="67">
        <v>44561</v>
      </c>
      <c r="J222" s="73"/>
      <c r="K222" s="74"/>
      <c r="L222" s="73"/>
      <c r="M222" s="74"/>
      <c r="N222" s="73"/>
      <c r="O222" s="74"/>
    </row>
    <row r="223" spans="1:15">
      <c r="A223" s="107"/>
      <c r="B223" s="107"/>
      <c r="C223" s="107"/>
      <c r="D223" s="68" t="s">
        <v>420</v>
      </c>
      <c r="E223" t="s">
        <v>419</v>
      </c>
      <c r="G223" t="s">
        <v>435</v>
      </c>
      <c r="H223" s="67">
        <v>44561</v>
      </c>
      <c r="J223" s="73"/>
      <c r="K223" s="74"/>
      <c r="L223" s="73"/>
      <c r="M223" s="74"/>
      <c r="N223" s="73"/>
      <c r="O223" s="74"/>
    </row>
    <row r="224" spans="1:15">
      <c r="A224" s="107"/>
      <c r="B224" s="107"/>
      <c r="C224" s="107"/>
      <c r="D224" s="68" t="s">
        <v>421</v>
      </c>
      <c r="E224" t="s">
        <v>422</v>
      </c>
      <c r="G224" t="s">
        <v>435</v>
      </c>
      <c r="H224" s="67">
        <v>44561</v>
      </c>
      <c r="J224" s="73"/>
      <c r="K224" s="74"/>
      <c r="L224" s="73"/>
      <c r="M224" s="74"/>
      <c r="N224" s="73"/>
      <c r="O224" s="74"/>
    </row>
    <row r="225" spans="1:15">
      <c r="A225" s="107"/>
      <c r="B225" s="107"/>
      <c r="C225" s="107"/>
      <c r="D225" s="68" t="s">
        <v>423</v>
      </c>
      <c r="E225" t="s">
        <v>456</v>
      </c>
      <c r="F225" t="s">
        <v>588</v>
      </c>
      <c r="G225" t="s">
        <v>82</v>
      </c>
      <c r="H225" s="67">
        <v>44561</v>
      </c>
      <c r="J225" s="73"/>
      <c r="K225" s="74"/>
      <c r="L225" s="73"/>
      <c r="M225" s="74">
        <f>86252164</f>
        <v>86252164</v>
      </c>
      <c r="N225" s="73">
        <f>76459882</f>
        <v>76459882</v>
      </c>
      <c r="O225" s="74">
        <f>82567070</f>
        <v>82567070</v>
      </c>
    </row>
    <row r="226" spans="1:15">
      <c r="A226" s="107"/>
      <c r="B226" s="107"/>
      <c r="C226" s="107"/>
      <c r="D226" s="68" t="s">
        <v>424</v>
      </c>
      <c r="H226" s="67"/>
      <c r="J226" s="73"/>
      <c r="K226" s="74"/>
      <c r="L226" s="73"/>
      <c r="M226" s="74"/>
      <c r="N226" s="73"/>
      <c r="O226" s="76" t="s">
        <v>631</v>
      </c>
    </row>
    <row r="227" spans="1:15">
      <c r="A227" s="107" t="s">
        <v>73</v>
      </c>
      <c r="B227" s="107" t="s">
        <v>74</v>
      </c>
      <c r="C227" s="107" t="s">
        <v>75</v>
      </c>
      <c r="D227" s="68" t="s">
        <v>417</v>
      </c>
      <c r="G227" t="s">
        <v>434</v>
      </c>
      <c r="H227" s="67">
        <v>44561</v>
      </c>
      <c r="J227" s="73">
        <v>1040335</v>
      </c>
      <c r="K227" s="74">
        <v>965570</v>
      </c>
      <c r="L227" s="73">
        <v>1363231</v>
      </c>
      <c r="M227" s="74">
        <v>1934393</v>
      </c>
      <c r="N227" s="73">
        <v>1416448</v>
      </c>
      <c r="O227" s="74">
        <v>1590305</v>
      </c>
    </row>
    <row r="228" spans="1:15">
      <c r="A228" s="107"/>
      <c r="B228" s="107"/>
      <c r="C228" s="107"/>
      <c r="D228" s="68" t="s">
        <v>418</v>
      </c>
      <c r="E228" t="s">
        <v>419</v>
      </c>
      <c r="G228" t="s">
        <v>434</v>
      </c>
      <c r="H228" s="67">
        <v>44561</v>
      </c>
      <c r="J228" s="73">
        <v>0</v>
      </c>
      <c r="K228" s="74">
        <v>0</v>
      </c>
      <c r="L228" s="73">
        <v>381533</v>
      </c>
      <c r="M228" s="74">
        <v>231192</v>
      </c>
      <c r="N228" s="73">
        <v>297283</v>
      </c>
      <c r="O228" s="74">
        <v>273432</v>
      </c>
    </row>
    <row r="229" spans="1:15">
      <c r="A229" s="107"/>
      <c r="B229" s="107"/>
      <c r="C229" s="107"/>
      <c r="D229" s="68" t="s">
        <v>420</v>
      </c>
      <c r="E229" t="s">
        <v>419</v>
      </c>
      <c r="G229" t="s">
        <v>434</v>
      </c>
      <c r="H229" s="67">
        <v>44561</v>
      </c>
      <c r="J229" s="73">
        <v>1040335</v>
      </c>
      <c r="K229" s="74">
        <v>965570</v>
      </c>
      <c r="L229" s="73">
        <v>1744764</v>
      </c>
      <c r="M229" s="74">
        <v>2165585</v>
      </c>
      <c r="N229" s="73">
        <v>1713731</v>
      </c>
      <c r="O229" s="74">
        <v>1863737</v>
      </c>
    </row>
    <row r="230" spans="1:15">
      <c r="A230" s="107"/>
      <c r="B230" s="107"/>
      <c r="C230" s="107"/>
      <c r="D230" s="68" t="s">
        <v>421</v>
      </c>
      <c r="E230" t="s">
        <v>422</v>
      </c>
      <c r="G230" t="s">
        <v>434</v>
      </c>
      <c r="H230" s="67">
        <v>44561</v>
      </c>
      <c r="J230" s="73"/>
      <c r="K230" s="74"/>
      <c r="L230" s="73">
        <v>21590220</v>
      </c>
      <c r="M230" s="74">
        <v>19892852</v>
      </c>
      <c r="N230" s="73">
        <v>24528246</v>
      </c>
      <c r="O230" s="74">
        <v>21996103</v>
      </c>
    </row>
    <row r="231" spans="1:15">
      <c r="A231" s="107"/>
      <c r="B231" s="107"/>
      <c r="C231" s="107"/>
      <c r="D231" s="68" t="s">
        <v>423</v>
      </c>
      <c r="G231" t="s">
        <v>57</v>
      </c>
      <c r="H231" s="67">
        <v>44561</v>
      </c>
      <c r="J231" s="73">
        <v>17912</v>
      </c>
      <c r="K231" s="74">
        <v>18104</v>
      </c>
      <c r="L231" s="73">
        <v>20057</v>
      </c>
      <c r="M231" s="74">
        <v>20960</v>
      </c>
      <c r="N231" s="73">
        <v>22142</v>
      </c>
      <c r="O231" s="74">
        <v>22591</v>
      </c>
    </row>
    <row r="232" spans="1:15">
      <c r="A232" s="107"/>
      <c r="B232" s="107"/>
      <c r="C232" s="107"/>
      <c r="D232" s="68" t="s">
        <v>424</v>
      </c>
      <c r="H232" s="67"/>
      <c r="J232" s="73"/>
      <c r="K232" s="74"/>
      <c r="L232" s="73"/>
      <c r="M232" s="74"/>
      <c r="N232" s="73"/>
      <c r="O232" s="74"/>
    </row>
    <row r="233" spans="1:15">
      <c r="A233" s="107" t="s">
        <v>76</v>
      </c>
      <c r="B233" s="107" t="s">
        <v>74</v>
      </c>
      <c r="C233" s="107" t="s">
        <v>77</v>
      </c>
      <c r="D233" s="68" t="s">
        <v>417</v>
      </c>
      <c r="G233" t="s">
        <v>434</v>
      </c>
      <c r="H233" s="67">
        <v>44561</v>
      </c>
      <c r="J233" s="73">
        <v>1040335</v>
      </c>
      <c r="K233" s="74">
        <v>965570</v>
      </c>
      <c r="L233" s="73">
        <v>1363231</v>
      </c>
      <c r="M233" s="74">
        <v>1934393</v>
      </c>
      <c r="N233" s="73">
        <v>1416448</v>
      </c>
      <c r="O233" s="74">
        <v>1590305</v>
      </c>
    </row>
    <row r="234" spans="1:15">
      <c r="A234" s="107"/>
      <c r="B234" s="107"/>
      <c r="C234" s="107"/>
      <c r="D234" s="68" t="s">
        <v>418</v>
      </c>
      <c r="E234" t="s">
        <v>419</v>
      </c>
      <c r="G234" t="s">
        <v>434</v>
      </c>
      <c r="H234" s="67">
        <v>44561</v>
      </c>
      <c r="J234" s="73">
        <v>0</v>
      </c>
      <c r="K234" s="74">
        <v>0</v>
      </c>
      <c r="L234" s="73">
        <v>381533</v>
      </c>
      <c r="M234" s="74">
        <v>231192</v>
      </c>
      <c r="N234" s="73">
        <v>297283</v>
      </c>
      <c r="O234" s="74">
        <v>273432</v>
      </c>
    </row>
    <row r="235" spans="1:15">
      <c r="A235" s="107"/>
      <c r="B235" s="107"/>
      <c r="C235" s="107"/>
      <c r="D235" s="68" t="s">
        <v>420</v>
      </c>
      <c r="E235" t="s">
        <v>419</v>
      </c>
      <c r="G235" t="s">
        <v>434</v>
      </c>
      <c r="H235" s="67">
        <v>44561</v>
      </c>
      <c r="J235" s="73">
        <v>1040335</v>
      </c>
      <c r="K235" s="74">
        <v>965570</v>
      </c>
      <c r="L235" s="73">
        <v>1744764</v>
      </c>
      <c r="M235" s="74">
        <v>2165585</v>
      </c>
      <c r="N235" s="73">
        <v>1713731</v>
      </c>
      <c r="O235" s="74">
        <v>1863737</v>
      </c>
    </row>
    <row r="236" spans="1:15">
      <c r="A236" s="107"/>
      <c r="B236" s="107"/>
      <c r="C236" s="107"/>
      <c r="D236" s="68" t="s">
        <v>421</v>
      </c>
      <c r="E236" t="s">
        <v>422</v>
      </c>
      <c r="G236" t="s">
        <v>434</v>
      </c>
      <c r="H236" s="67">
        <v>44561</v>
      </c>
      <c r="J236" s="73"/>
      <c r="K236" s="74"/>
      <c r="L236" s="73">
        <v>21590220</v>
      </c>
      <c r="M236" s="74">
        <v>19892852</v>
      </c>
      <c r="N236" s="73">
        <v>24528246</v>
      </c>
      <c r="O236" s="74">
        <v>21996103</v>
      </c>
    </row>
    <row r="237" spans="1:15">
      <c r="A237" s="107"/>
      <c r="B237" s="107"/>
      <c r="C237" s="107"/>
      <c r="D237" s="68" t="s">
        <v>423</v>
      </c>
      <c r="G237" t="s">
        <v>57</v>
      </c>
      <c r="H237" s="67">
        <v>44561</v>
      </c>
      <c r="J237" s="73">
        <v>17912</v>
      </c>
      <c r="K237" s="74">
        <v>18104</v>
      </c>
      <c r="L237" s="73">
        <v>20057</v>
      </c>
      <c r="M237" s="74">
        <v>20960</v>
      </c>
      <c r="N237" s="73">
        <v>22142</v>
      </c>
      <c r="O237" s="74">
        <v>22591</v>
      </c>
    </row>
    <row r="238" spans="1:15">
      <c r="A238" s="107"/>
      <c r="B238" s="107"/>
      <c r="C238" s="107"/>
      <c r="D238" s="68" t="s">
        <v>424</v>
      </c>
      <c r="H238" s="67"/>
      <c r="J238" s="73"/>
      <c r="K238" s="74"/>
      <c r="L238" s="73"/>
      <c r="M238" s="74"/>
      <c r="N238" s="73"/>
      <c r="O238" s="74"/>
    </row>
    <row r="239" spans="1:15">
      <c r="A239" s="107" t="s">
        <v>79</v>
      </c>
      <c r="B239" s="107" t="s">
        <v>80</v>
      </c>
      <c r="C239" s="107" t="s">
        <v>81</v>
      </c>
      <c r="D239" s="68" t="s">
        <v>417</v>
      </c>
      <c r="G239" t="s">
        <v>434</v>
      </c>
      <c r="H239" s="67">
        <v>44561</v>
      </c>
      <c r="J239" s="73"/>
      <c r="K239" s="74"/>
      <c r="L239" s="73">
        <v>4063143</v>
      </c>
      <c r="M239" s="74">
        <v>3963128</v>
      </c>
      <c r="N239" s="73">
        <v>4036591</v>
      </c>
      <c r="O239" s="74"/>
    </row>
    <row r="240" spans="1:15">
      <c r="A240" s="107"/>
      <c r="B240" s="107"/>
      <c r="C240" s="107"/>
      <c r="D240" s="68" t="s">
        <v>418</v>
      </c>
      <c r="E240" t="s">
        <v>419</v>
      </c>
      <c r="G240" t="s">
        <v>434</v>
      </c>
      <c r="H240" s="67">
        <v>44561</v>
      </c>
      <c r="J240" s="73"/>
      <c r="K240" s="74"/>
      <c r="L240" s="73">
        <v>1300042</v>
      </c>
      <c r="M240" s="74">
        <v>1219954</v>
      </c>
      <c r="N240" s="73">
        <v>1001588</v>
      </c>
      <c r="O240" s="74"/>
    </row>
    <row r="241" spans="1:15">
      <c r="A241" s="107"/>
      <c r="B241" s="107"/>
      <c r="C241" s="107"/>
      <c r="D241" s="68" t="s">
        <v>420</v>
      </c>
      <c r="E241" t="s">
        <v>419</v>
      </c>
      <c r="G241" t="s">
        <v>434</v>
      </c>
      <c r="H241" s="67">
        <v>44561</v>
      </c>
      <c r="J241" s="73"/>
      <c r="K241" s="74"/>
      <c r="L241" s="73">
        <v>5363185</v>
      </c>
      <c r="M241" s="74">
        <v>5183082</v>
      </c>
      <c r="N241" s="73">
        <v>5038179</v>
      </c>
      <c r="O241" s="74"/>
    </row>
    <row r="242" spans="1:15">
      <c r="A242" s="107"/>
      <c r="B242" s="107"/>
      <c r="C242" s="107"/>
      <c r="D242" s="68" t="s">
        <v>421</v>
      </c>
      <c r="E242" t="s">
        <v>422</v>
      </c>
      <c r="G242" t="s">
        <v>434</v>
      </c>
      <c r="H242" s="67">
        <v>44561</v>
      </c>
      <c r="J242" s="73"/>
      <c r="K242" s="74"/>
      <c r="L242" s="73"/>
      <c r="M242" s="74"/>
      <c r="N242" s="73"/>
      <c r="O242" s="74"/>
    </row>
    <row r="243" spans="1:15">
      <c r="A243" s="107"/>
      <c r="B243" s="107"/>
      <c r="C243" s="107"/>
      <c r="D243" s="68" t="s">
        <v>423</v>
      </c>
      <c r="G243" t="s">
        <v>82</v>
      </c>
      <c r="H243" s="67">
        <v>44561</v>
      </c>
      <c r="J243" s="73"/>
      <c r="K243" s="74"/>
      <c r="L243" s="73">
        <v>7067031.0930000003</v>
      </c>
      <c r="M243" s="74">
        <v>7195251.4900000002</v>
      </c>
      <c r="N243" s="73">
        <v>7324609</v>
      </c>
      <c r="O243" s="74"/>
    </row>
    <row r="244" spans="1:15">
      <c r="A244" s="107"/>
      <c r="B244" s="107"/>
      <c r="C244" s="107"/>
      <c r="D244" s="68" t="s">
        <v>424</v>
      </c>
      <c r="H244" s="67"/>
      <c r="J244" s="73"/>
      <c r="K244" s="74"/>
      <c r="L244" s="75"/>
      <c r="M244" s="74"/>
      <c r="N244" s="73"/>
      <c r="O244" s="74"/>
    </row>
    <row r="245" spans="1:15">
      <c r="A245" s="107" t="s">
        <v>83</v>
      </c>
      <c r="B245" s="107" t="s">
        <v>84</v>
      </c>
      <c r="C245" s="107" t="s">
        <v>85</v>
      </c>
      <c r="D245" s="68" t="s">
        <v>417</v>
      </c>
      <c r="G245" t="s">
        <v>434</v>
      </c>
      <c r="H245" s="67">
        <v>44196</v>
      </c>
      <c r="J245" s="73">
        <v>562146</v>
      </c>
      <c r="K245" s="74">
        <v>625072</v>
      </c>
      <c r="L245" s="73">
        <v>581703</v>
      </c>
      <c r="M245" s="74">
        <v>642259</v>
      </c>
      <c r="N245" s="73"/>
      <c r="O245" s="74"/>
    </row>
    <row r="246" spans="1:15">
      <c r="A246" s="107"/>
      <c r="B246" s="107"/>
      <c r="C246" s="107"/>
      <c r="D246" s="68" t="s">
        <v>418</v>
      </c>
      <c r="E246" t="s">
        <v>419</v>
      </c>
      <c r="G246" t="s">
        <v>434</v>
      </c>
      <c r="H246" s="67">
        <v>44196</v>
      </c>
      <c r="J246" s="73">
        <v>868089</v>
      </c>
      <c r="K246" s="74">
        <v>510911</v>
      </c>
      <c r="L246" s="73">
        <v>538622</v>
      </c>
      <c r="M246" s="74">
        <v>302574</v>
      </c>
      <c r="N246" s="73"/>
      <c r="O246" s="74"/>
    </row>
    <row r="247" spans="1:15">
      <c r="A247" s="107"/>
      <c r="B247" s="107"/>
      <c r="C247" s="107"/>
      <c r="D247" s="68" t="s">
        <v>420</v>
      </c>
      <c r="E247" t="s">
        <v>419</v>
      </c>
      <c r="G247" t="s">
        <v>434</v>
      </c>
      <c r="H247" s="67">
        <v>44196</v>
      </c>
      <c r="J247" s="73">
        <f>J245+J246</f>
        <v>1430235</v>
      </c>
      <c r="K247" s="74">
        <f>K245+K246</f>
        <v>1135983</v>
      </c>
      <c r="L247" s="73">
        <f>L245+L246</f>
        <v>1120325</v>
      </c>
      <c r="M247" s="74">
        <f>M245+M246</f>
        <v>944833</v>
      </c>
      <c r="N247" s="73"/>
      <c r="O247" s="74"/>
    </row>
    <row r="248" spans="1:15">
      <c r="A248" s="107"/>
      <c r="B248" s="107"/>
      <c r="C248" s="107"/>
      <c r="D248" s="78" t="s">
        <v>421</v>
      </c>
      <c r="E248" s="79" t="s">
        <v>422</v>
      </c>
      <c r="G248" s="79" t="s">
        <v>434</v>
      </c>
      <c r="H248" s="80">
        <v>44196</v>
      </c>
      <c r="I248" s="93"/>
      <c r="J248" s="81">
        <v>69388735</v>
      </c>
      <c r="K248" s="81">
        <v>71714741</v>
      </c>
      <c r="L248" s="81">
        <v>73093077</v>
      </c>
      <c r="M248" s="81">
        <v>75042286</v>
      </c>
      <c r="N248" s="81"/>
      <c r="O248" s="81"/>
    </row>
    <row r="249" spans="1:15">
      <c r="A249" s="107"/>
      <c r="B249" s="107"/>
      <c r="C249" s="107"/>
      <c r="D249" s="78" t="s">
        <v>421</v>
      </c>
      <c r="E249" s="82" t="s">
        <v>448</v>
      </c>
      <c r="G249" s="79" t="s">
        <v>56</v>
      </c>
      <c r="H249" s="80">
        <v>44196</v>
      </c>
      <c r="I249" s="93"/>
      <c r="J249" s="81">
        <v>1427399</v>
      </c>
      <c r="K249" s="81">
        <v>1497075</v>
      </c>
      <c r="L249" s="81">
        <v>1563919</v>
      </c>
      <c r="M249" s="81">
        <v>1570397</v>
      </c>
      <c r="N249" s="81"/>
      <c r="O249" s="81"/>
    </row>
    <row r="250" spans="1:15">
      <c r="A250" s="107"/>
      <c r="B250" s="107"/>
      <c r="C250" s="107"/>
      <c r="D250" s="78" t="s">
        <v>421</v>
      </c>
      <c r="E250" s="82">
        <v>6</v>
      </c>
      <c r="G250" s="79" t="s">
        <v>56</v>
      </c>
      <c r="H250" s="80">
        <v>44196</v>
      </c>
      <c r="I250" s="93"/>
      <c r="J250" s="81">
        <v>142250</v>
      </c>
      <c r="K250" s="81">
        <v>169233</v>
      </c>
      <c r="L250" s="81">
        <v>159039</v>
      </c>
      <c r="M250" s="81">
        <v>129646</v>
      </c>
      <c r="N250" s="81"/>
      <c r="O250" s="81"/>
    </row>
    <row r="251" spans="1:15">
      <c r="A251" s="107"/>
      <c r="B251" s="107"/>
      <c r="C251" s="107"/>
      <c r="D251" s="78" t="s">
        <v>421</v>
      </c>
      <c r="E251" s="82">
        <v>7</v>
      </c>
      <c r="G251" s="79" t="s">
        <v>56</v>
      </c>
      <c r="H251" s="80">
        <v>44196</v>
      </c>
      <c r="I251" s="93"/>
      <c r="J251" s="81">
        <v>139797</v>
      </c>
      <c r="K251" s="81">
        <v>140187</v>
      </c>
      <c r="L251" s="81">
        <v>136608</v>
      </c>
      <c r="M251" s="81">
        <v>146298</v>
      </c>
      <c r="N251" s="81"/>
      <c r="O251" s="81"/>
    </row>
    <row r="252" spans="1:15">
      <c r="A252" s="107"/>
      <c r="B252" s="107"/>
      <c r="C252" s="107"/>
      <c r="D252" s="78" t="s">
        <v>421</v>
      </c>
      <c r="E252" s="82">
        <v>1</v>
      </c>
      <c r="G252" s="79" t="s">
        <v>56</v>
      </c>
      <c r="H252" s="80">
        <v>44196</v>
      </c>
      <c r="I252" s="93"/>
      <c r="J252" s="81">
        <v>15391154</v>
      </c>
      <c r="K252" s="81">
        <v>16786192</v>
      </c>
      <c r="L252" s="81">
        <v>17221109</v>
      </c>
      <c r="M252" s="81">
        <v>18505921</v>
      </c>
      <c r="N252" s="81"/>
      <c r="O252" s="81"/>
    </row>
    <row r="253" spans="1:15">
      <c r="A253" s="107"/>
      <c r="B253" s="107"/>
      <c r="C253" s="107"/>
      <c r="D253" s="78" t="s">
        <v>421</v>
      </c>
      <c r="E253" s="82">
        <v>11</v>
      </c>
      <c r="G253" s="79" t="s">
        <v>56</v>
      </c>
      <c r="H253" s="80">
        <v>44196</v>
      </c>
      <c r="I253" s="93"/>
      <c r="J253" s="81">
        <v>51079073</v>
      </c>
      <c r="K253" s="81">
        <v>51887708</v>
      </c>
      <c r="L253" s="81">
        <v>52759567</v>
      </c>
      <c r="M253" s="81">
        <v>53421006</v>
      </c>
      <c r="N253" s="81"/>
      <c r="O253" s="81"/>
    </row>
    <row r="254" spans="1:15">
      <c r="A254" s="107"/>
      <c r="B254" s="107"/>
      <c r="C254" s="107"/>
      <c r="D254" s="78" t="s">
        <v>421</v>
      </c>
      <c r="E254" s="82">
        <v>12</v>
      </c>
      <c r="G254" s="79" t="s">
        <v>56</v>
      </c>
      <c r="H254" s="80">
        <v>44196</v>
      </c>
      <c r="I254" s="93"/>
      <c r="J254" s="81">
        <v>1185148</v>
      </c>
      <c r="K254" s="81">
        <v>1234346</v>
      </c>
      <c r="L254" s="81">
        <v>1252835</v>
      </c>
      <c r="M254" s="81">
        <v>1269018</v>
      </c>
      <c r="N254" s="81"/>
      <c r="O254" s="81"/>
    </row>
    <row r="255" spans="1:15">
      <c r="A255" s="107"/>
      <c r="B255" s="107"/>
      <c r="C255" s="107"/>
      <c r="D255" s="78" t="s">
        <v>615</v>
      </c>
      <c r="E255" s="82">
        <v>11</v>
      </c>
      <c r="G255" s="79" t="s">
        <v>453</v>
      </c>
      <c r="H255" s="80">
        <v>44196</v>
      </c>
      <c r="I255" s="93"/>
      <c r="J255" s="81">
        <v>124</v>
      </c>
      <c r="K255" s="81">
        <v>128</v>
      </c>
      <c r="L255" s="81">
        <v>128</v>
      </c>
      <c r="M255" s="81">
        <v>127</v>
      </c>
      <c r="N255" s="81"/>
      <c r="O255" s="81"/>
    </row>
    <row r="256" spans="1:15">
      <c r="A256" s="107"/>
      <c r="B256" s="107"/>
      <c r="C256" s="107"/>
      <c r="D256" s="68" t="s">
        <v>423</v>
      </c>
      <c r="G256" t="s">
        <v>170</v>
      </c>
      <c r="H256" s="67">
        <v>44196</v>
      </c>
      <c r="J256" s="73">
        <f>J253/J255</f>
        <v>411928.00806451612</v>
      </c>
      <c r="K256" s="74">
        <f>K253/K255</f>
        <v>405372.71875</v>
      </c>
      <c r="L256" s="73">
        <f>L253/L255</f>
        <v>412184.1171875</v>
      </c>
      <c r="M256" s="74">
        <f>M253/M255</f>
        <v>420637.84251968504</v>
      </c>
      <c r="N256" s="73"/>
      <c r="O256" s="74"/>
    </row>
    <row r="257" spans="1:15">
      <c r="A257" s="107"/>
      <c r="B257" s="107"/>
      <c r="C257" s="107"/>
      <c r="D257" s="68" t="s">
        <v>424</v>
      </c>
      <c r="H257" s="67"/>
      <c r="J257" s="73"/>
      <c r="K257" s="74"/>
      <c r="L257" s="73"/>
      <c r="M257" s="76" t="s">
        <v>454</v>
      </c>
      <c r="N257" s="75"/>
      <c r="O257" s="74"/>
    </row>
    <row r="258" spans="1:15">
      <c r="A258" s="107" t="s">
        <v>83</v>
      </c>
      <c r="B258" s="107" t="s">
        <v>84</v>
      </c>
      <c r="C258" s="107" t="s">
        <v>85</v>
      </c>
      <c r="D258" s="68" t="s">
        <v>417</v>
      </c>
      <c r="G258" t="s">
        <v>434</v>
      </c>
      <c r="H258" s="67">
        <v>44196</v>
      </c>
      <c r="J258" s="73">
        <v>562146</v>
      </c>
      <c r="K258" s="74">
        <v>625072</v>
      </c>
      <c r="L258" s="73">
        <v>581703</v>
      </c>
      <c r="M258" s="74">
        <v>678403</v>
      </c>
      <c r="N258" s="73">
        <v>678967</v>
      </c>
      <c r="O258" s="74"/>
    </row>
    <row r="259" spans="1:15">
      <c r="A259" s="107"/>
      <c r="B259" s="107"/>
      <c r="C259" s="107"/>
      <c r="D259" s="68" t="s">
        <v>418</v>
      </c>
      <c r="E259" t="s">
        <v>419</v>
      </c>
      <c r="G259" t="s">
        <v>434</v>
      </c>
      <c r="H259" s="67">
        <v>44196</v>
      </c>
      <c r="J259" s="73">
        <v>868089</v>
      </c>
      <c r="K259" s="74">
        <v>510911</v>
      </c>
      <c r="L259" s="73">
        <v>538622</v>
      </c>
      <c r="M259" s="74">
        <v>354095</v>
      </c>
      <c r="N259" s="73">
        <v>130090</v>
      </c>
      <c r="O259" s="74"/>
    </row>
    <row r="260" spans="1:15">
      <c r="A260" s="107"/>
      <c r="B260" s="107"/>
      <c r="C260" s="107"/>
      <c r="D260" s="68" t="s">
        <v>420</v>
      </c>
      <c r="E260" t="s">
        <v>419</v>
      </c>
      <c r="G260" t="s">
        <v>434</v>
      </c>
      <c r="H260" s="67">
        <v>44196</v>
      </c>
      <c r="J260" s="73">
        <f>J258+J259</f>
        <v>1430235</v>
      </c>
      <c r="K260" s="74">
        <f>K258+K259</f>
        <v>1135983</v>
      </c>
      <c r="L260" s="73">
        <f>L258+L259</f>
        <v>1120325</v>
      </c>
      <c r="M260" s="74">
        <f>M258+M259</f>
        <v>1032498</v>
      </c>
      <c r="N260" s="73">
        <f>N258+N259</f>
        <v>809057</v>
      </c>
      <c r="O260" s="74"/>
    </row>
    <row r="261" spans="1:15">
      <c r="A261" s="107"/>
      <c r="B261" s="107"/>
      <c r="C261" s="107"/>
      <c r="D261" s="78" t="s">
        <v>421</v>
      </c>
      <c r="E261" s="79" t="s">
        <v>422</v>
      </c>
      <c r="G261" s="79" t="s">
        <v>434</v>
      </c>
      <c r="H261" s="80">
        <v>44196</v>
      </c>
      <c r="I261" s="93"/>
      <c r="J261" s="81">
        <v>69388735</v>
      </c>
      <c r="K261" s="81">
        <v>71714741</v>
      </c>
      <c r="L261" s="81">
        <v>73093077</v>
      </c>
      <c r="M261" s="81">
        <v>75042286</v>
      </c>
      <c r="N261" s="81">
        <v>65100863</v>
      </c>
      <c r="O261" s="81"/>
    </row>
    <row r="262" spans="1:15">
      <c r="A262" s="107"/>
      <c r="B262" s="107"/>
      <c r="C262" s="107"/>
      <c r="D262" s="78" t="s">
        <v>421</v>
      </c>
      <c r="E262" s="82" t="s">
        <v>448</v>
      </c>
      <c r="G262" s="79" t="s">
        <v>56</v>
      </c>
      <c r="H262" s="80">
        <v>44196</v>
      </c>
      <c r="I262" s="93"/>
      <c r="J262" s="81">
        <v>1427399</v>
      </c>
      <c r="K262" s="81">
        <v>1497075</v>
      </c>
      <c r="L262" s="81">
        <v>1563919</v>
      </c>
      <c r="M262" s="81">
        <v>1570397</v>
      </c>
      <c r="N262" s="81">
        <v>1322859</v>
      </c>
      <c r="O262" s="81"/>
    </row>
    <row r="263" spans="1:15">
      <c r="A263" s="107"/>
      <c r="B263" s="107"/>
      <c r="C263" s="107"/>
      <c r="D263" s="78" t="s">
        <v>421</v>
      </c>
      <c r="E263" s="82">
        <v>6</v>
      </c>
      <c r="G263" s="79" t="s">
        <v>56</v>
      </c>
      <c r="H263" s="80">
        <v>44196</v>
      </c>
      <c r="I263" s="93"/>
      <c r="J263" s="81">
        <v>142250</v>
      </c>
      <c r="K263" s="81">
        <v>169233</v>
      </c>
      <c r="L263" s="81">
        <v>159039</v>
      </c>
      <c r="M263" s="81">
        <v>129646</v>
      </c>
      <c r="N263" s="81">
        <v>25217</v>
      </c>
      <c r="O263" s="81"/>
    </row>
    <row r="264" spans="1:15">
      <c r="A264" s="107"/>
      <c r="B264" s="107"/>
      <c r="C264" s="107"/>
      <c r="D264" s="78" t="s">
        <v>421</v>
      </c>
      <c r="E264" s="82">
        <v>7</v>
      </c>
      <c r="G264" s="79" t="s">
        <v>56</v>
      </c>
      <c r="H264" s="80">
        <v>44196</v>
      </c>
      <c r="I264" s="93"/>
      <c r="J264" s="81">
        <v>139797</v>
      </c>
      <c r="K264" s="81">
        <v>140187</v>
      </c>
      <c r="L264" s="81">
        <v>136608</v>
      </c>
      <c r="M264" s="81">
        <v>146298</v>
      </c>
      <c r="N264" s="81">
        <v>166586</v>
      </c>
      <c r="O264" s="81"/>
    </row>
    <row r="265" spans="1:15">
      <c r="A265" s="107"/>
      <c r="B265" s="107"/>
      <c r="C265" s="107"/>
      <c r="D265" s="78" t="s">
        <v>421</v>
      </c>
      <c r="E265" s="82">
        <v>1</v>
      </c>
      <c r="G265" s="79" t="s">
        <v>56</v>
      </c>
      <c r="H265" s="80">
        <v>44196</v>
      </c>
      <c r="I265" s="93"/>
      <c r="J265" s="81">
        <v>15391154</v>
      </c>
      <c r="K265" s="81">
        <v>16786192</v>
      </c>
      <c r="L265" s="81">
        <v>17221109</v>
      </c>
      <c r="M265" s="81">
        <v>18505921</v>
      </c>
      <c r="N265" s="81">
        <v>16234959</v>
      </c>
      <c r="O265" s="81"/>
    </row>
    <row r="266" spans="1:15">
      <c r="A266" s="107"/>
      <c r="B266" s="107"/>
      <c r="C266" s="107"/>
      <c r="D266" s="78" t="s">
        <v>421</v>
      </c>
      <c r="E266" s="82">
        <v>11</v>
      </c>
      <c r="G266" s="79" t="s">
        <v>56</v>
      </c>
      <c r="H266" s="80">
        <v>44196</v>
      </c>
      <c r="I266" s="93"/>
      <c r="J266" s="81">
        <v>51079073</v>
      </c>
      <c r="K266" s="81">
        <v>51887708</v>
      </c>
      <c r="L266" s="81">
        <v>52759567</v>
      </c>
      <c r="M266" s="86">
        <v>53421006</v>
      </c>
      <c r="N266" s="86">
        <v>46200385</v>
      </c>
      <c r="O266" s="81"/>
    </row>
    <row r="267" spans="1:15">
      <c r="A267" s="107"/>
      <c r="B267" s="107"/>
      <c r="C267" s="107"/>
      <c r="D267" s="78" t="s">
        <v>421</v>
      </c>
      <c r="E267" s="82">
        <v>12</v>
      </c>
      <c r="G267" s="79" t="s">
        <v>56</v>
      </c>
      <c r="H267" s="80">
        <v>44196</v>
      </c>
      <c r="I267" s="93"/>
      <c r="J267" s="81">
        <v>1185148</v>
      </c>
      <c r="K267" s="81">
        <v>1234346</v>
      </c>
      <c r="L267" s="81">
        <v>1252835</v>
      </c>
      <c r="M267" s="81">
        <v>1269018</v>
      </c>
      <c r="N267" s="81">
        <v>1150857</v>
      </c>
      <c r="O267" s="81"/>
    </row>
    <row r="268" spans="1:15">
      <c r="A268" s="107"/>
      <c r="B268" s="107"/>
      <c r="C268" s="107"/>
      <c r="D268" s="78" t="s">
        <v>615</v>
      </c>
      <c r="E268" s="82">
        <v>11</v>
      </c>
      <c r="G268" s="79" t="s">
        <v>453</v>
      </c>
      <c r="H268" s="80">
        <v>44196</v>
      </c>
      <c r="I268" s="93"/>
      <c r="J268" s="81">
        <v>124</v>
      </c>
      <c r="K268" s="81">
        <v>128</v>
      </c>
      <c r="L268" s="83">
        <v>128</v>
      </c>
      <c r="M268" s="81">
        <v>127</v>
      </c>
      <c r="N268" s="83">
        <v>99</v>
      </c>
      <c r="O268" s="81"/>
    </row>
    <row r="269" spans="1:15">
      <c r="A269" s="107"/>
      <c r="B269" s="107"/>
      <c r="C269" s="107"/>
      <c r="D269" s="68" t="s">
        <v>423</v>
      </c>
      <c r="G269" t="s">
        <v>170</v>
      </c>
      <c r="H269" s="67">
        <v>44196</v>
      </c>
      <c r="J269" s="73">
        <f>J266/J268</f>
        <v>411928.00806451612</v>
      </c>
      <c r="K269" s="74">
        <f>K266/K268</f>
        <v>405372.71875</v>
      </c>
      <c r="L269" s="73">
        <f>L266/L268</f>
        <v>412184.1171875</v>
      </c>
      <c r="M269" s="74">
        <f>M266/M268</f>
        <v>420637.84251968504</v>
      </c>
      <c r="N269" s="73">
        <f>N266/N268</f>
        <v>466670.55555555556</v>
      </c>
      <c r="O269" s="74"/>
    </row>
    <row r="270" spans="1:15">
      <c r="A270" s="107"/>
      <c r="B270" s="107"/>
      <c r="C270" s="107"/>
      <c r="D270" s="68" t="s">
        <v>424</v>
      </c>
      <c r="H270" s="67"/>
      <c r="J270" s="73"/>
      <c r="K270" s="74"/>
      <c r="L270" s="73"/>
      <c r="M270" s="74"/>
      <c r="N270" s="75" t="s">
        <v>452</v>
      </c>
      <c r="O270" s="74"/>
    </row>
    <row r="271" spans="1:15">
      <c r="A271" s="107" t="s">
        <v>83</v>
      </c>
      <c r="B271" s="107" t="s">
        <v>84</v>
      </c>
      <c r="C271" s="107" t="s">
        <v>85</v>
      </c>
      <c r="D271" s="68" t="s">
        <v>417</v>
      </c>
      <c r="G271" t="s">
        <v>434</v>
      </c>
      <c r="H271" s="67">
        <v>44561</v>
      </c>
      <c r="J271" s="73"/>
      <c r="K271" s="74">
        <v>625072</v>
      </c>
      <c r="L271" s="73">
        <v>581703</v>
      </c>
      <c r="M271" s="74">
        <v>678403</v>
      </c>
      <c r="N271" s="73">
        <v>678967</v>
      </c>
      <c r="O271" s="74">
        <v>699713</v>
      </c>
    </row>
    <row r="272" spans="1:15">
      <c r="A272" s="107"/>
      <c r="B272" s="107"/>
      <c r="C272" s="107"/>
      <c r="D272" s="68" t="s">
        <v>418</v>
      </c>
      <c r="E272" t="s">
        <v>419</v>
      </c>
      <c r="G272" t="s">
        <v>434</v>
      </c>
      <c r="H272" s="67">
        <v>44561</v>
      </c>
      <c r="J272" s="73"/>
      <c r="K272" s="74">
        <v>510911</v>
      </c>
      <c r="L272" s="73">
        <v>538622</v>
      </c>
      <c r="M272" s="74">
        <v>354095</v>
      </c>
      <c r="N272" s="73">
        <v>130090</v>
      </c>
      <c r="O272" s="74">
        <v>134849</v>
      </c>
    </row>
    <row r="273" spans="1:15">
      <c r="A273" s="107"/>
      <c r="B273" s="107"/>
      <c r="C273" s="107"/>
      <c r="D273" s="68" t="s">
        <v>420</v>
      </c>
      <c r="E273" t="s">
        <v>419</v>
      </c>
      <c r="G273" t="s">
        <v>434</v>
      </c>
      <c r="H273" s="67">
        <v>44561</v>
      </c>
      <c r="J273" s="73"/>
      <c r="K273" s="74">
        <f>K271+K272</f>
        <v>1135983</v>
      </c>
      <c r="L273" s="73">
        <f>L271+L272</f>
        <v>1120325</v>
      </c>
      <c r="M273" s="74">
        <f>M271+M272</f>
        <v>1032498</v>
      </c>
      <c r="N273" s="74">
        <f>N271+N272</f>
        <v>809057</v>
      </c>
      <c r="O273" s="74">
        <f>O271+O272</f>
        <v>834562</v>
      </c>
    </row>
    <row r="274" spans="1:15">
      <c r="A274" s="107"/>
      <c r="B274" s="107"/>
      <c r="C274" s="107"/>
      <c r="D274" s="78" t="s">
        <v>421</v>
      </c>
      <c r="E274" s="79" t="s">
        <v>422</v>
      </c>
      <c r="G274" s="79" t="s">
        <v>434</v>
      </c>
      <c r="H274" s="80">
        <v>44561</v>
      </c>
      <c r="I274" s="93"/>
      <c r="J274" s="81"/>
      <c r="K274" s="81">
        <v>71714741</v>
      </c>
      <c r="L274" s="81">
        <v>73093077</v>
      </c>
      <c r="M274" s="81">
        <v>132520346</v>
      </c>
      <c r="N274" s="81">
        <v>117682832</v>
      </c>
      <c r="O274" s="81">
        <v>121705368</v>
      </c>
    </row>
    <row r="275" spans="1:15">
      <c r="A275" s="107"/>
      <c r="B275" s="107"/>
      <c r="C275" s="107"/>
      <c r="D275" s="78" t="s">
        <v>421</v>
      </c>
      <c r="E275" s="82" t="s">
        <v>448</v>
      </c>
      <c r="G275" s="79" t="s">
        <v>56</v>
      </c>
      <c r="H275" s="80">
        <v>44561</v>
      </c>
      <c r="I275" s="93"/>
      <c r="J275" s="81"/>
      <c r="K275" s="81">
        <v>1497075</v>
      </c>
      <c r="L275" s="81">
        <v>1563919</v>
      </c>
      <c r="M275" s="81">
        <v>1570397</v>
      </c>
      <c r="N275" s="81">
        <v>1322859</v>
      </c>
      <c r="O275" s="81">
        <v>1878910</v>
      </c>
    </row>
    <row r="276" spans="1:15">
      <c r="A276" s="107"/>
      <c r="B276" s="107"/>
      <c r="C276" s="107"/>
      <c r="D276" s="78" t="s">
        <v>421</v>
      </c>
      <c r="E276" s="82">
        <v>6</v>
      </c>
      <c r="G276" s="79" t="s">
        <v>56</v>
      </c>
      <c r="H276" s="80">
        <v>44561</v>
      </c>
      <c r="I276" s="93"/>
      <c r="J276" s="81"/>
      <c r="K276" s="81">
        <v>169233</v>
      </c>
      <c r="L276" s="81">
        <v>159039</v>
      </c>
      <c r="M276" s="81">
        <v>129646</v>
      </c>
      <c r="N276" s="81">
        <v>25217</v>
      </c>
      <c r="O276" s="81">
        <v>29765</v>
      </c>
    </row>
    <row r="277" spans="1:15">
      <c r="A277" s="107"/>
      <c r="B277" s="107"/>
      <c r="C277" s="107"/>
      <c r="D277" s="78" t="s">
        <v>421</v>
      </c>
      <c r="E277" s="82">
        <v>7</v>
      </c>
      <c r="G277" s="79" t="s">
        <v>56</v>
      </c>
      <c r="H277" s="80">
        <v>44561</v>
      </c>
      <c r="I277" s="93"/>
      <c r="J277" s="81"/>
      <c r="K277" s="81">
        <v>140187</v>
      </c>
      <c r="L277" s="81">
        <v>136608</v>
      </c>
      <c r="M277" s="81">
        <v>146298</v>
      </c>
      <c r="N277" s="81">
        <v>166586</v>
      </c>
      <c r="O277" s="81">
        <v>139999</v>
      </c>
    </row>
    <row r="278" spans="1:15">
      <c r="A278" s="107"/>
      <c r="B278" s="107"/>
      <c r="C278" s="107"/>
      <c r="D278" s="78" t="s">
        <v>421</v>
      </c>
      <c r="E278" s="82">
        <v>1</v>
      </c>
      <c r="G278" s="79" t="s">
        <v>56</v>
      </c>
      <c r="H278" s="80">
        <v>44561</v>
      </c>
      <c r="I278" s="93"/>
      <c r="J278" s="81"/>
      <c r="K278" s="81">
        <v>16786192</v>
      </c>
      <c r="L278" s="81">
        <v>17221109</v>
      </c>
      <c r="M278" s="81">
        <v>18505921</v>
      </c>
      <c r="N278" s="81">
        <v>16234959</v>
      </c>
      <c r="O278" s="81">
        <v>18534765</v>
      </c>
    </row>
    <row r="279" spans="1:15">
      <c r="A279" s="107"/>
      <c r="B279" s="107"/>
      <c r="C279" s="107"/>
      <c r="D279" s="78" t="s">
        <v>421</v>
      </c>
      <c r="E279" s="82">
        <v>11</v>
      </c>
      <c r="G279" s="79" t="s">
        <v>56</v>
      </c>
      <c r="H279" s="80">
        <v>44561</v>
      </c>
      <c r="I279" s="93"/>
      <c r="J279" s="81"/>
      <c r="K279" s="81">
        <v>51887708</v>
      </c>
      <c r="L279" s="81">
        <v>52759567</v>
      </c>
      <c r="M279" s="86">
        <v>110899066</v>
      </c>
      <c r="N279" s="86">
        <v>98782354</v>
      </c>
      <c r="O279" s="81">
        <v>99805490</v>
      </c>
    </row>
    <row r="280" spans="1:15">
      <c r="A280" s="107"/>
      <c r="B280" s="107"/>
      <c r="C280" s="107"/>
      <c r="D280" s="78" t="s">
        <v>421</v>
      </c>
      <c r="E280" s="82">
        <v>12</v>
      </c>
      <c r="G280" s="79" t="s">
        <v>56</v>
      </c>
      <c r="H280" s="80">
        <v>44561</v>
      </c>
      <c r="I280" s="93"/>
      <c r="J280" s="81"/>
      <c r="K280" s="81">
        <v>1234346</v>
      </c>
      <c r="L280" s="81">
        <v>1252835</v>
      </c>
      <c r="M280" s="81">
        <v>1269018</v>
      </c>
      <c r="N280" s="81">
        <v>1150857</v>
      </c>
      <c r="O280" s="81">
        <v>1316438</v>
      </c>
    </row>
    <row r="281" spans="1:15">
      <c r="A281" s="107"/>
      <c r="B281" s="107"/>
      <c r="C281" s="107"/>
      <c r="D281" s="78" t="s">
        <v>615</v>
      </c>
      <c r="E281" s="82">
        <v>11</v>
      </c>
      <c r="G281" s="79" t="s">
        <v>453</v>
      </c>
      <c r="H281" s="80">
        <v>44561</v>
      </c>
      <c r="I281" s="93"/>
      <c r="J281" s="81"/>
      <c r="K281" s="81">
        <v>128</v>
      </c>
      <c r="L281" s="83">
        <v>127.5</v>
      </c>
      <c r="M281" s="81">
        <v>127</v>
      </c>
      <c r="N281" s="83">
        <v>135</v>
      </c>
      <c r="O281" s="81">
        <v>115.9</v>
      </c>
    </row>
    <row r="282" spans="1:15">
      <c r="A282" s="107"/>
      <c r="B282" s="107"/>
      <c r="C282" s="107"/>
      <c r="D282" s="68" t="s">
        <v>423</v>
      </c>
      <c r="G282" t="s">
        <v>170</v>
      </c>
      <c r="H282" s="67">
        <v>44561</v>
      </c>
      <c r="J282" s="73"/>
      <c r="K282" s="74">
        <f>K279/K281</f>
        <v>405372.71875</v>
      </c>
      <c r="L282" s="73">
        <f>L279/L281</f>
        <v>413800.52549019607</v>
      </c>
      <c r="M282" s="74">
        <f>M279/M281</f>
        <v>873220.99212598428</v>
      </c>
      <c r="N282" s="73">
        <f>N279/N281</f>
        <v>731721.1407407407</v>
      </c>
      <c r="O282" s="74">
        <f>O279/O281</f>
        <v>861134.51251078513</v>
      </c>
    </row>
    <row r="283" spans="1:15">
      <c r="A283" s="107"/>
      <c r="B283" s="107"/>
      <c r="C283" s="107"/>
      <c r="D283" s="68" t="s">
        <v>424</v>
      </c>
      <c r="H283" s="67"/>
      <c r="J283" s="73"/>
      <c r="K283" s="74"/>
      <c r="L283" s="73"/>
      <c r="M283" s="74"/>
      <c r="N283" s="73"/>
      <c r="O283" s="76" t="s">
        <v>451</v>
      </c>
    </row>
    <row r="284" spans="1:15">
      <c r="A284" s="107" t="s">
        <v>89</v>
      </c>
      <c r="B284" s="107" t="s">
        <v>90</v>
      </c>
      <c r="C284" s="107" t="s">
        <v>91</v>
      </c>
      <c r="D284" s="68" t="s">
        <v>417</v>
      </c>
      <c r="G284" t="s">
        <v>435</v>
      </c>
      <c r="H284" s="67">
        <v>44561</v>
      </c>
      <c r="J284" s="73"/>
      <c r="K284" s="74">
        <v>50.5</v>
      </c>
      <c r="L284" s="73">
        <v>48.8</v>
      </c>
      <c r="M284" s="74">
        <v>49.2</v>
      </c>
      <c r="N284" s="73">
        <v>41.7</v>
      </c>
      <c r="O284" s="74">
        <v>33.200000000000003</v>
      </c>
    </row>
    <row r="285" spans="1:15">
      <c r="A285" s="107"/>
      <c r="B285" s="107"/>
      <c r="C285" s="107"/>
      <c r="D285" s="68" t="s">
        <v>418</v>
      </c>
      <c r="E285" t="s">
        <v>419</v>
      </c>
      <c r="G285" t="s">
        <v>435</v>
      </c>
      <c r="H285" s="67">
        <v>44561</v>
      </c>
      <c r="J285" s="73"/>
      <c r="K285" s="74">
        <v>6.1</v>
      </c>
      <c r="L285" s="73">
        <v>5.4</v>
      </c>
      <c r="M285" s="74">
        <v>5.2</v>
      </c>
      <c r="N285" s="73">
        <v>3.8</v>
      </c>
      <c r="O285" s="74">
        <v>2.4</v>
      </c>
    </row>
    <row r="286" spans="1:15">
      <c r="A286" s="107"/>
      <c r="B286" s="107"/>
      <c r="C286" s="107"/>
      <c r="D286" s="68" t="s">
        <v>420</v>
      </c>
      <c r="E286" t="s">
        <v>419</v>
      </c>
      <c r="G286" t="s">
        <v>435</v>
      </c>
      <c r="H286" s="67">
        <v>44561</v>
      </c>
      <c r="J286" s="73"/>
      <c r="K286" s="74">
        <v>56.6</v>
      </c>
      <c r="L286" s="73">
        <v>54.2</v>
      </c>
      <c r="M286" s="74">
        <v>54.400000000000013</v>
      </c>
      <c r="N286" s="73">
        <v>45.5</v>
      </c>
      <c r="O286" s="74">
        <v>35.6</v>
      </c>
    </row>
    <row r="287" spans="1:15">
      <c r="A287" s="107"/>
      <c r="B287" s="107"/>
      <c r="C287" s="107"/>
      <c r="D287" s="68" t="s">
        <v>421</v>
      </c>
      <c r="E287" t="s">
        <v>422</v>
      </c>
      <c r="G287" t="s">
        <v>435</v>
      </c>
      <c r="H287" s="67">
        <v>44561</v>
      </c>
      <c r="J287" s="73"/>
      <c r="K287" s="74">
        <v>946.27100840336141</v>
      </c>
      <c r="L287" s="73">
        <v>946.27100840336141</v>
      </c>
      <c r="M287" s="74">
        <v>946.27100840336141</v>
      </c>
      <c r="N287" s="73">
        <v>822.359943977591</v>
      </c>
      <c r="O287" s="74">
        <v>834.55532212885146</v>
      </c>
    </row>
    <row r="288" spans="1:15">
      <c r="A288" s="107"/>
      <c r="B288" s="107"/>
      <c r="C288" s="107"/>
      <c r="D288" s="68" t="s">
        <v>423</v>
      </c>
      <c r="G288" t="s">
        <v>95</v>
      </c>
      <c r="H288" s="67">
        <v>44561</v>
      </c>
      <c r="J288" s="73"/>
      <c r="K288" s="74">
        <v>12570</v>
      </c>
      <c r="L288" s="73">
        <v>12570</v>
      </c>
      <c r="M288" s="74">
        <v>12570</v>
      </c>
      <c r="N288" s="73">
        <v>10924</v>
      </c>
      <c r="O288" s="74">
        <v>11086</v>
      </c>
    </row>
    <row r="289" spans="1:15">
      <c r="A289" s="107"/>
      <c r="B289" s="107"/>
      <c r="C289" s="107"/>
      <c r="D289" s="68" t="s">
        <v>424</v>
      </c>
      <c r="H289" s="67"/>
      <c r="J289" s="73"/>
      <c r="K289" s="74"/>
      <c r="L289" s="73"/>
      <c r="M289" s="74"/>
      <c r="N289" s="73"/>
      <c r="O289" s="76" t="s">
        <v>593</v>
      </c>
    </row>
    <row r="290" spans="1:15">
      <c r="A290" s="107" t="s">
        <v>96</v>
      </c>
      <c r="B290" s="107" t="s">
        <v>97</v>
      </c>
      <c r="C290" s="107" t="s">
        <v>98</v>
      </c>
      <c r="D290" s="68" t="s">
        <v>417</v>
      </c>
      <c r="G290" t="s">
        <v>434</v>
      </c>
      <c r="H290" s="67">
        <v>44561</v>
      </c>
      <c r="J290" s="73">
        <v>298055</v>
      </c>
      <c r="K290" s="74">
        <v>298055</v>
      </c>
      <c r="L290" s="73">
        <v>298055</v>
      </c>
      <c r="M290" s="74">
        <v>298055</v>
      </c>
      <c r="N290" s="73">
        <v>292832.150987298</v>
      </c>
      <c r="O290" s="74"/>
    </row>
    <row r="291" spans="1:15">
      <c r="A291" s="107"/>
      <c r="B291" s="107"/>
      <c r="C291" s="107"/>
      <c r="D291" s="68" t="s">
        <v>418</v>
      </c>
      <c r="E291" t="s">
        <v>419</v>
      </c>
      <c r="G291" t="s">
        <v>434</v>
      </c>
      <c r="H291" s="67">
        <v>44561</v>
      </c>
      <c r="J291" s="73">
        <v>76855.254000000001</v>
      </c>
      <c r="K291" s="74">
        <v>76855.254000000001</v>
      </c>
      <c r="L291" s="73">
        <v>76855.254000000001</v>
      </c>
      <c r="M291" s="74">
        <v>76855.254000000001</v>
      </c>
      <c r="N291" s="73">
        <v>76855.254000000001</v>
      </c>
      <c r="O291" s="74"/>
    </row>
    <row r="292" spans="1:15">
      <c r="A292" s="107"/>
      <c r="B292" s="107"/>
      <c r="C292" s="107"/>
      <c r="D292" s="68" t="s">
        <v>420</v>
      </c>
      <c r="E292" t="s">
        <v>419</v>
      </c>
      <c r="G292" t="s">
        <v>434</v>
      </c>
      <c r="H292" s="67">
        <v>44561</v>
      </c>
      <c r="J292" s="73">
        <v>374910.25400000002</v>
      </c>
      <c r="K292" s="74">
        <v>374910.25400000002</v>
      </c>
      <c r="L292" s="73">
        <v>374910.25400000002</v>
      </c>
      <c r="M292" s="74">
        <v>374910.25400000002</v>
      </c>
      <c r="N292" s="73">
        <v>369687.40498729801</v>
      </c>
      <c r="O292" s="74"/>
    </row>
    <row r="293" spans="1:15">
      <c r="A293" s="107"/>
      <c r="B293" s="107"/>
      <c r="C293" s="107"/>
      <c r="D293" s="68" t="s">
        <v>421</v>
      </c>
      <c r="E293" t="s">
        <v>422</v>
      </c>
      <c r="G293" t="s">
        <v>434</v>
      </c>
      <c r="H293" s="67">
        <v>44561</v>
      </c>
      <c r="J293" s="73"/>
      <c r="K293" s="74"/>
      <c r="L293" s="73"/>
      <c r="M293" s="74"/>
      <c r="N293" s="73"/>
      <c r="O293" s="74"/>
    </row>
    <row r="294" spans="1:15">
      <c r="A294" s="107"/>
      <c r="B294" s="107"/>
      <c r="C294" s="107"/>
      <c r="D294" s="68" t="s">
        <v>423</v>
      </c>
      <c r="G294" t="s">
        <v>100</v>
      </c>
      <c r="H294" s="67">
        <v>44561</v>
      </c>
      <c r="J294" s="73">
        <v>138831</v>
      </c>
      <c r="K294" s="74">
        <v>138831</v>
      </c>
      <c r="L294" s="73">
        <v>138831</v>
      </c>
      <c r="M294" s="74">
        <v>138831</v>
      </c>
      <c r="N294" s="73">
        <v>140944.858159875</v>
      </c>
      <c r="O294" s="74"/>
    </row>
    <row r="295" spans="1:15">
      <c r="A295" s="107"/>
      <c r="B295" s="107"/>
      <c r="C295" s="107"/>
      <c r="D295" s="68" t="s">
        <v>424</v>
      </c>
      <c r="H295" s="67"/>
      <c r="J295" s="73"/>
      <c r="K295" s="74"/>
      <c r="L295" s="73"/>
      <c r="M295" s="74"/>
      <c r="N295" s="73"/>
      <c r="O295" s="74"/>
    </row>
    <row r="296" spans="1:15">
      <c r="A296" s="107" t="s">
        <v>101</v>
      </c>
      <c r="B296" s="107" t="s">
        <v>102</v>
      </c>
      <c r="C296" s="107" t="s">
        <v>103</v>
      </c>
      <c r="D296" s="68" t="s">
        <v>417</v>
      </c>
      <c r="G296" t="s">
        <v>435</v>
      </c>
      <c r="H296" s="67">
        <v>44561</v>
      </c>
      <c r="J296" s="73"/>
      <c r="K296" s="74">
        <v>63</v>
      </c>
      <c r="L296" s="73">
        <v>66</v>
      </c>
      <c r="M296" s="74">
        <v>62</v>
      </c>
      <c r="N296" s="73">
        <v>54</v>
      </c>
      <c r="O296" s="74">
        <v>57</v>
      </c>
    </row>
    <row r="297" spans="1:15">
      <c r="A297" s="107"/>
      <c r="B297" s="107"/>
      <c r="C297" s="107"/>
      <c r="D297" s="68" t="s">
        <v>418</v>
      </c>
      <c r="E297" t="s">
        <v>419</v>
      </c>
      <c r="G297" t="s">
        <v>435</v>
      </c>
      <c r="H297" s="67">
        <v>44561</v>
      </c>
      <c r="J297" s="73"/>
      <c r="K297" s="74">
        <v>3</v>
      </c>
      <c r="L297" s="73">
        <v>3</v>
      </c>
      <c r="M297" s="74">
        <v>2</v>
      </c>
      <c r="N297" s="73">
        <v>4</v>
      </c>
      <c r="O297" s="74">
        <v>4</v>
      </c>
    </row>
    <row r="298" spans="1:15">
      <c r="A298" s="107"/>
      <c r="B298" s="107"/>
      <c r="C298" s="107"/>
      <c r="D298" s="68" t="s">
        <v>420</v>
      </c>
      <c r="E298" t="s">
        <v>419</v>
      </c>
      <c r="G298" t="s">
        <v>435</v>
      </c>
      <c r="H298" s="67">
        <v>44561</v>
      </c>
      <c r="J298" s="73"/>
      <c r="K298" s="74">
        <v>66</v>
      </c>
      <c r="L298" s="73">
        <v>69</v>
      </c>
      <c r="M298" s="74">
        <v>64</v>
      </c>
      <c r="N298" s="73">
        <v>58</v>
      </c>
      <c r="O298" s="74">
        <v>61</v>
      </c>
    </row>
    <row r="299" spans="1:15">
      <c r="A299" s="107"/>
      <c r="B299" s="107"/>
      <c r="C299" s="107"/>
      <c r="D299" s="68" t="s">
        <v>421</v>
      </c>
      <c r="E299" t="s">
        <v>422</v>
      </c>
      <c r="G299" t="s">
        <v>435</v>
      </c>
      <c r="H299" s="67">
        <v>44561</v>
      </c>
      <c r="J299" s="73"/>
      <c r="K299" s="74">
        <v>613</v>
      </c>
      <c r="L299" s="73">
        <v>628</v>
      </c>
      <c r="M299" s="74">
        <v>639</v>
      </c>
      <c r="N299" s="73">
        <v>583</v>
      </c>
      <c r="O299" s="74">
        <v>611</v>
      </c>
    </row>
    <row r="300" spans="1:15">
      <c r="A300" s="107"/>
      <c r="B300" s="107"/>
      <c r="C300" s="107"/>
      <c r="D300" s="68" t="s">
        <v>423</v>
      </c>
      <c r="G300" t="s">
        <v>95</v>
      </c>
      <c r="H300" s="67">
        <v>44561</v>
      </c>
      <c r="J300" s="73"/>
      <c r="K300" s="74">
        <v>9568.2675814751292</v>
      </c>
      <c r="L300" s="73">
        <v>9802.4013722126929</v>
      </c>
      <c r="M300" s="74">
        <v>9974.0994854202399</v>
      </c>
      <c r="N300" s="73">
        <v>9100</v>
      </c>
      <c r="O300" s="74">
        <v>9500</v>
      </c>
    </row>
    <row r="301" spans="1:15">
      <c r="A301" s="107"/>
      <c r="B301" s="107"/>
      <c r="C301" s="107"/>
      <c r="D301" s="68" t="s">
        <v>424</v>
      </c>
      <c r="H301" s="67"/>
      <c r="J301" s="73"/>
      <c r="K301" s="74"/>
      <c r="L301" s="73"/>
      <c r="M301" s="74"/>
      <c r="N301" s="73"/>
      <c r="O301" s="74"/>
    </row>
    <row r="302" spans="1:15">
      <c r="A302" s="107" t="s">
        <v>104</v>
      </c>
      <c r="B302" s="107" t="s">
        <v>105</v>
      </c>
      <c r="C302" s="107" t="s">
        <v>106</v>
      </c>
      <c r="D302" s="68" t="s">
        <v>417</v>
      </c>
      <c r="G302" t="s">
        <v>434</v>
      </c>
      <c r="H302" s="67">
        <v>44561</v>
      </c>
      <c r="J302" s="73">
        <v>33209464.625</v>
      </c>
      <c r="K302" s="74">
        <v>32357763.7366</v>
      </c>
      <c r="L302" s="73">
        <v>31034981.663759999</v>
      </c>
      <c r="M302" s="74">
        <v>30349904.449799899</v>
      </c>
      <c r="N302" s="73">
        <v>25607731.879518699</v>
      </c>
      <c r="O302" s="74"/>
    </row>
    <row r="303" spans="1:15">
      <c r="A303" s="107"/>
      <c r="B303" s="107"/>
      <c r="C303" s="107"/>
      <c r="D303" s="68" t="s">
        <v>418</v>
      </c>
      <c r="E303" t="s">
        <v>419</v>
      </c>
      <c r="G303" t="s">
        <v>434</v>
      </c>
      <c r="H303" s="67">
        <v>44561</v>
      </c>
      <c r="J303" s="73">
        <v>4431504.7156481296</v>
      </c>
      <c r="K303" s="74">
        <v>4473104.3565879799</v>
      </c>
      <c r="L303" s="73">
        <v>4413355.3696956905</v>
      </c>
      <c r="M303" s="74">
        <v>4426105.2359619504</v>
      </c>
      <c r="N303" s="73">
        <v>3671367</v>
      </c>
      <c r="O303" s="74"/>
    </row>
    <row r="304" spans="1:15">
      <c r="A304" s="107"/>
      <c r="B304" s="107"/>
      <c r="C304" s="107"/>
      <c r="D304" s="68" t="s">
        <v>420</v>
      </c>
      <c r="E304" t="s">
        <v>419</v>
      </c>
      <c r="G304" t="s">
        <v>434</v>
      </c>
      <c r="H304" s="67">
        <v>44561</v>
      </c>
      <c r="J304" s="73">
        <v>37640969.3406481</v>
      </c>
      <c r="K304" s="74">
        <v>36830868.093188003</v>
      </c>
      <c r="L304" s="73">
        <v>35448337.0334557</v>
      </c>
      <c r="M304" s="74">
        <v>34776009.685761802</v>
      </c>
      <c r="N304" s="73">
        <v>29279098.879518699</v>
      </c>
      <c r="O304" s="74"/>
    </row>
    <row r="305" spans="1:15">
      <c r="A305" s="107"/>
      <c r="B305" s="107"/>
      <c r="C305" s="107"/>
      <c r="D305" s="68" t="s">
        <v>421</v>
      </c>
      <c r="E305" t="s">
        <v>422</v>
      </c>
      <c r="G305" t="s">
        <v>434</v>
      </c>
      <c r="H305" s="67">
        <v>44561</v>
      </c>
      <c r="J305" s="73">
        <v>1934075.55568</v>
      </c>
      <c r="K305" s="74">
        <v>2449774.8339999998</v>
      </c>
      <c r="L305" s="73">
        <v>2449865.6460000002</v>
      </c>
      <c r="M305" s="74">
        <v>2194701.7039999999</v>
      </c>
      <c r="N305" s="73">
        <v>1851779.56275</v>
      </c>
      <c r="O305" s="74"/>
    </row>
    <row r="306" spans="1:15">
      <c r="A306" s="107"/>
      <c r="B306" s="107"/>
      <c r="C306" s="107"/>
      <c r="D306" s="68" t="s">
        <v>423</v>
      </c>
      <c r="G306" t="s">
        <v>100</v>
      </c>
      <c r="H306" s="67">
        <v>44561</v>
      </c>
      <c r="J306" s="73">
        <v>89951800</v>
      </c>
      <c r="K306" s="74">
        <v>90796200</v>
      </c>
      <c r="L306" s="73">
        <v>89583400</v>
      </c>
      <c r="M306" s="74">
        <v>89842200</v>
      </c>
      <c r="N306" s="73">
        <v>74522333</v>
      </c>
      <c r="O306" s="74"/>
    </row>
    <row r="307" spans="1:15">
      <c r="A307" s="107"/>
      <c r="B307" s="107"/>
      <c r="C307" s="107"/>
      <c r="D307" s="68" t="s">
        <v>424</v>
      </c>
      <c r="H307" s="67"/>
      <c r="J307" s="73"/>
      <c r="K307" s="74"/>
      <c r="L307" s="73"/>
      <c r="M307" s="74"/>
      <c r="N307" s="73"/>
      <c r="O307" s="74"/>
    </row>
    <row r="308" spans="1:15">
      <c r="A308" s="107" t="s">
        <v>104</v>
      </c>
      <c r="B308" s="107" t="s">
        <v>105</v>
      </c>
      <c r="C308" s="107" t="s">
        <v>106</v>
      </c>
      <c r="D308" s="68" t="s">
        <v>417</v>
      </c>
      <c r="G308" t="s">
        <v>435</v>
      </c>
      <c r="H308" s="67">
        <v>44562</v>
      </c>
      <c r="J308" s="73"/>
      <c r="K308" s="74"/>
      <c r="L308" s="73"/>
      <c r="M308" s="74"/>
      <c r="N308" s="73"/>
      <c r="O308" s="74">
        <v>29.2</v>
      </c>
    </row>
    <row r="309" spans="1:15">
      <c r="A309" s="107"/>
      <c r="B309" s="107"/>
      <c r="C309" s="107"/>
      <c r="D309" s="68" t="s">
        <v>418</v>
      </c>
      <c r="E309" t="s">
        <v>419</v>
      </c>
      <c r="G309" t="s">
        <v>435</v>
      </c>
      <c r="H309" s="67">
        <v>44562</v>
      </c>
      <c r="J309" s="73"/>
      <c r="K309" s="74"/>
      <c r="L309" s="73"/>
      <c r="M309" s="74"/>
      <c r="N309" s="73"/>
      <c r="O309" s="74">
        <v>5.3</v>
      </c>
    </row>
    <row r="310" spans="1:15">
      <c r="A310" s="107"/>
      <c r="B310" s="107"/>
      <c r="C310" s="107"/>
      <c r="D310" s="68" t="s">
        <v>420</v>
      </c>
      <c r="E310" t="s">
        <v>419</v>
      </c>
      <c r="G310" t="s">
        <v>435</v>
      </c>
      <c r="H310" s="67">
        <v>44562</v>
      </c>
      <c r="J310" s="73"/>
      <c r="K310" s="74">
        <v>44.1</v>
      </c>
      <c r="L310" s="73">
        <v>42</v>
      </c>
      <c r="M310" s="74">
        <v>39.799999999999997</v>
      </c>
      <c r="N310" s="73">
        <v>32.200000000000003</v>
      </c>
      <c r="O310" s="74">
        <v>34.5</v>
      </c>
    </row>
    <row r="311" spans="1:15">
      <c r="A311" s="107"/>
      <c r="B311" s="107"/>
      <c r="C311" s="107"/>
      <c r="D311" s="68" t="s">
        <v>421</v>
      </c>
      <c r="E311" t="s">
        <v>422</v>
      </c>
      <c r="G311" t="s">
        <v>435</v>
      </c>
      <c r="H311" s="67">
        <v>44562</v>
      </c>
      <c r="J311" s="73"/>
      <c r="K311" s="74"/>
      <c r="L311" s="73"/>
      <c r="M311" s="74"/>
      <c r="N311" s="73"/>
      <c r="O311" s="74"/>
    </row>
    <row r="312" spans="1:15">
      <c r="A312" s="107"/>
      <c r="B312" s="107"/>
      <c r="C312" s="107"/>
      <c r="D312" s="68" t="s">
        <v>423</v>
      </c>
      <c r="G312" t="s">
        <v>100</v>
      </c>
      <c r="H312" s="67">
        <v>44562</v>
      </c>
      <c r="J312" s="73"/>
      <c r="K312" s="74"/>
      <c r="L312" s="73"/>
      <c r="M312" s="74"/>
      <c r="N312" s="73"/>
      <c r="O312" s="74">
        <v>15.9</v>
      </c>
    </row>
    <row r="313" spans="1:15">
      <c r="A313" s="107"/>
      <c r="B313" s="107"/>
      <c r="C313" s="107"/>
      <c r="D313" s="68" t="s">
        <v>424</v>
      </c>
      <c r="H313" s="67">
        <v>44562</v>
      </c>
      <c r="J313" s="73"/>
      <c r="K313" s="74"/>
      <c r="L313" s="73"/>
      <c r="M313" s="74"/>
      <c r="N313" s="73"/>
      <c r="O313" s="76" t="s">
        <v>591</v>
      </c>
    </row>
    <row r="314" spans="1:15">
      <c r="A314" s="107" t="s">
        <v>107</v>
      </c>
      <c r="B314" s="107" t="s">
        <v>108</v>
      </c>
      <c r="C314" s="107" t="s">
        <v>109</v>
      </c>
      <c r="D314" s="68" t="s">
        <v>417</v>
      </c>
      <c r="G314" t="s">
        <v>435</v>
      </c>
      <c r="H314" s="67">
        <v>44561</v>
      </c>
      <c r="J314" s="73">
        <v>12.6485763125094</v>
      </c>
      <c r="K314" s="74">
        <v>12.381008123704399</v>
      </c>
      <c r="L314" s="73">
        <v>12.277614766045099</v>
      </c>
      <c r="M314" s="74">
        <v>12.512963056846599</v>
      </c>
      <c r="N314" s="73">
        <v>10.700060724044199</v>
      </c>
      <c r="O314" s="74"/>
    </row>
    <row r="315" spans="1:15">
      <c r="A315" s="107"/>
      <c r="B315" s="107"/>
      <c r="C315" s="107"/>
      <c r="D315" s="68" t="s">
        <v>418</v>
      </c>
      <c r="E315" t="s">
        <v>419</v>
      </c>
      <c r="G315" t="s">
        <v>435</v>
      </c>
      <c r="H315" s="67">
        <v>44561</v>
      </c>
      <c r="J315" s="73">
        <v>0</v>
      </c>
      <c r="K315" s="74">
        <v>0</v>
      </c>
      <c r="L315" s="73">
        <v>0</v>
      </c>
      <c r="M315" s="74">
        <v>0</v>
      </c>
      <c r="N315" s="73">
        <v>0</v>
      </c>
      <c r="O315" s="74"/>
    </row>
    <row r="316" spans="1:15">
      <c r="A316" s="107"/>
      <c r="B316" s="107"/>
      <c r="C316" s="107"/>
      <c r="D316" s="68" t="s">
        <v>420</v>
      </c>
      <c r="E316" t="s">
        <v>419</v>
      </c>
      <c r="G316" t="s">
        <v>435</v>
      </c>
      <c r="H316" s="67">
        <v>44561</v>
      </c>
      <c r="J316" s="73">
        <v>12.6485763125094</v>
      </c>
      <c r="K316" s="74">
        <v>12.381008123704399</v>
      </c>
      <c r="L316" s="73">
        <v>12.277614766045099</v>
      </c>
      <c r="M316" s="74">
        <v>12.512963056846599</v>
      </c>
      <c r="N316" s="73">
        <v>10.700060724044199</v>
      </c>
      <c r="O316" s="74"/>
    </row>
    <row r="317" spans="1:15">
      <c r="A317" s="107"/>
      <c r="B317" s="107"/>
      <c r="C317" s="107"/>
      <c r="D317" s="68" t="s">
        <v>421</v>
      </c>
      <c r="E317" t="s">
        <v>422</v>
      </c>
      <c r="G317" t="s">
        <v>435</v>
      </c>
      <c r="H317" s="67">
        <v>44561</v>
      </c>
      <c r="J317" s="73"/>
      <c r="K317" s="74"/>
      <c r="L317" s="73"/>
      <c r="M317" s="74"/>
      <c r="N317" s="73"/>
      <c r="O317" s="74"/>
    </row>
    <row r="318" spans="1:15">
      <c r="A318" s="107"/>
      <c r="B318" s="107"/>
      <c r="C318" s="107"/>
      <c r="D318" s="68" t="s">
        <v>423</v>
      </c>
      <c r="G318" t="s">
        <v>63</v>
      </c>
      <c r="H318" s="67">
        <v>44561</v>
      </c>
      <c r="J318" s="73">
        <v>16.692451879226802</v>
      </c>
      <c r="K318" s="74">
        <v>16.1094990846277</v>
      </c>
      <c r="L318" s="73">
        <v>15.767973619907</v>
      </c>
      <c r="M318" s="74">
        <v>17.0235153303285</v>
      </c>
      <c r="N318" s="73">
        <v>15.014898459545799</v>
      </c>
      <c r="O318" s="74"/>
    </row>
    <row r="319" spans="1:15">
      <c r="A319" s="107"/>
      <c r="B319" s="107"/>
      <c r="C319" s="107"/>
      <c r="D319" s="68" t="s">
        <v>424</v>
      </c>
      <c r="H319" s="67"/>
      <c r="J319" s="73"/>
      <c r="K319" s="74"/>
      <c r="L319" s="73"/>
      <c r="M319" s="74"/>
      <c r="N319" s="73"/>
      <c r="O319" s="74"/>
    </row>
    <row r="320" spans="1:15">
      <c r="A320" s="107" t="s">
        <v>107</v>
      </c>
      <c r="B320" s="107" t="s">
        <v>108</v>
      </c>
      <c r="C320" s="107" t="s">
        <v>109</v>
      </c>
      <c r="D320" s="68" t="s">
        <v>587</v>
      </c>
      <c r="G320" t="s">
        <v>62</v>
      </c>
      <c r="H320" s="67">
        <v>44847</v>
      </c>
      <c r="I320" s="92">
        <v>2005</v>
      </c>
      <c r="J320" s="73"/>
      <c r="K320" s="74"/>
      <c r="L320" s="73"/>
      <c r="M320" s="74"/>
      <c r="N320" s="73"/>
      <c r="O320" s="74"/>
    </row>
    <row r="321" spans="1:15">
      <c r="A321" s="107"/>
      <c r="B321" s="107"/>
      <c r="C321" s="107"/>
      <c r="D321" s="68" t="s">
        <v>417</v>
      </c>
      <c r="F321" t="s">
        <v>588</v>
      </c>
      <c r="G321" t="s">
        <v>434</v>
      </c>
      <c r="H321" s="67">
        <v>44847</v>
      </c>
      <c r="I321" s="92">
        <v>20219000</v>
      </c>
      <c r="J321" s="73"/>
      <c r="K321" s="74"/>
      <c r="L321" s="73"/>
      <c r="M321" s="74">
        <v>12659000</v>
      </c>
      <c r="N321" s="73">
        <v>10934000</v>
      </c>
      <c r="O321" s="74">
        <v>13829815</v>
      </c>
    </row>
    <row r="322" spans="1:15">
      <c r="A322" s="107"/>
      <c r="B322" s="107"/>
      <c r="C322" s="107"/>
      <c r="D322" s="68" t="s">
        <v>589</v>
      </c>
      <c r="F322" t="s">
        <v>588</v>
      </c>
      <c r="G322" t="s">
        <v>436</v>
      </c>
      <c r="H322" s="67">
        <v>44847</v>
      </c>
      <c r="I322" s="98">
        <v>0.754</v>
      </c>
      <c r="J322" s="73"/>
      <c r="K322" s="74"/>
      <c r="L322" s="73"/>
      <c r="M322" s="74">
        <v>0.74399999999999999</v>
      </c>
      <c r="N322" s="73">
        <v>0.73</v>
      </c>
      <c r="O322" s="74">
        <v>0.76500000000000001</v>
      </c>
    </row>
    <row r="323" spans="1:15">
      <c r="A323" s="107"/>
      <c r="B323" s="107"/>
      <c r="C323" s="107"/>
      <c r="D323" s="68" t="s">
        <v>417</v>
      </c>
      <c r="F323" t="s">
        <v>606</v>
      </c>
      <c r="G323" t="s">
        <v>434</v>
      </c>
      <c r="H323" s="67">
        <v>44847</v>
      </c>
      <c r="I323" s="98">
        <v>4999000</v>
      </c>
      <c r="J323" s="73"/>
      <c r="K323" s="74"/>
      <c r="L323" s="73"/>
      <c r="M323" s="74">
        <v>5121000</v>
      </c>
      <c r="N323" s="73">
        <v>5221000</v>
      </c>
      <c r="O323" s="74">
        <v>3483770</v>
      </c>
    </row>
    <row r="324" spans="1:15">
      <c r="A324" s="107"/>
      <c r="B324" s="107"/>
      <c r="C324" s="107"/>
      <c r="D324" s="68" t="s">
        <v>589</v>
      </c>
      <c r="F324" t="s">
        <v>606</v>
      </c>
      <c r="G324" t="s">
        <v>436</v>
      </c>
      <c r="H324" s="67">
        <v>44847</v>
      </c>
      <c r="I324" s="98">
        <v>0.46400000000000002</v>
      </c>
      <c r="J324" s="73"/>
      <c r="K324" s="74"/>
      <c r="L324" s="73"/>
      <c r="M324" s="74">
        <v>0.27400000000000002</v>
      </c>
      <c r="N324" s="73">
        <v>0.26600000000000001</v>
      </c>
      <c r="O324" s="74">
        <v>0.214</v>
      </c>
    </row>
    <row r="325" spans="1:15">
      <c r="A325" s="107"/>
      <c r="B325" s="107"/>
      <c r="C325" s="107"/>
      <c r="D325" s="68" t="s">
        <v>417</v>
      </c>
      <c r="G325" t="s">
        <v>434</v>
      </c>
      <c r="H325" s="67"/>
      <c r="I325" s="98"/>
      <c r="J325" s="73"/>
      <c r="K325" s="74"/>
      <c r="L325" s="73"/>
      <c r="M325" s="74">
        <v>13509000</v>
      </c>
      <c r="N325" s="73">
        <v>11387000</v>
      </c>
      <c r="O325" s="74">
        <v>14292256</v>
      </c>
    </row>
    <row r="326" spans="1:15">
      <c r="A326" s="107"/>
      <c r="B326" s="107"/>
      <c r="C326" s="107"/>
      <c r="D326" s="68" t="s">
        <v>418</v>
      </c>
      <c r="E326" t="s">
        <v>419</v>
      </c>
      <c r="G326" t="s">
        <v>435</v>
      </c>
      <c r="H326" s="67">
        <v>44847</v>
      </c>
      <c r="J326" s="73"/>
      <c r="K326" s="74"/>
      <c r="L326" s="73"/>
      <c r="M326" s="74">
        <v>279500</v>
      </c>
      <c r="N326" s="73">
        <v>291600</v>
      </c>
      <c r="O326" s="74">
        <v>10797</v>
      </c>
    </row>
    <row r="327" spans="1:15">
      <c r="A327" s="107"/>
      <c r="B327" s="107"/>
      <c r="C327" s="107"/>
      <c r="D327" s="68" t="s">
        <v>421</v>
      </c>
      <c r="E327" t="s">
        <v>422</v>
      </c>
      <c r="G327" t="s">
        <v>435</v>
      </c>
      <c r="H327" s="67">
        <v>44847</v>
      </c>
      <c r="J327" s="73"/>
      <c r="K327" s="74"/>
      <c r="L327" s="73"/>
      <c r="M327" s="74">
        <v>22249000</v>
      </c>
      <c r="N327" s="73">
        <v>20456000</v>
      </c>
      <c r="O327" s="74">
        <v>21062357</v>
      </c>
    </row>
    <row r="328" spans="1:15">
      <c r="A328" s="107"/>
      <c r="B328" s="107"/>
      <c r="C328" s="107"/>
      <c r="D328" s="68" t="s">
        <v>423</v>
      </c>
      <c r="E328" t="s">
        <v>456</v>
      </c>
      <c r="F328" t="s">
        <v>588</v>
      </c>
      <c r="G328" t="s">
        <v>82</v>
      </c>
      <c r="H328" s="67"/>
      <c r="I328" s="96">
        <f>SUM(I329:I333)+I339</f>
        <v>26799000</v>
      </c>
      <c r="J328" s="73"/>
      <c r="K328" s="74"/>
      <c r="L328" s="73"/>
      <c r="M328" s="96">
        <f>SUM(M329:M333)+M339</f>
        <v>17020000</v>
      </c>
      <c r="N328" s="97">
        <f t="shared" ref="N328" si="6">SUM(N329:N333)+N339</f>
        <v>14983000</v>
      </c>
      <c r="O328" s="96">
        <f t="shared" ref="O328" si="7">SUM(O329:O333)+O339</f>
        <v>18076325</v>
      </c>
    </row>
    <row r="329" spans="1:15">
      <c r="A329" s="107"/>
      <c r="B329" s="107"/>
      <c r="C329" s="107"/>
      <c r="D329" s="68" t="s">
        <v>456</v>
      </c>
      <c r="E329" t="s">
        <v>517</v>
      </c>
      <c r="F329" t="s">
        <v>588</v>
      </c>
      <c r="G329" t="s">
        <v>82</v>
      </c>
      <c r="H329" s="67"/>
      <c r="I329" s="92">
        <v>19711000</v>
      </c>
      <c r="J329" s="73"/>
      <c r="K329" s="74"/>
      <c r="L329" s="73"/>
      <c r="M329" s="74">
        <v>9776000</v>
      </c>
      <c r="N329" s="73">
        <v>7960000</v>
      </c>
      <c r="O329" s="74">
        <v>10860781</v>
      </c>
    </row>
    <row r="330" spans="1:15">
      <c r="A330" s="107"/>
      <c r="B330" s="107"/>
      <c r="C330" s="107"/>
      <c r="D330" s="68" t="s">
        <v>456</v>
      </c>
      <c r="E330" t="s">
        <v>518</v>
      </c>
      <c r="F330" t="s">
        <v>588</v>
      </c>
      <c r="G330" t="s">
        <v>82</v>
      </c>
      <c r="H330" s="67"/>
      <c r="I330" s="92">
        <v>356000</v>
      </c>
      <c r="J330" s="73"/>
      <c r="K330" s="74"/>
      <c r="L330" s="73"/>
      <c r="M330" s="74">
        <v>6289000</v>
      </c>
      <c r="N330" s="73">
        <v>5883000</v>
      </c>
      <c r="O330" s="74">
        <v>5554766</v>
      </c>
    </row>
    <row r="331" spans="1:15">
      <c r="A331" s="107"/>
      <c r="B331" s="107"/>
      <c r="C331" s="107"/>
      <c r="D331" s="68" t="s">
        <v>456</v>
      </c>
      <c r="E331" t="s">
        <v>519</v>
      </c>
      <c r="F331" t="s">
        <v>588</v>
      </c>
      <c r="G331" t="s">
        <v>82</v>
      </c>
      <c r="H331" s="67"/>
      <c r="I331" s="92">
        <v>6636000</v>
      </c>
      <c r="J331" s="73"/>
      <c r="K331" s="74"/>
      <c r="L331" s="73"/>
      <c r="M331" s="74"/>
      <c r="N331" s="73"/>
      <c r="O331" s="74"/>
    </row>
    <row r="332" spans="1:15">
      <c r="A332" s="107"/>
      <c r="B332" s="107"/>
      <c r="C332" s="107"/>
      <c r="D332" s="68" t="s">
        <v>456</v>
      </c>
      <c r="E332" t="s">
        <v>520</v>
      </c>
      <c r="F332" t="s">
        <v>588</v>
      </c>
      <c r="G332" t="s">
        <v>82</v>
      </c>
      <c r="H332" s="67"/>
      <c r="I332" s="92">
        <v>225000</v>
      </c>
      <c r="J332" s="73"/>
      <c r="K332" s="74"/>
      <c r="L332" s="73"/>
      <c r="M332" s="74">
        <v>5000</v>
      </c>
      <c r="N332" s="73">
        <v>6000</v>
      </c>
      <c r="O332" s="74">
        <v>7000</v>
      </c>
    </row>
    <row r="333" spans="1:15">
      <c r="A333" s="107"/>
      <c r="B333" s="107"/>
      <c r="C333" s="107"/>
      <c r="D333" s="68" t="s">
        <v>456</v>
      </c>
      <c r="E333" t="s">
        <v>521</v>
      </c>
      <c r="F333" t="s">
        <v>588</v>
      </c>
      <c r="G333" t="s">
        <v>82</v>
      </c>
      <c r="H333" s="67"/>
      <c r="I333" s="92">
        <v>387000</v>
      </c>
      <c r="J333" s="73"/>
      <c r="K333" s="74"/>
      <c r="L333" s="73"/>
      <c r="M333" s="74">
        <v>1258000</v>
      </c>
      <c r="N333" s="73">
        <v>1505000</v>
      </c>
      <c r="O333" s="74">
        <v>1974966</v>
      </c>
    </row>
    <row r="334" spans="1:15">
      <c r="A334" s="107"/>
      <c r="B334" s="107"/>
      <c r="C334" s="107"/>
      <c r="D334" s="68" t="s">
        <v>456</v>
      </c>
      <c r="E334" t="s">
        <v>522</v>
      </c>
      <c r="F334" t="s">
        <v>588</v>
      </c>
      <c r="G334" t="s">
        <v>82</v>
      </c>
      <c r="H334" s="67"/>
      <c r="J334" s="73"/>
      <c r="K334" s="74"/>
      <c r="L334" s="73"/>
      <c r="M334" s="74"/>
      <c r="N334" s="73"/>
      <c r="O334" s="74"/>
    </row>
    <row r="335" spans="1:15">
      <c r="A335" s="107"/>
      <c r="B335" s="107"/>
      <c r="C335" s="107"/>
      <c r="D335" s="68" t="s">
        <v>456</v>
      </c>
      <c r="E335" t="s">
        <v>523</v>
      </c>
      <c r="F335" t="s">
        <v>588</v>
      </c>
      <c r="G335" t="s">
        <v>82</v>
      </c>
      <c r="H335" s="67"/>
      <c r="J335" s="73"/>
      <c r="K335" s="74"/>
      <c r="L335" s="73"/>
      <c r="M335" s="74"/>
      <c r="N335" s="73"/>
      <c r="O335" s="74"/>
    </row>
    <row r="336" spans="1:15">
      <c r="A336" s="107"/>
      <c r="B336" s="107"/>
      <c r="C336" s="107"/>
      <c r="D336" s="68" t="s">
        <v>456</v>
      </c>
      <c r="E336" t="s">
        <v>524</v>
      </c>
      <c r="F336" t="s">
        <v>588</v>
      </c>
      <c r="G336" t="s">
        <v>82</v>
      </c>
      <c r="H336" s="67"/>
      <c r="I336" s="92">
        <v>387000</v>
      </c>
      <c r="J336" s="73"/>
      <c r="K336" s="74"/>
      <c r="L336" s="73"/>
      <c r="M336" s="74">
        <v>512000</v>
      </c>
      <c r="N336" s="73">
        <v>482000</v>
      </c>
      <c r="O336" s="74">
        <v>397904</v>
      </c>
    </row>
    <row r="337" spans="1:15">
      <c r="A337" s="107"/>
      <c r="B337" s="107"/>
      <c r="C337" s="107"/>
      <c r="D337" s="68" t="s">
        <v>456</v>
      </c>
      <c r="E337" t="s">
        <v>525</v>
      </c>
      <c r="F337" t="s">
        <v>588</v>
      </c>
      <c r="G337" t="s">
        <v>82</v>
      </c>
      <c r="H337" s="67"/>
      <c r="J337" s="73"/>
      <c r="K337" s="74"/>
      <c r="L337" s="73"/>
      <c r="M337" s="74">
        <v>5000</v>
      </c>
      <c r="N337" s="73">
        <v>6000</v>
      </c>
      <c r="O337" s="74">
        <v>6529</v>
      </c>
    </row>
    <row r="338" spans="1:15">
      <c r="A338" s="107"/>
      <c r="B338" s="107"/>
      <c r="C338" s="107"/>
      <c r="D338" s="68" t="s">
        <v>456</v>
      </c>
      <c r="E338" t="s">
        <v>526</v>
      </c>
      <c r="F338" t="s">
        <v>588</v>
      </c>
      <c r="G338" t="s">
        <v>82</v>
      </c>
      <c r="H338" s="67"/>
      <c r="J338" s="73"/>
      <c r="K338" s="74"/>
      <c r="L338" s="73"/>
      <c r="M338" s="74">
        <v>741000</v>
      </c>
      <c r="N338" s="73">
        <v>1017000</v>
      </c>
      <c r="O338" s="74">
        <v>1570533</v>
      </c>
    </row>
    <row r="339" spans="1:15">
      <c r="A339" s="107"/>
      <c r="B339" s="107"/>
      <c r="C339" s="107"/>
      <c r="D339" s="68" t="s">
        <v>456</v>
      </c>
      <c r="E339" t="s">
        <v>590</v>
      </c>
      <c r="F339" t="s">
        <v>588</v>
      </c>
      <c r="G339" t="s">
        <v>82</v>
      </c>
      <c r="H339" s="67">
        <v>44561</v>
      </c>
      <c r="I339" s="92">
        <v>-516000</v>
      </c>
      <c r="J339" s="73"/>
      <c r="K339" s="74"/>
      <c r="L339" s="73"/>
      <c r="M339" s="74">
        <v>-308000</v>
      </c>
      <c r="N339" s="73">
        <v>-371000</v>
      </c>
      <c r="O339" s="74">
        <v>-321188</v>
      </c>
    </row>
    <row r="340" spans="1:15">
      <c r="A340" s="107"/>
      <c r="B340" s="107"/>
      <c r="C340" s="107"/>
      <c r="D340" s="68" t="s">
        <v>424</v>
      </c>
      <c r="H340" s="67">
        <v>44847</v>
      </c>
      <c r="J340" s="73"/>
      <c r="K340" s="74"/>
      <c r="L340" s="73"/>
      <c r="M340" s="74"/>
      <c r="N340" s="73"/>
      <c r="O340" s="76" t="s">
        <v>586</v>
      </c>
    </row>
    <row r="341" spans="1:15">
      <c r="A341" s="107" t="s">
        <v>110</v>
      </c>
      <c r="B341" s="107" t="s">
        <v>111</v>
      </c>
      <c r="C341" s="107" t="s">
        <v>112</v>
      </c>
      <c r="D341" s="68" t="s">
        <v>417</v>
      </c>
      <c r="G341" t="s">
        <v>434</v>
      </c>
      <c r="H341" s="67">
        <v>44561</v>
      </c>
      <c r="J341" s="73">
        <v>1048006</v>
      </c>
      <c r="K341" s="74">
        <v>1048006</v>
      </c>
      <c r="L341" s="73">
        <v>1048006</v>
      </c>
      <c r="M341" s="74">
        <v>1048006</v>
      </c>
      <c r="N341" s="73">
        <v>1106156</v>
      </c>
      <c r="O341" s="74"/>
    </row>
    <row r="342" spans="1:15">
      <c r="A342" s="107"/>
      <c r="B342" s="107"/>
      <c r="C342" s="107"/>
      <c r="D342" s="68" t="s">
        <v>418</v>
      </c>
      <c r="E342" t="s">
        <v>419</v>
      </c>
      <c r="G342" t="s">
        <v>434</v>
      </c>
      <c r="H342" s="67">
        <v>44561</v>
      </c>
      <c r="J342" s="73">
        <v>2548437</v>
      </c>
      <c r="K342" s="74">
        <v>2548437</v>
      </c>
      <c r="L342" s="73">
        <v>2548437</v>
      </c>
      <c r="M342" s="74">
        <v>1500431</v>
      </c>
      <c r="N342" s="73">
        <v>1466830</v>
      </c>
      <c r="O342" s="74"/>
    </row>
    <row r="343" spans="1:15">
      <c r="A343" s="107"/>
      <c r="B343" s="107"/>
      <c r="C343" s="107"/>
      <c r="D343" s="68" t="s">
        <v>420</v>
      </c>
      <c r="E343" t="s">
        <v>419</v>
      </c>
      <c r="G343" t="s">
        <v>434</v>
      </c>
      <c r="H343" s="67">
        <v>44561</v>
      </c>
      <c r="J343" s="73">
        <v>3596443</v>
      </c>
      <c r="K343" s="74">
        <v>3596443</v>
      </c>
      <c r="L343" s="73">
        <v>3596443</v>
      </c>
      <c r="M343" s="74">
        <v>2548437</v>
      </c>
      <c r="N343" s="73">
        <v>2572986</v>
      </c>
      <c r="O343" s="74"/>
    </row>
    <row r="344" spans="1:15">
      <c r="A344" s="107"/>
      <c r="B344" s="107"/>
      <c r="C344" s="107"/>
      <c r="D344" s="68" t="s">
        <v>421</v>
      </c>
      <c r="E344" t="s">
        <v>422</v>
      </c>
      <c r="G344" t="s">
        <v>434</v>
      </c>
      <c r="H344" s="67">
        <v>44561</v>
      </c>
      <c r="J344" s="73"/>
      <c r="K344" s="74"/>
      <c r="L344" s="73"/>
      <c r="M344" s="74"/>
      <c r="N344" s="73"/>
      <c r="O344" s="74"/>
    </row>
    <row r="345" spans="1:15">
      <c r="A345" s="107"/>
      <c r="B345" s="107"/>
      <c r="C345" s="107"/>
      <c r="D345" s="68" t="s">
        <v>423</v>
      </c>
      <c r="G345" t="s">
        <v>100</v>
      </c>
      <c r="H345" s="67">
        <v>44561</v>
      </c>
      <c r="J345" s="73">
        <v>5301216</v>
      </c>
      <c r="K345" s="74">
        <v>5301216</v>
      </c>
      <c r="L345" s="73">
        <v>5301216</v>
      </c>
      <c r="M345" s="74">
        <v>5301216</v>
      </c>
      <c r="N345" s="73">
        <v>5543677</v>
      </c>
      <c r="O345" s="74"/>
    </row>
    <row r="346" spans="1:15">
      <c r="A346" s="107"/>
      <c r="B346" s="107"/>
      <c r="C346" s="107"/>
      <c r="D346" s="68" t="s">
        <v>424</v>
      </c>
      <c r="H346" s="67"/>
      <c r="J346" s="73"/>
      <c r="K346" s="74"/>
      <c r="L346" s="73"/>
      <c r="M346" s="74"/>
      <c r="N346" s="73"/>
      <c r="O346" s="74"/>
    </row>
    <row r="347" spans="1:15">
      <c r="A347" s="107" t="s">
        <v>110</v>
      </c>
      <c r="B347" s="107" t="s">
        <v>111</v>
      </c>
      <c r="C347" s="107" t="s">
        <v>112</v>
      </c>
      <c r="D347" s="68" t="s">
        <v>417</v>
      </c>
      <c r="G347" t="s">
        <v>434</v>
      </c>
      <c r="H347" s="67">
        <v>44791</v>
      </c>
      <c r="J347" s="73"/>
      <c r="K347" s="74"/>
      <c r="L347" s="73"/>
      <c r="M347" s="74">
        <v>1048006</v>
      </c>
      <c r="N347" s="73">
        <v>1106156</v>
      </c>
      <c r="O347" s="74">
        <f>1117753</f>
        <v>1117753</v>
      </c>
    </row>
    <row r="348" spans="1:15">
      <c r="A348" s="107"/>
      <c r="B348" s="107"/>
      <c r="C348" s="107"/>
      <c r="D348" s="68" t="s">
        <v>418</v>
      </c>
      <c r="E348" t="s">
        <v>419</v>
      </c>
      <c r="G348" t="s">
        <v>434</v>
      </c>
      <c r="H348" s="67">
        <v>44791</v>
      </c>
      <c r="J348" s="73"/>
      <c r="K348" s="74"/>
      <c r="L348" s="73"/>
      <c r="M348" s="74">
        <v>1500431</v>
      </c>
      <c r="N348" s="73">
        <v>1466830</v>
      </c>
      <c r="O348" s="74">
        <f>1436765</f>
        <v>1436765</v>
      </c>
    </row>
    <row r="349" spans="1:15">
      <c r="A349" s="107"/>
      <c r="B349" s="107"/>
      <c r="C349" s="107"/>
      <c r="D349" s="68" t="s">
        <v>421</v>
      </c>
      <c r="E349" t="s">
        <v>422</v>
      </c>
      <c r="G349" t="s">
        <v>434</v>
      </c>
      <c r="H349" s="67">
        <v>44791</v>
      </c>
      <c r="J349" s="73"/>
      <c r="K349" s="74"/>
      <c r="L349" s="73"/>
      <c r="M349" s="74">
        <f>1309400</f>
        <v>1309400</v>
      </c>
      <c r="N349" s="73">
        <f>1369288</f>
        <v>1369288</v>
      </c>
      <c r="O349" s="74">
        <f>1398504</f>
        <v>1398504</v>
      </c>
    </row>
    <row r="350" spans="1:15">
      <c r="A350" s="107"/>
      <c r="B350" s="107"/>
      <c r="C350" s="107"/>
      <c r="D350" s="68" t="s">
        <v>496</v>
      </c>
      <c r="G350" t="s">
        <v>434</v>
      </c>
      <c r="H350" s="67">
        <v>44791</v>
      </c>
      <c r="J350" s="73"/>
      <c r="K350" s="74"/>
      <c r="L350" s="73"/>
      <c r="M350" s="74">
        <f>3857837</f>
        <v>3857837</v>
      </c>
      <c r="N350" s="73">
        <f>3942274</f>
        <v>3942274</v>
      </c>
      <c r="O350" s="74">
        <f>3953022</f>
        <v>3953022</v>
      </c>
    </row>
    <row r="351" spans="1:15">
      <c r="A351" s="107"/>
      <c r="B351" s="107"/>
      <c r="C351" s="107"/>
      <c r="D351" s="68" t="s">
        <v>423</v>
      </c>
      <c r="G351" t="s">
        <v>100</v>
      </c>
      <c r="H351" s="67">
        <v>44791</v>
      </c>
      <c r="J351" s="73"/>
      <c r="K351" s="74"/>
      <c r="L351" s="73"/>
      <c r="M351" s="74">
        <f>M349/0.247</f>
        <v>5301214.5748987859</v>
      </c>
      <c r="N351" s="73">
        <f>N349/0.247</f>
        <v>5543676.1133603239</v>
      </c>
      <c r="O351" s="73">
        <f>O349/0.247</f>
        <v>5661959.5141700404</v>
      </c>
    </row>
    <row r="352" spans="1:15">
      <c r="A352" s="107"/>
      <c r="B352" s="107"/>
      <c r="C352" s="107"/>
      <c r="D352" s="68" t="s">
        <v>424</v>
      </c>
      <c r="H352" s="67">
        <v>44791</v>
      </c>
      <c r="J352" s="73"/>
      <c r="K352" s="74"/>
      <c r="L352" s="73"/>
      <c r="M352" s="74"/>
      <c r="N352" s="73"/>
      <c r="O352" s="76" t="s">
        <v>594</v>
      </c>
    </row>
    <row r="353" spans="1:15">
      <c r="A353" s="107" t="s">
        <v>113</v>
      </c>
      <c r="B353" s="107" t="s">
        <v>114</v>
      </c>
      <c r="C353" s="107" t="s">
        <v>115</v>
      </c>
      <c r="D353" s="68" t="s">
        <v>417</v>
      </c>
      <c r="G353" t="s">
        <v>435</v>
      </c>
      <c r="H353" s="67">
        <v>44561</v>
      </c>
      <c r="J353" s="73">
        <v>9.98209123846366</v>
      </c>
      <c r="K353" s="74">
        <v>8.7791840316313294</v>
      </c>
      <c r="L353" s="73">
        <v>9.3084717803376105</v>
      </c>
      <c r="M353" s="74">
        <v>8.4480133281525607</v>
      </c>
      <c r="N353" s="73">
        <v>8.0503032419862404</v>
      </c>
      <c r="O353" s="74"/>
    </row>
    <row r="354" spans="1:15">
      <c r="A354" s="107"/>
      <c r="B354" s="107"/>
      <c r="C354" s="107"/>
      <c r="D354" s="68" t="s">
        <v>418</v>
      </c>
      <c r="E354" t="s">
        <v>419</v>
      </c>
      <c r="G354" t="s">
        <v>435</v>
      </c>
      <c r="H354" s="67">
        <v>44561</v>
      </c>
      <c r="J354" s="73"/>
      <c r="K354" s="74"/>
      <c r="L354" s="73"/>
      <c r="M354" s="74"/>
      <c r="N354" s="73"/>
      <c r="O354" s="74"/>
    </row>
    <row r="355" spans="1:15">
      <c r="A355" s="107"/>
      <c r="B355" s="107"/>
      <c r="C355" s="107"/>
      <c r="D355" s="68" t="s">
        <v>420</v>
      </c>
      <c r="E355" t="s">
        <v>419</v>
      </c>
      <c r="G355" t="s">
        <v>435</v>
      </c>
      <c r="H355" s="67">
        <v>44561</v>
      </c>
      <c r="J355" s="73"/>
      <c r="K355" s="74"/>
      <c r="L355" s="73"/>
      <c r="M355" s="74"/>
      <c r="N355" s="73"/>
      <c r="O355" s="74"/>
    </row>
    <row r="356" spans="1:15">
      <c r="A356" s="107"/>
      <c r="B356" s="107"/>
      <c r="C356" s="107"/>
      <c r="D356" s="68" t="s">
        <v>421</v>
      </c>
      <c r="E356" t="s">
        <v>422</v>
      </c>
      <c r="G356" t="s">
        <v>435</v>
      </c>
      <c r="H356" s="67">
        <v>44561</v>
      </c>
      <c r="J356" s="73"/>
      <c r="K356" s="74"/>
      <c r="L356" s="73"/>
      <c r="M356" s="74"/>
      <c r="N356" s="73"/>
      <c r="O356" s="74"/>
    </row>
    <row r="357" spans="1:15">
      <c r="A357" s="107"/>
      <c r="B357" s="107"/>
      <c r="C357" s="107"/>
      <c r="D357" s="68" t="s">
        <v>423</v>
      </c>
      <c r="G357" t="s">
        <v>63</v>
      </c>
      <c r="H357" s="67">
        <v>44561</v>
      </c>
      <c r="J357" s="73">
        <v>13.525581534692501</v>
      </c>
      <c r="K357" s="74">
        <v>11.5214877484265</v>
      </c>
      <c r="L357" s="73">
        <v>12.199646670480099</v>
      </c>
      <c r="M357" s="74">
        <v>12.8612387470939</v>
      </c>
      <c r="N357" s="73">
        <v>12.092829316131199</v>
      </c>
      <c r="O357" s="74"/>
    </row>
    <row r="358" spans="1:15">
      <c r="A358" s="107"/>
      <c r="B358" s="107"/>
      <c r="C358" s="107"/>
      <c r="D358" s="68" t="s">
        <v>424</v>
      </c>
      <c r="H358" s="67"/>
      <c r="J358" s="73"/>
      <c r="K358" s="74"/>
      <c r="L358" s="73"/>
      <c r="M358" s="74"/>
      <c r="N358" s="73"/>
      <c r="O358" s="74"/>
    </row>
    <row r="359" spans="1:15">
      <c r="A359" s="107" t="s">
        <v>113</v>
      </c>
      <c r="B359" s="107" t="s">
        <v>114</v>
      </c>
      <c r="C359" s="107" t="s">
        <v>115</v>
      </c>
      <c r="D359" s="68" t="s">
        <v>587</v>
      </c>
      <c r="H359" s="67">
        <v>44866</v>
      </c>
      <c r="I359" s="92">
        <v>2011</v>
      </c>
      <c r="J359" s="73"/>
      <c r="K359" s="74"/>
      <c r="L359" s="73"/>
      <c r="M359" s="74"/>
      <c r="N359" s="73"/>
      <c r="O359" s="74"/>
    </row>
    <row r="360" spans="1:15">
      <c r="A360" s="107"/>
      <c r="B360" s="107"/>
      <c r="C360" s="107"/>
      <c r="D360" s="68" t="s">
        <v>417</v>
      </c>
      <c r="G360" t="s">
        <v>435</v>
      </c>
      <c r="H360" s="67">
        <v>44866</v>
      </c>
      <c r="I360" s="92">
        <v>24</v>
      </c>
      <c r="J360" s="73">
        <v>18</v>
      </c>
      <c r="K360" s="74">
        <v>16.5</v>
      </c>
      <c r="L360" s="73">
        <v>15.5</v>
      </c>
      <c r="M360" s="74">
        <v>14</v>
      </c>
      <c r="N360" s="73">
        <v>11.5</v>
      </c>
      <c r="O360" s="74">
        <v>13</v>
      </c>
    </row>
    <row r="361" spans="1:15">
      <c r="A361" s="107"/>
      <c r="B361" s="107"/>
      <c r="C361" s="107"/>
      <c r="D361" s="68" t="s">
        <v>418</v>
      </c>
      <c r="H361" s="67">
        <v>44866</v>
      </c>
      <c r="J361" s="73"/>
      <c r="K361" s="74"/>
      <c r="L361" s="73"/>
      <c r="M361" s="74"/>
      <c r="N361" s="73"/>
      <c r="O361" s="74"/>
    </row>
    <row r="362" spans="1:15">
      <c r="A362" s="107"/>
      <c r="B362" s="107"/>
      <c r="C362" s="107"/>
      <c r="D362" s="68" t="s">
        <v>420</v>
      </c>
      <c r="H362" s="67">
        <v>44866</v>
      </c>
      <c r="J362" s="73"/>
      <c r="K362" s="74"/>
      <c r="L362" s="73"/>
      <c r="M362" s="74"/>
      <c r="N362" s="73"/>
      <c r="O362" s="74"/>
    </row>
    <row r="363" spans="1:15">
      <c r="A363" s="107"/>
      <c r="B363" s="107"/>
      <c r="C363" s="107"/>
      <c r="D363" s="68" t="s">
        <v>421</v>
      </c>
      <c r="H363" s="67">
        <v>44866</v>
      </c>
      <c r="J363" s="73"/>
      <c r="K363" s="74"/>
      <c r="L363" s="73"/>
      <c r="M363" s="74"/>
      <c r="N363" s="73"/>
      <c r="O363" s="74"/>
    </row>
    <row r="364" spans="1:15">
      <c r="A364" s="107"/>
      <c r="B364" s="107"/>
      <c r="C364" s="107"/>
      <c r="D364" s="68" t="s">
        <v>423</v>
      </c>
      <c r="G364" t="s">
        <v>63</v>
      </c>
      <c r="H364" s="67">
        <v>44866</v>
      </c>
      <c r="J364" s="73"/>
      <c r="K364" s="74"/>
      <c r="L364" s="73"/>
      <c r="M364" s="74"/>
      <c r="N364" s="73"/>
      <c r="O364" s="74">
        <v>11.323</v>
      </c>
    </row>
    <row r="365" spans="1:15">
      <c r="A365" s="107"/>
      <c r="B365" s="107"/>
      <c r="C365" s="107"/>
      <c r="D365" s="68" t="s">
        <v>424</v>
      </c>
      <c r="H365" s="67">
        <v>44866</v>
      </c>
      <c r="J365" s="73"/>
      <c r="K365" s="74"/>
      <c r="L365" s="73"/>
      <c r="M365" s="74"/>
      <c r="N365" s="73"/>
      <c r="O365" s="76" t="s">
        <v>595</v>
      </c>
    </row>
    <row r="366" spans="1:15">
      <c r="A366" s="107" t="s">
        <v>116</v>
      </c>
      <c r="B366" s="107" t="s">
        <v>117</v>
      </c>
      <c r="C366" s="107" t="s">
        <v>118</v>
      </c>
      <c r="D366" s="68" t="s">
        <v>417</v>
      </c>
      <c r="G366" t="s">
        <v>435</v>
      </c>
      <c r="H366" s="67">
        <v>44561</v>
      </c>
      <c r="J366" s="73">
        <v>1.32578662140228</v>
      </c>
      <c r="K366" s="74">
        <v>1.3237389779454301</v>
      </c>
      <c r="L366" s="73">
        <v>1.2684298153370399</v>
      </c>
      <c r="M366" s="74">
        <v>1.2026904049517599</v>
      </c>
      <c r="N366" s="73">
        <v>1.32787923872953</v>
      </c>
      <c r="O366" s="74"/>
    </row>
    <row r="367" spans="1:15">
      <c r="A367" s="107"/>
      <c r="B367" s="107"/>
      <c r="C367" s="107"/>
      <c r="D367" s="68" t="s">
        <v>418</v>
      </c>
      <c r="E367" t="s">
        <v>419</v>
      </c>
      <c r="G367" t="s">
        <v>435</v>
      </c>
      <c r="H367" s="67">
        <v>44561</v>
      </c>
      <c r="J367" s="73">
        <v>0</v>
      </c>
      <c r="K367" s="74">
        <v>0</v>
      </c>
      <c r="L367" s="73">
        <v>0</v>
      </c>
      <c r="M367" s="74">
        <v>0</v>
      </c>
      <c r="N367" s="73">
        <v>0</v>
      </c>
      <c r="O367" s="74"/>
    </row>
    <row r="368" spans="1:15">
      <c r="A368" s="107"/>
      <c r="B368" s="107"/>
      <c r="C368" s="107"/>
      <c r="D368" s="68" t="s">
        <v>420</v>
      </c>
      <c r="E368" t="s">
        <v>419</v>
      </c>
      <c r="G368" t="s">
        <v>435</v>
      </c>
      <c r="H368" s="67">
        <v>44561</v>
      </c>
      <c r="J368" s="73">
        <v>1.32578662140228</v>
      </c>
      <c r="K368" s="74">
        <v>1.3237389779454301</v>
      </c>
      <c r="L368" s="73">
        <v>1.2684298153370399</v>
      </c>
      <c r="M368" s="74">
        <v>1.2026904049517599</v>
      </c>
      <c r="N368" s="73">
        <v>1.32787923872953</v>
      </c>
      <c r="O368" s="74"/>
    </row>
    <row r="369" spans="1:15">
      <c r="A369" s="107"/>
      <c r="B369" s="107"/>
      <c r="C369" s="107"/>
      <c r="D369" s="68" t="s">
        <v>421</v>
      </c>
      <c r="E369" t="s">
        <v>422</v>
      </c>
      <c r="G369" t="s">
        <v>435</v>
      </c>
      <c r="H369" s="67">
        <v>44561</v>
      </c>
      <c r="J369" s="73"/>
      <c r="K369" s="74"/>
      <c r="L369" s="73"/>
      <c r="M369" s="74"/>
      <c r="N369" s="73"/>
      <c r="O369" s="74"/>
    </row>
    <row r="370" spans="1:15">
      <c r="A370" s="107"/>
      <c r="B370" s="107"/>
      <c r="C370" s="107"/>
      <c r="D370" s="68" t="s">
        <v>423</v>
      </c>
      <c r="G370" t="s">
        <v>63</v>
      </c>
      <c r="H370" s="67">
        <v>44561</v>
      </c>
      <c r="J370" s="73">
        <v>3.0828950000000002</v>
      </c>
      <c r="K370" s="74">
        <v>3.095761</v>
      </c>
      <c r="L370" s="73">
        <v>2.9563009999999998</v>
      </c>
      <c r="M370" s="74">
        <v>2.8198500000000002</v>
      </c>
      <c r="N370" s="73">
        <v>3.1220319999999999</v>
      </c>
      <c r="O370" s="74"/>
    </row>
    <row r="371" spans="1:15">
      <c r="A371" s="107"/>
      <c r="B371" s="107"/>
      <c r="C371" s="107"/>
      <c r="D371" s="68" t="s">
        <v>424</v>
      </c>
      <c r="H371" s="67"/>
      <c r="J371" s="73"/>
      <c r="K371" s="74"/>
      <c r="L371" s="73"/>
      <c r="M371" s="74"/>
      <c r="N371" s="73"/>
      <c r="O371" s="74"/>
    </row>
    <row r="372" spans="1:15">
      <c r="A372" s="107" t="s">
        <v>116</v>
      </c>
      <c r="B372" s="107" t="s">
        <v>117</v>
      </c>
      <c r="C372" s="107" t="s">
        <v>118</v>
      </c>
      <c r="D372" s="68" t="s">
        <v>587</v>
      </c>
      <c r="H372" s="67"/>
      <c r="I372" s="92">
        <v>2005</v>
      </c>
      <c r="J372" s="73"/>
      <c r="K372" s="74"/>
      <c r="L372" s="73"/>
      <c r="M372" s="74"/>
      <c r="N372" s="73"/>
      <c r="O372" s="74"/>
    </row>
    <row r="373" spans="1:15">
      <c r="A373" s="107"/>
      <c r="B373" s="107"/>
      <c r="C373" s="107"/>
      <c r="D373" s="68" t="s">
        <v>417</v>
      </c>
      <c r="F373" t="s">
        <v>588</v>
      </c>
      <c r="G373" t="s">
        <v>434</v>
      </c>
      <c r="H373" s="67">
        <v>44756</v>
      </c>
      <c r="I373" s="58">
        <v>1806880.79033897</v>
      </c>
      <c r="J373" s="73"/>
      <c r="K373" s="74"/>
      <c r="L373" s="73"/>
      <c r="M373" s="74"/>
      <c r="N373" s="73">
        <v>1922944.0277451701</v>
      </c>
      <c r="O373" s="58">
        <v>1929402.3664103062</v>
      </c>
    </row>
    <row r="374" spans="1:15">
      <c r="A374" s="107"/>
      <c r="B374" s="107"/>
      <c r="C374" s="107"/>
      <c r="D374" s="68" t="s">
        <v>589</v>
      </c>
      <c r="F374" t="s">
        <v>588</v>
      </c>
      <c r="G374" t="s">
        <v>436</v>
      </c>
      <c r="H374" s="67">
        <v>44756</v>
      </c>
      <c r="I374" s="101">
        <v>0.292034636322417</v>
      </c>
      <c r="J374" s="73"/>
      <c r="K374" s="74"/>
      <c r="L374" s="73"/>
      <c r="M374" s="74"/>
      <c r="N374" s="73">
        <v>0.27315818517470303</v>
      </c>
      <c r="O374" s="101">
        <v>0.2838918661431491</v>
      </c>
    </row>
    <row r="375" spans="1:15">
      <c r="A375" s="107"/>
      <c r="B375" s="107"/>
      <c r="C375" s="107"/>
      <c r="D375" s="68" t="s">
        <v>417</v>
      </c>
      <c r="F375" t="s">
        <v>606</v>
      </c>
      <c r="G375" t="s">
        <v>434</v>
      </c>
      <c r="H375" s="67">
        <v>44756</v>
      </c>
      <c r="I375" s="58">
        <v>9913677.1400000006</v>
      </c>
      <c r="J375" s="73"/>
      <c r="K375" s="74"/>
      <c r="L375" s="73"/>
      <c r="M375" s="74"/>
      <c r="N375" s="73">
        <v>4386675.8489898499</v>
      </c>
      <c r="O375" s="58">
        <v>5120850.6626992403</v>
      </c>
    </row>
    <row r="376" spans="1:15">
      <c r="A376" s="107"/>
      <c r="B376" s="107"/>
      <c r="C376" s="107"/>
      <c r="D376" s="68" t="s">
        <v>589</v>
      </c>
      <c r="F376" t="s">
        <v>606</v>
      </c>
      <c r="G376" t="s">
        <v>436</v>
      </c>
      <c r="H376" s="67">
        <v>44756</v>
      </c>
      <c r="I376" s="101">
        <v>0.369901153033176</v>
      </c>
      <c r="J376" s="73"/>
      <c r="K376" s="74"/>
      <c r="L376" s="73"/>
      <c r="M376" s="74"/>
      <c r="N376" s="73">
        <v>0.25178942402772397</v>
      </c>
      <c r="O376" s="101">
        <v>0.28848509040106685</v>
      </c>
    </row>
    <row r="377" spans="1:15">
      <c r="A377" s="107"/>
      <c r="B377" s="107"/>
      <c r="C377" s="107"/>
      <c r="D377" s="68" t="s">
        <v>420</v>
      </c>
      <c r="E377" t="s">
        <v>419</v>
      </c>
      <c r="G377" t="s">
        <v>435</v>
      </c>
      <c r="H377" s="67">
        <v>44756</v>
      </c>
      <c r="J377" s="73"/>
      <c r="K377" s="74"/>
      <c r="L377" s="73"/>
      <c r="M377" s="74"/>
      <c r="N377" s="73"/>
      <c r="O377" s="74"/>
    </row>
    <row r="378" spans="1:15">
      <c r="A378" s="107"/>
      <c r="B378" s="107"/>
      <c r="C378" s="107"/>
      <c r="D378" s="68" t="s">
        <v>421</v>
      </c>
      <c r="H378" s="67">
        <v>44756</v>
      </c>
      <c r="J378" s="73"/>
      <c r="K378" s="74"/>
      <c r="L378" s="73"/>
      <c r="M378" s="74"/>
      <c r="N378" s="73"/>
      <c r="O378" s="74"/>
    </row>
    <row r="379" spans="1:15">
      <c r="A379" s="107"/>
      <c r="B379" s="107"/>
      <c r="C379" s="107"/>
      <c r="D379" s="68" t="s">
        <v>599</v>
      </c>
      <c r="E379" t="s">
        <v>600</v>
      </c>
      <c r="G379" t="s">
        <v>629</v>
      </c>
      <c r="H379" s="67">
        <v>44756</v>
      </c>
      <c r="I379" s="92">
        <v>222922</v>
      </c>
      <c r="J379" s="73"/>
      <c r="K379" s="74"/>
      <c r="L379" s="73"/>
      <c r="M379" s="74"/>
      <c r="N379" s="73">
        <v>291761.81880000001</v>
      </c>
      <c r="O379" s="74">
        <v>294348.43605000002</v>
      </c>
    </row>
    <row r="380" spans="1:15">
      <c r="A380" s="107"/>
      <c r="B380" s="107"/>
      <c r="C380" s="107"/>
      <c r="D380" s="68" t="s">
        <v>599</v>
      </c>
      <c r="E380" t="s">
        <v>601</v>
      </c>
      <c r="G380" t="s">
        <v>629</v>
      </c>
      <c r="H380" s="67">
        <v>44756</v>
      </c>
      <c r="I380" s="92" t="s">
        <v>598</v>
      </c>
      <c r="J380" s="73"/>
      <c r="K380" s="74"/>
      <c r="L380" s="73"/>
      <c r="M380" s="74"/>
      <c r="N380" s="73">
        <v>23829.763900000002</v>
      </c>
      <c r="O380" s="74">
        <v>25769.4</v>
      </c>
    </row>
    <row r="381" spans="1:15">
      <c r="A381" s="107"/>
      <c r="B381" s="107"/>
      <c r="C381" s="107"/>
      <c r="D381" s="68" t="s">
        <v>423</v>
      </c>
      <c r="E381" t="s">
        <v>456</v>
      </c>
      <c r="F381" t="s">
        <v>588</v>
      </c>
      <c r="G381" t="s">
        <v>82</v>
      </c>
      <c r="H381" s="67">
        <v>44756</v>
      </c>
      <c r="I381" s="92">
        <f>SUM(I382:I392)</f>
        <v>6187214</v>
      </c>
      <c r="J381" s="73"/>
      <c r="K381" s="74"/>
      <c r="L381" s="73"/>
      <c r="M381" s="74"/>
      <c r="N381" s="92">
        <f>SUM(N382:N392)</f>
        <v>14163708</v>
      </c>
      <c r="O381" s="92">
        <f>SUM(O382:O392)</f>
        <v>14504546</v>
      </c>
    </row>
    <row r="382" spans="1:15">
      <c r="A382" s="107"/>
      <c r="B382" s="107"/>
      <c r="C382" s="107"/>
      <c r="D382" s="68" t="s">
        <v>456</v>
      </c>
      <c r="E382" s="99" t="s">
        <v>517</v>
      </c>
      <c r="F382" t="s">
        <v>588</v>
      </c>
      <c r="G382" t="s">
        <v>82</v>
      </c>
      <c r="H382" s="67">
        <v>44756</v>
      </c>
      <c r="I382" s="74" t="s">
        <v>598</v>
      </c>
      <c r="J382" s="73"/>
      <c r="K382" s="74"/>
      <c r="L382" s="73"/>
      <c r="M382" s="74"/>
      <c r="N382" s="73" t="s">
        <v>598</v>
      </c>
      <c r="O382" s="74" t="s">
        <v>598</v>
      </c>
    </row>
    <row r="383" spans="1:15">
      <c r="A383" s="107"/>
      <c r="B383" s="107"/>
      <c r="C383" s="107"/>
      <c r="D383" s="68" t="s">
        <v>456</v>
      </c>
      <c r="E383" s="99" t="s">
        <v>518</v>
      </c>
      <c r="F383" t="s">
        <v>588</v>
      </c>
      <c r="G383" t="s">
        <v>82</v>
      </c>
      <c r="H383" s="67">
        <v>44756</v>
      </c>
      <c r="I383" s="74">
        <v>2181551</v>
      </c>
      <c r="J383" s="73"/>
      <c r="K383" s="74"/>
      <c r="L383" s="73"/>
      <c r="M383" s="74"/>
      <c r="N383" s="73">
        <v>3117978</v>
      </c>
      <c r="O383" s="74">
        <v>3179666</v>
      </c>
    </row>
    <row r="384" spans="1:15">
      <c r="A384" s="107"/>
      <c r="B384" s="107"/>
      <c r="C384" s="107"/>
      <c r="D384" s="68" t="s">
        <v>456</v>
      </c>
      <c r="E384" s="99" t="s">
        <v>519</v>
      </c>
      <c r="F384" t="s">
        <v>588</v>
      </c>
      <c r="G384" t="s">
        <v>82</v>
      </c>
      <c r="H384" s="67">
        <v>44756</v>
      </c>
      <c r="I384" s="74" t="s">
        <v>598</v>
      </c>
      <c r="J384" s="73"/>
      <c r="K384" s="74"/>
      <c r="L384" s="73"/>
      <c r="M384" s="74"/>
      <c r="N384" s="73" t="s">
        <v>598</v>
      </c>
      <c r="O384" s="74" t="s">
        <v>598</v>
      </c>
    </row>
    <row r="385" spans="1:15">
      <c r="A385" s="107"/>
      <c r="B385" s="107"/>
      <c r="C385" s="107"/>
      <c r="D385" s="68" t="s">
        <v>456</v>
      </c>
      <c r="E385" s="99" t="s">
        <v>520</v>
      </c>
      <c r="F385" t="s">
        <v>588</v>
      </c>
      <c r="G385" t="s">
        <v>82</v>
      </c>
      <c r="H385" s="67">
        <v>44756</v>
      </c>
      <c r="I385" s="74">
        <v>80129</v>
      </c>
      <c r="J385" s="73"/>
      <c r="K385" s="74"/>
      <c r="L385" s="73"/>
      <c r="M385" s="74"/>
      <c r="N385" s="73">
        <v>4056</v>
      </c>
      <c r="O385" s="74">
        <v>2963</v>
      </c>
    </row>
    <row r="386" spans="1:15">
      <c r="A386" s="107"/>
      <c r="B386" s="107"/>
      <c r="C386" s="107"/>
      <c r="D386" s="68" t="s">
        <v>456</v>
      </c>
      <c r="E386" s="99" t="s">
        <v>521</v>
      </c>
      <c r="F386" t="s">
        <v>588</v>
      </c>
      <c r="G386" t="s">
        <v>82</v>
      </c>
      <c r="H386" s="67">
        <v>44756</v>
      </c>
      <c r="I386" s="74"/>
      <c r="J386" s="73"/>
      <c r="K386" s="74"/>
      <c r="L386" s="73"/>
      <c r="M386" s="74"/>
      <c r="N386" s="73"/>
      <c r="O386" s="74"/>
    </row>
    <row r="387" spans="1:15">
      <c r="A387" s="107"/>
      <c r="B387" s="107"/>
      <c r="C387" s="107"/>
      <c r="D387" s="68" t="s">
        <v>456</v>
      </c>
      <c r="E387" s="100" t="s">
        <v>522</v>
      </c>
      <c r="F387" t="s">
        <v>588</v>
      </c>
      <c r="G387" t="s">
        <v>82</v>
      </c>
      <c r="H387" s="67">
        <v>44756</v>
      </c>
      <c r="I387" s="74" t="s">
        <v>598</v>
      </c>
      <c r="J387" s="73"/>
      <c r="K387" s="74"/>
      <c r="L387" s="73"/>
      <c r="M387" s="74"/>
      <c r="N387" s="73" t="s">
        <v>598</v>
      </c>
      <c r="O387" s="74" t="s">
        <v>598</v>
      </c>
    </row>
    <row r="388" spans="1:15">
      <c r="A388" s="107"/>
      <c r="B388" s="107"/>
      <c r="C388" s="107"/>
      <c r="D388" s="68" t="s">
        <v>456</v>
      </c>
      <c r="E388" s="100" t="s">
        <v>523</v>
      </c>
      <c r="F388" t="s">
        <v>588</v>
      </c>
      <c r="G388" t="s">
        <v>82</v>
      </c>
      <c r="H388" s="67">
        <v>44756</v>
      </c>
      <c r="I388" s="74" t="s">
        <v>598</v>
      </c>
      <c r="J388" s="73"/>
      <c r="K388" s="74"/>
      <c r="L388" s="73"/>
      <c r="M388" s="74"/>
      <c r="N388" s="73" t="s">
        <v>598</v>
      </c>
      <c r="O388" s="74" t="s">
        <v>598</v>
      </c>
    </row>
    <row r="389" spans="1:15">
      <c r="A389" s="107"/>
      <c r="B389" s="107"/>
      <c r="C389" s="107"/>
      <c r="D389" s="68" t="s">
        <v>456</v>
      </c>
      <c r="E389" s="100" t="s">
        <v>524</v>
      </c>
      <c r="F389" t="s">
        <v>588</v>
      </c>
      <c r="G389" t="s">
        <v>82</v>
      </c>
      <c r="H389" s="67">
        <v>44756</v>
      </c>
      <c r="I389" s="74" t="s">
        <v>598</v>
      </c>
      <c r="J389" s="73"/>
      <c r="K389" s="74"/>
      <c r="L389" s="73"/>
      <c r="M389" s="74"/>
      <c r="N389" s="73" t="s">
        <v>598</v>
      </c>
      <c r="O389" s="74" t="s">
        <v>598</v>
      </c>
    </row>
    <row r="390" spans="1:15">
      <c r="A390" s="107"/>
      <c r="B390" s="107"/>
      <c r="C390" s="107"/>
      <c r="D390" s="68" t="s">
        <v>456</v>
      </c>
      <c r="E390" s="100" t="s">
        <v>525</v>
      </c>
      <c r="F390" t="s">
        <v>588</v>
      </c>
      <c r="G390" t="s">
        <v>82</v>
      </c>
      <c r="H390" s="67">
        <v>44756</v>
      </c>
      <c r="I390" s="74" t="s">
        <v>598</v>
      </c>
      <c r="J390" s="73"/>
      <c r="K390" s="74"/>
      <c r="L390" s="73"/>
      <c r="M390" s="74"/>
      <c r="N390" s="73">
        <v>5699000</v>
      </c>
      <c r="O390" s="74">
        <v>6219000</v>
      </c>
    </row>
    <row r="391" spans="1:15">
      <c r="A391" s="107"/>
      <c r="B391" s="107"/>
      <c r="C391" s="107"/>
      <c r="D391" s="68" t="s">
        <v>456</v>
      </c>
      <c r="E391" s="100" t="s">
        <v>526</v>
      </c>
      <c r="F391" t="s">
        <v>588</v>
      </c>
      <c r="G391" t="s">
        <v>82</v>
      </c>
      <c r="H391" s="67">
        <v>44756</v>
      </c>
      <c r="I391" s="74" t="s">
        <v>598</v>
      </c>
      <c r="J391" s="73"/>
      <c r="K391" s="74"/>
      <c r="L391" s="73"/>
      <c r="M391" s="74"/>
      <c r="N391" s="73">
        <v>1425000</v>
      </c>
      <c r="O391" s="74">
        <v>1300000</v>
      </c>
    </row>
    <row r="392" spans="1:15">
      <c r="A392" s="107"/>
      <c r="B392" s="107"/>
      <c r="C392" s="107"/>
      <c r="D392" s="68" t="s">
        <v>456</v>
      </c>
      <c r="E392" s="99" t="s">
        <v>527</v>
      </c>
      <c r="F392" t="s">
        <v>588</v>
      </c>
      <c r="G392" t="s">
        <v>82</v>
      </c>
      <c r="H392" s="67">
        <v>44756</v>
      </c>
      <c r="I392" s="74">
        <v>3925534</v>
      </c>
      <c r="J392" s="73"/>
      <c r="K392" s="74"/>
      <c r="L392" s="73"/>
      <c r="M392" s="74"/>
      <c r="N392" s="73">
        <v>3917674</v>
      </c>
      <c r="O392" s="74">
        <v>3802917</v>
      </c>
    </row>
    <row r="393" spans="1:15">
      <c r="A393" s="107"/>
      <c r="B393" s="107"/>
      <c r="C393" s="107"/>
      <c r="D393" s="68" t="s">
        <v>482</v>
      </c>
      <c r="H393" s="67"/>
      <c r="J393" s="73"/>
      <c r="K393" s="74"/>
      <c r="L393" s="73"/>
      <c r="M393" s="74"/>
      <c r="N393" s="73"/>
      <c r="O393" s="76" t="s">
        <v>597</v>
      </c>
    </row>
    <row r="394" spans="1:15">
      <c r="A394" s="107"/>
      <c r="B394" s="107"/>
      <c r="C394" s="107"/>
      <c r="D394" s="68" t="s">
        <v>424</v>
      </c>
      <c r="H394" s="67">
        <v>44894</v>
      </c>
      <c r="J394" s="73"/>
      <c r="K394" s="74"/>
      <c r="L394" s="73"/>
      <c r="M394" s="74"/>
      <c r="N394" s="73"/>
      <c r="O394" s="76" t="s">
        <v>596</v>
      </c>
    </row>
    <row r="395" spans="1:15">
      <c r="A395" s="107" t="s">
        <v>119</v>
      </c>
      <c r="B395" s="107" t="s">
        <v>120</v>
      </c>
      <c r="C395" s="107" t="s">
        <v>121</v>
      </c>
      <c r="D395" s="68" t="s">
        <v>417</v>
      </c>
      <c r="G395" t="s">
        <v>435</v>
      </c>
      <c r="H395" s="67">
        <v>44561</v>
      </c>
      <c r="J395" s="73">
        <v>26.800952219832499</v>
      </c>
      <c r="K395" s="74">
        <v>27.947696991438701</v>
      </c>
      <c r="L395" s="73">
        <v>29.956332607558998</v>
      </c>
      <c r="M395" s="74">
        <v>28.520222</v>
      </c>
      <c r="N395" s="73">
        <v>21.238468999999998</v>
      </c>
      <c r="O395" s="74">
        <v>29.051687999999999</v>
      </c>
    </row>
    <row r="396" spans="1:15">
      <c r="A396" s="107"/>
      <c r="B396" s="107"/>
      <c r="C396" s="107"/>
      <c r="D396" s="68" t="s">
        <v>418</v>
      </c>
      <c r="E396" t="s">
        <v>419</v>
      </c>
      <c r="G396" t="s">
        <v>435</v>
      </c>
      <c r="H396" s="67">
        <v>44561</v>
      </c>
      <c r="J396" s="73">
        <v>0</v>
      </c>
      <c r="K396" s="74">
        <v>0</v>
      </c>
      <c r="L396" s="73">
        <v>0</v>
      </c>
      <c r="M396" s="74">
        <v>3.4870640000000002</v>
      </c>
      <c r="N396" s="73">
        <v>8.0041449999999994</v>
      </c>
      <c r="O396" s="74">
        <v>1.708447</v>
      </c>
    </row>
    <row r="397" spans="1:15">
      <c r="A397" s="107"/>
      <c r="B397" s="107"/>
      <c r="C397" s="107"/>
      <c r="D397" s="68" t="s">
        <v>420</v>
      </c>
      <c r="E397" t="s">
        <v>419</v>
      </c>
      <c r="G397" t="s">
        <v>435</v>
      </c>
      <c r="H397" s="67">
        <v>44561</v>
      </c>
      <c r="J397" s="73">
        <v>26.800952219832499</v>
      </c>
      <c r="K397" s="74">
        <v>27.947696991438701</v>
      </c>
      <c r="L397" s="73">
        <v>29.956332607558998</v>
      </c>
      <c r="M397" s="74">
        <v>32.007286000000001</v>
      </c>
      <c r="N397" s="73">
        <v>29.242614</v>
      </c>
      <c r="O397" s="74">
        <v>30.760134999999998</v>
      </c>
    </row>
    <row r="398" spans="1:15">
      <c r="A398" s="107"/>
      <c r="B398" s="107"/>
      <c r="C398" s="107"/>
      <c r="D398" s="68" t="s">
        <v>421</v>
      </c>
      <c r="E398" t="s">
        <v>422</v>
      </c>
      <c r="G398" t="s">
        <v>435</v>
      </c>
      <c r="H398" s="67">
        <v>44561</v>
      </c>
      <c r="J398" s="73"/>
      <c r="K398" s="74"/>
      <c r="L398" s="73"/>
      <c r="M398" s="74"/>
      <c r="N398" s="73"/>
      <c r="O398" s="74"/>
    </row>
    <row r="399" spans="1:15">
      <c r="A399" s="107"/>
      <c r="B399" s="107"/>
      <c r="C399" s="107"/>
      <c r="D399" s="68" t="s">
        <v>423</v>
      </c>
      <c r="G399" t="s">
        <v>63</v>
      </c>
      <c r="H399" s="67">
        <v>44561</v>
      </c>
      <c r="J399" s="73">
        <v>38.338929711799999</v>
      </c>
      <c r="K399" s="74">
        <v>38.489939228899999</v>
      </c>
      <c r="L399" s="73">
        <v>39.794065703999998</v>
      </c>
      <c r="M399" s="74">
        <v>41.56</v>
      </c>
      <c r="N399" s="73">
        <v>32.669999999999987</v>
      </c>
      <c r="O399" s="74">
        <v>43.8</v>
      </c>
    </row>
    <row r="400" spans="1:15">
      <c r="A400" s="107"/>
      <c r="B400" s="107"/>
      <c r="C400" s="107"/>
      <c r="D400" s="68" t="s">
        <v>424</v>
      </c>
      <c r="H400" s="67"/>
      <c r="J400" s="73"/>
      <c r="K400" s="74"/>
      <c r="L400" s="73"/>
      <c r="M400" s="74"/>
      <c r="N400" s="73"/>
      <c r="O400" s="74"/>
    </row>
    <row r="401" spans="1:15">
      <c r="A401" s="107" t="s">
        <v>119</v>
      </c>
      <c r="B401" s="107" t="s">
        <v>120</v>
      </c>
      <c r="C401" s="107" t="s">
        <v>121</v>
      </c>
      <c r="D401" s="68" t="s">
        <v>587</v>
      </c>
      <c r="H401" s="67"/>
      <c r="I401" s="92">
        <v>2005</v>
      </c>
      <c r="J401" s="73"/>
      <c r="K401" s="74"/>
      <c r="L401" s="73"/>
      <c r="M401" s="74"/>
      <c r="N401" s="73"/>
      <c r="O401" s="74"/>
    </row>
    <row r="402" spans="1:15">
      <c r="A402" s="107"/>
      <c r="B402" s="107"/>
      <c r="C402" s="107"/>
      <c r="D402" s="68" t="s">
        <v>417</v>
      </c>
      <c r="G402" t="s">
        <v>435</v>
      </c>
      <c r="H402" s="67">
        <v>44888</v>
      </c>
      <c r="J402" s="73"/>
      <c r="K402" s="74"/>
      <c r="L402" s="73"/>
      <c r="M402" s="74"/>
      <c r="N402" s="73"/>
      <c r="O402" s="74"/>
    </row>
    <row r="403" spans="1:15">
      <c r="A403" s="107"/>
      <c r="B403" s="107"/>
      <c r="C403" s="107"/>
      <c r="D403" s="68" t="s">
        <v>418</v>
      </c>
      <c r="E403" t="s">
        <v>419</v>
      </c>
      <c r="G403" t="s">
        <v>435</v>
      </c>
      <c r="H403" s="67">
        <v>44888</v>
      </c>
      <c r="J403" s="73"/>
      <c r="K403" s="74"/>
      <c r="L403" s="73"/>
      <c r="M403" s="74"/>
      <c r="N403" s="73"/>
      <c r="O403" s="74"/>
    </row>
    <row r="404" spans="1:15">
      <c r="A404" s="107"/>
      <c r="B404" s="107"/>
      <c r="C404" s="107"/>
      <c r="D404" s="68" t="s">
        <v>420</v>
      </c>
      <c r="E404" t="s">
        <v>419</v>
      </c>
      <c r="G404" t="s">
        <v>435</v>
      </c>
      <c r="H404" s="67">
        <v>44888</v>
      </c>
      <c r="J404" s="73"/>
      <c r="K404" s="74"/>
      <c r="L404" s="73"/>
      <c r="M404" s="74"/>
      <c r="N404" s="73"/>
      <c r="O404" s="74"/>
    </row>
    <row r="405" spans="1:15">
      <c r="A405" s="107"/>
      <c r="B405" s="107"/>
      <c r="C405" s="107"/>
      <c r="D405" s="68" t="s">
        <v>421</v>
      </c>
      <c r="E405" t="s">
        <v>422</v>
      </c>
      <c r="G405" t="s">
        <v>435</v>
      </c>
      <c r="H405" s="67">
        <v>44888</v>
      </c>
      <c r="J405" s="73"/>
      <c r="K405" s="74"/>
      <c r="L405" s="73"/>
      <c r="M405" s="74"/>
      <c r="N405" s="73"/>
      <c r="O405" s="74"/>
    </row>
    <row r="406" spans="1:15">
      <c r="A406" s="107"/>
      <c r="B406" s="107"/>
      <c r="C406" s="107"/>
      <c r="D406" s="68" t="s">
        <v>423</v>
      </c>
      <c r="E406" t="s">
        <v>456</v>
      </c>
      <c r="F406" t="s">
        <v>588</v>
      </c>
      <c r="G406" t="s">
        <v>82</v>
      </c>
      <c r="H406" s="67">
        <v>44888</v>
      </c>
      <c r="I406" s="92">
        <f>SUM(I407:I410)+I411+SUM(I417)</f>
        <v>52111001</v>
      </c>
      <c r="J406" s="73"/>
      <c r="K406" s="74"/>
      <c r="L406" s="73"/>
      <c r="M406" s="74"/>
      <c r="N406" s="88">
        <f>SUM(N407:N410)+N411+SUM(N417)</f>
        <v>32618924</v>
      </c>
      <c r="O406" s="87">
        <f>SUM(O407:O410)+O411+SUM(O417)</f>
        <v>40496212</v>
      </c>
    </row>
    <row r="407" spans="1:15">
      <c r="A407" s="107"/>
      <c r="B407" s="107"/>
      <c r="C407" s="107"/>
      <c r="D407" s="68" t="s">
        <v>456</v>
      </c>
      <c r="E407" s="99" t="s">
        <v>517</v>
      </c>
      <c r="F407" t="s">
        <v>588</v>
      </c>
      <c r="G407" t="s">
        <v>82</v>
      </c>
      <c r="H407" s="67">
        <v>44888</v>
      </c>
      <c r="I407" s="92">
        <v>41764875</v>
      </c>
      <c r="J407" s="73"/>
      <c r="K407" s="74"/>
      <c r="L407" s="73"/>
      <c r="M407" s="74"/>
      <c r="N407" s="88">
        <v>18355668</v>
      </c>
      <c r="O407" s="87">
        <v>24623785</v>
      </c>
    </row>
    <row r="408" spans="1:15">
      <c r="A408" s="107"/>
      <c r="B408" s="107"/>
      <c r="C408" s="107"/>
      <c r="D408" s="68" t="s">
        <v>456</v>
      </c>
      <c r="E408" s="99" t="s">
        <v>518</v>
      </c>
      <c r="F408" t="s">
        <v>588</v>
      </c>
      <c r="G408" t="s">
        <v>82</v>
      </c>
      <c r="H408" s="67">
        <v>44888</v>
      </c>
      <c r="I408" s="92">
        <v>1033086</v>
      </c>
      <c r="J408" s="73"/>
      <c r="K408" s="74"/>
      <c r="L408" s="73"/>
      <c r="M408" s="74"/>
      <c r="N408" s="88">
        <v>3949860</v>
      </c>
      <c r="O408" s="87">
        <v>2604706</v>
      </c>
    </row>
    <row r="409" spans="1:15">
      <c r="A409" s="107"/>
      <c r="B409" s="107"/>
      <c r="C409" s="107"/>
      <c r="D409" s="68" t="s">
        <v>456</v>
      </c>
      <c r="E409" s="99" t="s">
        <v>519</v>
      </c>
      <c r="F409" t="s">
        <v>588</v>
      </c>
      <c r="G409" t="s">
        <v>82</v>
      </c>
      <c r="H409" s="67">
        <v>44888</v>
      </c>
      <c r="I409" s="92">
        <v>8753555</v>
      </c>
      <c r="J409" s="73"/>
      <c r="K409" s="74"/>
      <c r="L409" s="73"/>
      <c r="M409" s="74"/>
      <c r="N409" s="88">
        <v>5941638</v>
      </c>
      <c r="O409" s="87">
        <v>9222235</v>
      </c>
    </row>
    <row r="410" spans="1:15">
      <c r="A410" s="107"/>
      <c r="B410" s="107"/>
      <c r="C410" s="107"/>
      <c r="D410" s="68" t="s">
        <v>456</v>
      </c>
      <c r="E410" s="99" t="s">
        <v>520</v>
      </c>
      <c r="F410" t="s">
        <v>588</v>
      </c>
      <c r="G410" t="s">
        <v>82</v>
      </c>
      <c r="H410" s="67">
        <v>44888</v>
      </c>
      <c r="I410" s="92">
        <v>7800</v>
      </c>
      <c r="J410" s="73"/>
      <c r="K410" s="74"/>
      <c r="L410" s="73"/>
      <c r="M410" s="74"/>
      <c r="N410" s="88">
        <v>67895</v>
      </c>
      <c r="O410" s="87">
        <v>74697</v>
      </c>
    </row>
    <row r="411" spans="1:15">
      <c r="A411" s="107"/>
      <c r="B411" s="107"/>
      <c r="C411" s="107"/>
      <c r="D411" s="68" t="s">
        <v>456</v>
      </c>
      <c r="E411" s="99" t="s">
        <v>521</v>
      </c>
      <c r="F411" t="s">
        <v>588</v>
      </c>
      <c r="G411" t="s">
        <v>82</v>
      </c>
      <c r="H411" s="67">
        <v>44888</v>
      </c>
      <c r="I411" s="92">
        <v>551685</v>
      </c>
      <c r="J411" s="73"/>
      <c r="K411" s="74"/>
      <c r="L411" s="73"/>
      <c r="M411" s="74"/>
      <c r="N411" s="88">
        <f>SUM(N412:N416)</f>
        <v>4303863</v>
      </c>
      <c r="O411" s="74">
        <f>SUM(O412:O416)</f>
        <v>3970789</v>
      </c>
    </row>
    <row r="412" spans="1:15">
      <c r="A412" s="107"/>
      <c r="B412" s="107"/>
      <c r="C412" s="107"/>
      <c r="D412" s="68" t="s">
        <v>456</v>
      </c>
      <c r="E412" s="100" t="s">
        <v>522</v>
      </c>
      <c r="F412" t="s">
        <v>588</v>
      </c>
      <c r="G412" t="s">
        <v>82</v>
      </c>
      <c r="H412" s="67">
        <v>44888</v>
      </c>
      <c r="J412" s="73"/>
      <c r="K412" s="74"/>
      <c r="L412" s="73"/>
      <c r="M412" s="74"/>
      <c r="N412" s="88">
        <v>489747</v>
      </c>
      <c r="O412" s="87">
        <v>460728</v>
      </c>
    </row>
    <row r="413" spans="1:15">
      <c r="A413" s="107"/>
      <c r="B413" s="107"/>
      <c r="C413" s="107"/>
      <c r="D413" s="68" t="s">
        <v>456</v>
      </c>
      <c r="E413" s="100" t="s">
        <v>523</v>
      </c>
      <c r="F413" t="s">
        <v>588</v>
      </c>
      <c r="G413" t="s">
        <v>82</v>
      </c>
      <c r="H413" s="67">
        <v>44888</v>
      </c>
      <c r="J413" s="73"/>
      <c r="K413" s="74"/>
      <c r="L413" s="73"/>
      <c r="M413" s="74"/>
      <c r="N413" s="73">
        <v>0</v>
      </c>
      <c r="O413" s="74" t="s">
        <v>598</v>
      </c>
    </row>
    <row r="414" spans="1:15">
      <c r="A414" s="107"/>
      <c r="B414" s="107"/>
      <c r="C414" s="107"/>
      <c r="D414" s="68" t="s">
        <v>456</v>
      </c>
      <c r="E414" s="100" t="s">
        <v>524</v>
      </c>
      <c r="F414" t="s">
        <v>588</v>
      </c>
      <c r="G414" t="s">
        <v>82</v>
      </c>
      <c r="H414" s="67">
        <v>44888</v>
      </c>
      <c r="J414" s="73"/>
      <c r="K414" s="74"/>
      <c r="L414" s="73"/>
      <c r="M414" s="74"/>
      <c r="N414" s="88">
        <v>25046</v>
      </c>
      <c r="O414" s="87">
        <v>25087</v>
      </c>
    </row>
    <row r="415" spans="1:15">
      <c r="A415" s="107"/>
      <c r="B415" s="107"/>
      <c r="C415" s="107"/>
      <c r="D415" s="68" t="s">
        <v>456</v>
      </c>
      <c r="E415" s="100" t="s">
        <v>525</v>
      </c>
      <c r="F415" t="s">
        <v>588</v>
      </c>
      <c r="G415" t="s">
        <v>82</v>
      </c>
      <c r="H415" s="67">
        <v>44888</v>
      </c>
      <c r="J415" s="73"/>
      <c r="K415" s="74"/>
      <c r="L415" s="73"/>
      <c r="M415" s="74"/>
      <c r="N415" s="88">
        <v>91046</v>
      </c>
      <c r="O415" s="87">
        <v>66016</v>
      </c>
    </row>
    <row r="416" spans="1:15">
      <c r="A416" s="107"/>
      <c r="B416" s="107"/>
      <c r="C416" s="107"/>
      <c r="D416" s="68" t="s">
        <v>456</v>
      </c>
      <c r="E416" s="100" t="s">
        <v>526</v>
      </c>
      <c r="F416" t="s">
        <v>588</v>
      </c>
      <c r="G416" t="s">
        <v>82</v>
      </c>
      <c r="H416" s="67">
        <v>44888</v>
      </c>
      <c r="J416" s="73"/>
      <c r="K416" s="74"/>
      <c r="L416" s="73"/>
      <c r="M416" s="74"/>
      <c r="N416" s="88">
        <v>3698024</v>
      </c>
      <c r="O416" s="87">
        <v>3418958</v>
      </c>
    </row>
    <row r="417" spans="1:15">
      <c r="A417" s="107"/>
      <c r="B417" s="107"/>
      <c r="C417" s="107"/>
      <c r="D417" s="68" t="s">
        <v>456</v>
      </c>
      <c r="E417" s="99" t="s">
        <v>527</v>
      </c>
      <c r="F417" t="s">
        <v>588</v>
      </c>
      <c r="G417" t="s">
        <v>82</v>
      </c>
      <c r="H417" s="67">
        <v>44888</v>
      </c>
      <c r="J417" s="73"/>
      <c r="K417" s="74"/>
      <c r="L417" s="73"/>
      <c r="M417" s="74"/>
      <c r="N417" s="73">
        <v>0</v>
      </c>
      <c r="O417" s="74" t="s">
        <v>598</v>
      </c>
    </row>
    <row r="418" spans="1:15">
      <c r="A418" s="107"/>
      <c r="B418" s="107"/>
      <c r="C418" s="107"/>
      <c r="D418" s="68" t="s">
        <v>482</v>
      </c>
      <c r="H418" s="67">
        <v>44888</v>
      </c>
      <c r="J418" s="73"/>
      <c r="K418" s="74"/>
      <c r="L418" s="73"/>
      <c r="M418" s="74"/>
      <c r="N418" s="73"/>
      <c r="O418" s="76" t="s">
        <v>603</v>
      </c>
    </row>
    <row r="419" spans="1:15">
      <c r="A419" s="107"/>
      <c r="B419" s="107"/>
      <c r="C419" s="107"/>
      <c r="D419" s="68" t="s">
        <v>424</v>
      </c>
      <c r="H419" s="67">
        <v>44888</v>
      </c>
      <c r="J419" s="73"/>
      <c r="K419" s="74"/>
      <c r="L419" s="73"/>
      <c r="M419" s="74"/>
      <c r="N419" s="73"/>
      <c r="O419" s="76" t="s">
        <v>602</v>
      </c>
    </row>
    <row r="420" spans="1:15">
      <c r="A420" s="107" t="s">
        <v>122</v>
      </c>
      <c r="B420" s="107" t="s">
        <v>123</v>
      </c>
      <c r="C420" s="107" t="s">
        <v>124</v>
      </c>
      <c r="D420" s="68" t="s">
        <v>417</v>
      </c>
      <c r="G420" t="s">
        <v>435</v>
      </c>
      <c r="H420" s="67">
        <v>44561</v>
      </c>
      <c r="J420" s="73">
        <v>43.346668252252499</v>
      </c>
      <c r="K420" s="74">
        <v>36.8693615036822</v>
      </c>
      <c r="L420" s="73">
        <v>35.120067341795298</v>
      </c>
      <c r="M420" s="74">
        <v>31.432803553609599</v>
      </c>
      <c r="N420" s="73">
        <v>32.246843518396602</v>
      </c>
      <c r="O420" s="74"/>
    </row>
    <row r="421" spans="1:15">
      <c r="A421" s="107"/>
      <c r="B421" s="107"/>
      <c r="C421" s="107"/>
      <c r="D421" s="68" t="s">
        <v>418</v>
      </c>
      <c r="E421" t="s">
        <v>419</v>
      </c>
      <c r="G421" t="s">
        <v>435</v>
      </c>
      <c r="H421" s="67">
        <v>44561</v>
      </c>
      <c r="J421" s="73">
        <v>0</v>
      </c>
      <c r="K421" s="74">
        <v>0</v>
      </c>
      <c r="L421" s="73">
        <v>0</v>
      </c>
      <c r="M421" s="74">
        <v>0</v>
      </c>
      <c r="N421" s="73">
        <v>0</v>
      </c>
      <c r="O421" s="74"/>
    </row>
    <row r="422" spans="1:15">
      <c r="A422" s="107"/>
      <c r="B422" s="107"/>
      <c r="C422" s="107"/>
      <c r="D422" s="68" t="s">
        <v>420</v>
      </c>
      <c r="E422" t="s">
        <v>419</v>
      </c>
      <c r="G422" t="s">
        <v>435</v>
      </c>
      <c r="H422" s="67">
        <v>44561</v>
      </c>
      <c r="J422" s="73">
        <v>43.346668252252499</v>
      </c>
      <c r="K422" s="74">
        <v>36.8693615036822</v>
      </c>
      <c r="L422" s="73">
        <v>35.120067341795298</v>
      </c>
      <c r="M422" s="74">
        <v>31.432803553609599</v>
      </c>
      <c r="N422" s="73">
        <v>32.246843518396602</v>
      </c>
      <c r="O422" s="74"/>
    </row>
    <row r="423" spans="1:15">
      <c r="A423" s="107"/>
      <c r="B423" s="107"/>
      <c r="C423" s="107"/>
      <c r="D423" s="68" t="s">
        <v>421</v>
      </c>
      <c r="E423" t="s">
        <v>422</v>
      </c>
      <c r="G423" t="s">
        <v>435</v>
      </c>
      <c r="H423" s="67">
        <v>44561</v>
      </c>
      <c r="J423" s="73"/>
      <c r="K423" s="74"/>
      <c r="L423" s="73"/>
      <c r="M423" s="74"/>
      <c r="N423" s="73"/>
      <c r="O423" s="74"/>
    </row>
    <row r="424" spans="1:15">
      <c r="A424" s="107"/>
      <c r="B424" s="107"/>
      <c r="C424" s="107"/>
      <c r="D424" s="68" t="s">
        <v>423</v>
      </c>
      <c r="G424" t="s">
        <v>63</v>
      </c>
      <c r="H424" s="67">
        <v>44561</v>
      </c>
      <c r="J424" s="73">
        <v>102.3781215467</v>
      </c>
      <c r="K424" s="74">
        <v>95.363361617799995</v>
      </c>
      <c r="L424" s="73">
        <v>95.723638083700195</v>
      </c>
      <c r="M424" s="74">
        <v>97.768233357200003</v>
      </c>
      <c r="N424" s="73">
        <v>101.0949584695</v>
      </c>
      <c r="O424" s="74"/>
    </row>
    <row r="425" spans="1:15">
      <c r="A425" s="107"/>
      <c r="B425" s="107"/>
      <c r="C425" s="107"/>
      <c r="D425" s="68" t="s">
        <v>424</v>
      </c>
      <c r="H425" s="67"/>
      <c r="J425" s="73"/>
      <c r="K425" s="74"/>
      <c r="L425" s="73"/>
      <c r="M425" s="74"/>
      <c r="N425" s="73"/>
      <c r="O425" s="74"/>
    </row>
    <row r="426" spans="1:15">
      <c r="A426" s="107" t="s">
        <v>122</v>
      </c>
      <c r="B426" s="107" t="s">
        <v>123</v>
      </c>
      <c r="C426" s="107" t="s">
        <v>124</v>
      </c>
      <c r="D426" s="68" t="s">
        <v>417</v>
      </c>
      <c r="G426" t="s">
        <v>435</v>
      </c>
      <c r="H426" s="67">
        <v>44742</v>
      </c>
      <c r="J426" s="73"/>
      <c r="K426" s="74"/>
      <c r="L426" s="73"/>
      <c r="M426" s="74">
        <f>31796845</f>
        <v>31796845</v>
      </c>
      <c r="N426" s="73">
        <f>32957387</f>
        <v>32957387</v>
      </c>
      <c r="O426" s="74">
        <f>31660079</f>
        <v>31660079</v>
      </c>
    </row>
    <row r="427" spans="1:15">
      <c r="A427" s="107"/>
      <c r="B427" s="107"/>
      <c r="C427" s="107"/>
      <c r="D427" s="68" t="s">
        <v>503</v>
      </c>
      <c r="E427" t="s">
        <v>419</v>
      </c>
      <c r="G427" t="s">
        <v>435</v>
      </c>
      <c r="H427" s="67">
        <v>44742</v>
      </c>
      <c r="J427" s="73"/>
      <c r="K427" s="74"/>
      <c r="L427" s="73"/>
      <c r="M427" s="74">
        <f>40057400</f>
        <v>40057400</v>
      </c>
      <c r="N427" s="73">
        <f>37533527</f>
        <v>37533527</v>
      </c>
      <c r="O427" s="74">
        <f>40004035</f>
        <v>40004035</v>
      </c>
    </row>
    <row r="428" spans="1:15">
      <c r="A428" s="107"/>
      <c r="B428" s="107"/>
      <c r="C428" s="107"/>
      <c r="D428" s="68" t="s">
        <v>421</v>
      </c>
      <c r="F428" t="s">
        <v>606</v>
      </c>
      <c r="G428" t="s">
        <v>435</v>
      </c>
      <c r="H428" s="67">
        <v>44742</v>
      </c>
      <c r="J428" s="73"/>
      <c r="K428" s="74"/>
      <c r="L428" s="73"/>
      <c r="M428" s="74">
        <f>8260555</f>
        <v>8260555</v>
      </c>
      <c r="N428" s="73">
        <f>4576140</f>
        <v>4576140</v>
      </c>
      <c r="O428" s="74">
        <f>8343956</f>
        <v>8343956</v>
      </c>
    </row>
    <row r="429" spans="1:15">
      <c r="A429" s="107"/>
      <c r="B429" s="107"/>
      <c r="C429" s="107"/>
      <c r="D429" s="68" t="s">
        <v>423</v>
      </c>
      <c r="E429" t="s">
        <v>456</v>
      </c>
      <c r="F429" t="s">
        <v>588</v>
      </c>
      <c r="G429" t="s">
        <v>82</v>
      </c>
      <c r="H429" s="67">
        <v>44742</v>
      </c>
      <c r="J429" s="73"/>
      <c r="K429" s="74"/>
      <c r="L429" s="73"/>
      <c r="M429" s="74">
        <f>118078453</f>
        <v>118078453</v>
      </c>
      <c r="N429" s="73">
        <f>121219126</f>
        <v>121219126</v>
      </c>
      <c r="O429" s="74">
        <f>116829289</f>
        <v>116829289</v>
      </c>
    </row>
    <row r="430" spans="1:15">
      <c r="A430" s="107"/>
      <c r="B430" s="107"/>
      <c r="C430" s="107"/>
      <c r="D430" s="68" t="s">
        <v>456</v>
      </c>
      <c r="E430" t="s">
        <v>469</v>
      </c>
      <c r="F430" t="s">
        <v>588</v>
      </c>
      <c r="G430" t="s">
        <v>82</v>
      </c>
      <c r="H430" s="67">
        <v>44742</v>
      </c>
      <c r="J430" s="73"/>
      <c r="K430" s="74"/>
      <c r="L430" s="73"/>
      <c r="M430" s="74">
        <f>13659118</f>
        <v>13659118</v>
      </c>
      <c r="N430" s="73">
        <f>12203730</f>
        <v>12203730</v>
      </c>
      <c r="O430" s="74">
        <f>13430480</f>
        <v>13430480</v>
      </c>
    </row>
    <row r="431" spans="1:15">
      <c r="A431" s="107"/>
      <c r="B431" s="107"/>
      <c r="C431" s="107"/>
      <c r="D431" s="68" t="s">
        <v>456</v>
      </c>
      <c r="E431" t="s">
        <v>470</v>
      </c>
      <c r="F431" t="s">
        <v>588</v>
      </c>
      <c r="G431" t="s">
        <v>82</v>
      </c>
      <c r="H431" s="67">
        <v>44742</v>
      </c>
      <c r="J431" s="73"/>
      <c r="K431" s="74"/>
      <c r="L431" s="73"/>
      <c r="M431" s="74">
        <f>49357309</f>
        <v>49357309</v>
      </c>
      <c r="N431" s="73">
        <f>54109684</f>
        <v>54109684</v>
      </c>
      <c r="O431" s="74">
        <f>47290420</f>
        <v>47290420</v>
      </c>
    </row>
    <row r="432" spans="1:15">
      <c r="A432" s="107"/>
      <c r="B432" s="107"/>
      <c r="C432" s="107"/>
      <c r="D432" s="68" t="s">
        <v>456</v>
      </c>
      <c r="E432" t="s">
        <v>471</v>
      </c>
      <c r="F432" t="s">
        <v>588</v>
      </c>
      <c r="G432" t="s">
        <v>82</v>
      </c>
      <c r="H432" s="67">
        <v>44742</v>
      </c>
      <c r="J432" s="73"/>
      <c r="K432" s="74"/>
      <c r="L432" s="73"/>
      <c r="M432" s="74">
        <f>49316348</f>
        <v>49316348</v>
      </c>
      <c r="N432" s="73">
        <f>48573338</f>
        <v>48573338</v>
      </c>
      <c r="O432" s="74">
        <f>47997083</f>
        <v>47997083</v>
      </c>
    </row>
    <row r="433" spans="1:15">
      <c r="A433" s="107"/>
      <c r="B433" s="107"/>
      <c r="C433" s="107"/>
      <c r="D433" s="68" t="s">
        <v>456</v>
      </c>
      <c r="E433" t="s">
        <v>497</v>
      </c>
      <c r="F433" t="s">
        <v>588</v>
      </c>
      <c r="G433" t="s">
        <v>82</v>
      </c>
      <c r="H433" s="67">
        <v>44742</v>
      </c>
      <c r="J433" s="73"/>
      <c r="K433" s="74"/>
      <c r="L433" s="73"/>
      <c r="M433" s="74">
        <f>123323</f>
        <v>123323</v>
      </c>
      <c r="N433" s="73">
        <f>119354</f>
        <v>119354</v>
      </c>
      <c r="O433" s="74">
        <f>178976</f>
        <v>178976</v>
      </c>
    </row>
    <row r="434" spans="1:15">
      <c r="A434" s="107"/>
      <c r="B434" s="107"/>
      <c r="C434" s="107"/>
      <c r="D434" s="68" t="s">
        <v>456</v>
      </c>
      <c r="E434" t="s">
        <v>478</v>
      </c>
      <c r="F434" t="s">
        <v>588</v>
      </c>
      <c r="G434" t="s">
        <v>82</v>
      </c>
      <c r="H434" s="67">
        <v>44742</v>
      </c>
      <c r="J434" s="73"/>
      <c r="K434" s="74"/>
      <c r="L434" s="73"/>
      <c r="M434" s="74">
        <f>5622355</f>
        <v>5622355</v>
      </c>
      <c r="N434" s="73">
        <f>6213020</f>
        <v>6213020</v>
      </c>
      <c r="O434" s="74">
        <f>7932330</f>
        <v>7932330</v>
      </c>
    </row>
    <row r="435" spans="1:15">
      <c r="A435" s="107"/>
      <c r="B435" s="107"/>
      <c r="C435" s="107"/>
      <c r="D435" s="68" t="s">
        <v>456</v>
      </c>
      <c r="E435" t="s">
        <v>498</v>
      </c>
      <c r="F435" t="s">
        <v>588</v>
      </c>
      <c r="G435" t="s">
        <v>82</v>
      </c>
      <c r="H435" s="67">
        <v>44742</v>
      </c>
      <c r="J435" s="73"/>
      <c r="K435" s="74"/>
      <c r="L435" s="73"/>
      <c r="M435" s="74">
        <f>1007679</f>
        <v>1007679</v>
      </c>
      <c r="N435" s="73">
        <f>787986</f>
        <v>787986</v>
      </c>
      <c r="O435" s="74">
        <f>1054927</f>
        <v>1054927</v>
      </c>
    </row>
    <row r="436" spans="1:15">
      <c r="A436" s="107"/>
      <c r="B436" s="107"/>
      <c r="C436" s="107"/>
      <c r="D436" s="68" t="s">
        <v>456</v>
      </c>
      <c r="E436" t="s">
        <v>499</v>
      </c>
      <c r="F436" t="s">
        <v>588</v>
      </c>
      <c r="G436" t="s">
        <v>82</v>
      </c>
      <c r="H436" s="67">
        <v>44742</v>
      </c>
      <c r="J436" s="73"/>
      <c r="K436" s="74"/>
      <c r="L436" s="73"/>
      <c r="M436" s="74" t="s">
        <v>504</v>
      </c>
      <c r="N436" s="73" t="s">
        <v>504</v>
      </c>
      <c r="O436" s="73" t="s">
        <v>504</v>
      </c>
    </row>
    <row r="437" spans="1:15">
      <c r="A437" s="107"/>
      <c r="B437" s="107"/>
      <c r="C437" s="107"/>
      <c r="D437" s="68" t="s">
        <v>456</v>
      </c>
      <c r="E437" t="s">
        <v>473</v>
      </c>
      <c r="F437" t="s">
        <v>588</v>
      </c>
      <c r="G437" t="s">
        <v>82</v>
      </c>
      <c r="H437" s="67">
        <v>44742</v>
      </c>
      <c r="J437" s="73"/>
      <c r="K437" s="74"/>
      <c r="L437" s="73"/>
      <c r="M437" s="74">
        <f>978916</f>
        <v>978916</v>
      </c>
      <c r="N437" s="73">
        <f>1220060</f>
        <v>1220060</v>
      </c>
      <c r="O437" s="74">
        <f>944967</f>
        <v>944967</v>
      </c>
    </row>
    <row r="438" spans="1:15">
      <c r="A438" s="107"/>
      <c r="B438" s="107"/>
      <c r="C438" s="107"/>
      <c r="D438" s="68" t="s">
        <v>456</v>
      </c>
      <c r="E438" t="s">
        <v>475</v>
      </c>
      <c r="F438" t="s">
        <v>588</v>
      </c>
      <c r="G438" t="s">
        <v>82</v>
      </c>
      <c r="H438" s="67">
        <v>44742</v>
      </c>
      <c r="J438" s="73"/>
      <c r="K438" s="74"/>
      <c r="L438" s="73"/>
      <c r="M438" s="74">
        <f>3037885</f>
        <v>3037885</v>
      </c>
      <c r="N438" s="73">
        <f>3899725</f>
        <v>3899725</v>
      </c>
      <c r="O438" s="74">
        <f>5882665</f>
        <v>5882665</v>
      </c>
    </row>
    <row r="439" spans="1:15">
      <c r="A439" s="107"/>
      <c r="B439" s="107"/>
      <c r="C439" s="107"/>
      <c r="D439" s="68" t="s">
        <v>456</v>
      </c>
      <c r="E439" t="s">
        <v>476</v>
      </c>
      <c r="F439" t="s">
        <v>588</v>
      </c>
      <c r="G439" t="s">
        <v>82</v>
      </c>
      <c r="H439" s="67">
        <v>44742</v>
      </c>
      <c r="J439" s="73"/>
      <c r="K439" s="74"/>
      <c r="L439" s="73"/>
      <c r="M439" s="74">
        <v>597876</v>
      </c>
      <c r="N439" s="73">
        <v>305249</v>
      </c>
      <c r="O439" s="74">
        <v>49771</v>
      </c>
    </row>
    <row r="440" spans="1:15">
      <c r="A440" s="107"/>
      <c r="B440" s="107"/>
      <c r="C440" s="107"/>
      <c r="D440" s="68" t="s">
        <v>456</v>
      </c>
      <c r="E440" t="s">
        <v>477</v>
      </c>
      <c r="F440" t="s">
        <v>588</v>
      </c>
      <c r="G440" t="s">
        <v>82</v>
      </c>
      <c r="H440" s="67">
        <v>44742</v>
      </c>
      <c r="J440" s="73"/>
      <c r="K440" s="74"/>
      <c r="L440" s="73"/>
      <c r="M440" s="74" t="s">
        <v>504</v>
      </c>
      <c r="N440" s="73" t="s">
        <v>504</v>
      </c>
      <c r="O440" s="74" t="s">
        <v>504</v>
      </c>
    </row>
    <row r="441" spans="1:15">
      <c r="A441" s="107"/>
      <c r="B441" s="107"/>
      <c r="C441" s="107"/>
      <c r="D441" s="68" t="s">
        <v>423</v>
      </c>
      <c r="E441" t="s">
        <v>456</v>
      </c>
      <c r="F441" t="s">
        <v>588</v>
      </c>
      <c r="G441" t="s">
        <v>82</v>
      </c>
      <c r="H441" s="67">
        <v>44742</v>
      </c>
      <c r="J441" s="73"/>
      <c r="K441" s="74"/>
      <c r="L441" s="73"/>
      <c r="M441" s="74">
        <f>118059108</f>
        <v>118059108</v>
      </c>
      <c r="N441" s="73">
        <f>121219126</f>
        <v>121219126</v>
      </c>
      <c r="O441" s="74">
        <f>116829289</f>
        <v>116829289</v>
      </c>
    </row>
    <row r="442" spans="1:15">
      <c r="A442" s="107"/>
      <c r="B442" s="107"/>
      <c r="C442" s="107"/>
      <c r="D442" s="68" t="s">
        <v>423</v>
      </c>
      <c r="E442" t="s">
        <v>456</v>
      </c>
      <c r="F442" t="s">
        <v>606</v>
      </c>
      <c r="G442" t="s">
        <v>82</v>
      </c>
      <c r="H442" s="67">
        <v>44742</v>
      </c>
      <c r="J442" s="73"/>
      <c r="K442" s="74"/>
      <c r="L442" s="73"/>
      <c r="M442" s="74">
        <f>17312430</f>
        <v>17312430</v>
      </c>
      <c r="N442" s="73">
        <f>12001527</f>
        <v>12001527</v>
      </c>
      <c r="O442" s="74">
        <f>21074593</f>
        <v>21074593</v>
      </c>
    </row>
    <row r="443" spans="1:15">
      <c r="A443" s="107"/>
      <c r="B443" s="107"/>
      <c r="C443" s="107"/>
      <c r="D443" s="68" t="s">
        <v>423</v>
      </c>
      <c r="E443" t="s">
        <v>456</v>
      </c>
      <c r="F443" t="s">
        <v>607</v>
      </c>
      <c r="G443" t="s">
        <v>82</v>
      </c>
      <c r="H443" s="67">
        <v>44742</v>
      </c>
      <c r="J443" s="73"/>
      <c r="K443" s="74"/>
      <c r="L443" s="73"/>
      <c r="M443" s="74">
        <f>135371538</f>
        <v>135371538</v>
      </c>
      <c r="N443" s="73">
        <f>133220653</f>
        <v>133220653</v>
      </c>
      <c r="O443" s="74">
        <f>137903882</f>
        <v>137903882</v>
      </c>
    </row>
    <row r="444" spans="1:15">
      <c r="A444" s="107"/>
      <c r="B444" s="107"/>
      <c r="C444" s="107"/>
      <c r="D444" s="68" t="s">
        <v>424</v>
      </c>
      <c r="H444" s="67"/>
      <c r="J444" s="73"/>
      <c r="K444" s="74"/>
      <c r="L444" s="73"/>
      <c r="M444" s="74"/>
      <c r="N444" s="73"/>
      <c r="O444" s="74"/>
    </row>
    <row r="445" spans="1:15">
      <c r="A445" s="107" t="s">
        <v>125</v>
      </c>
      <c r="B445" s="107" t="s">
        <v>126</v>
      </c>
      <c r="C445" s="107" t="s">
        <v>127</v>
      </c>
      <c r="D445" s="68" t="s">
        <v>417</v>
      </c>
      <c r="G445" t="s">
        <v>435</v>
      </c>
      <c r="H445" s="67">
        <v>44561</v>
      </c>
      <c r="J445" s="73"/>
      <c r="K445" s="74"/>
      <c r="L445" s="73"/>
      <c r="M445" s="74">
        <v>83.573620116699004</v>
      </c>
      <c r="N445" s="73">
        <v>74.771237187252794</v>
      </c>
      <c r="O445" s="74"/>
    </row>
    <row r="446" spans="1:15">
      <c r="A446" s="107"/>
      <c r="B446" s="107"/>
      <c r="C446" s="107"/>
      <c r="D446" s="68" t="s">
        <v>418</v>
      </c>
      <c r="E446" t="s">
        <v>419</v>
      </c>
      <c r="G446" t="s">
        <v>435</v>
      </c>
      <c r="H446" s="67">
        <v>44561</v>
      </c>
      <c r="J446" s="73"/>
      <c r="K446" s="74"/>
      <c r="L446" s="73"/>
      <c r="M446" s="74">
        <v>0</v>
      </c>
      <c r="N446" s="73">
        <v>0</v>
      </c>
      <c r="O446" s="74"/>
    </row>
    <row r="447" spans="1:15">
      <c r="A447" s="107"/>
      <c r="B447" s="107"/>
      <c r="C447" s="107"/>
      <c r="D447" s="68" t="s">
        <v>420</v>
      </c>
      <c r="E447" t="s">
        <v>419</v>
      </c>
      <c r="G447" t="s">
        <v>435</v>
      </c>
      <c r="H447" s="67">
        <v>44561</v>
      </c>
      <c r="J447" s="73"/>
      <c r="K447" s="74"/>
      <c r="L447" s="73"/>
      <c r="M447" s="74">
        <v>83.573620116699004</v>
      </c>
      <c r="N447" s="73">
        <v>74.771237187252794</v>
      </c>
      <c r="O447" s="74"/>
    </row>
    <row r="448" spans="1:15">
      <c r="A448" s="107"/>
      <c r="B448" s="107"/>
      <c r="C448" s="107"/>
      <c r="D448" s="68" t="s">
        <v>421</v>
      </c>
      <c r="E448" t="s">
        <v>422</v>
      </c>
      <c r="G448" t="s">
        <v>435</v>
      </c>
      <c r="H448" s="67">
        <v>44561</v>
      </c>
      <c r="J448" s="73"/>
      <c r="K448" s="74"/>
      <c r="L448" s="73"/>
      <c r="M448" s="74"/>
      <c r="N448" s="73"/>
      <c r="O448" s="74"/>
    </row>
    <row r="449" spans="1:15">
      <c r="A449" s="107"/>
      <c r="B449" s="107"/>
      <c r="C449" s="107"/>
      <c r="D449" s="68" t="s">
        <v>423</v>
      </c>
      <c r="G449" t="s">
        <v>63</v>
      </c>
      <c r="H449" s="67">
        <v>44561</v>
      </c>
      <c r="J449" s="73"/>
      <c r="K449" s="74"/>
      <c r="L449" s="73"/>
      <c r="M449" s="74">
        <v>206.167169888941</v>
      </c>
      <c r="N449" s="73">
        <v>199.53951726531801</v>
      </c>
      <c r="O449" s="74"/>
    </row>
    <row r="450" spans="1:15">
      <c r="A450" s="107"/>
      <c r="B450" s="107"/>
      <c r="C450" s="107"/>
      <c r="D450" s="68" t="s">
        <v>424</v>
      </c>
      <c r="H450" s="67"/>
      <c r="J450" s="73"/>
      <c r="K450" s="74"/>
      <c r="L450" s="73"/>
      <c r="M450" s="74"/>
      <c r="N450" s="73"/>
      <c r="O450" s="74"/>
    </row>
    <row r="451" spans="1:15">
      <c r="A451" s="107" t="s">
        <v>125</v>
      </c>
      <c r="B451" s="107" t="s">
        <v>126</v>
      </c>
      <c r="C451" s="107" t="s">
        <v>127</v>
      </c>
      <c r="D451" s="68" t="s">
        <v>587</v>
      </c>
      <c r="H451" s="67">
        <v>44838</v>
      </c>
      <c r="I451" s="92">
        <v>2005</v>
      </c>
      <c r="J451" s="73"/>
      <c r="K451" s="74"/>
      <c r="L451" s="73"/>
      <c r="M451" s="74"/>
      <c r="N451" s="73"/>
      <c r="O451" s="74"/>
    </row>
    <row r="452" spans="1:15">
      <c r="A452" s="107"/>
      <c r="B452" s="107"/>
      <c r="C452" s="107"/>
      <c r="D452" s="68" t="s">
        <v>417</v>
      </c>
      <c r="E452" t="s">
        <v>456</v>
      </c>
      <c r="G452" t="s">
        <v>433</v>
      </c>
      <c r="H452" s="67">
        <v>44838</v>
      </c>
      <c r="I452" s="92">
        <v>139000</v>
      </c>
      <c r="J452" s="73"/>
      <c r="K452" s="74"/>
      <c r="L452" s="73"/>
      <c r="M452" s="74">
        <v>84000</v>
      </c>
      <c r="N452" s="73">
        <v>74000</v>
      </c>
      <c r="O452" s="74">
        <v>77406</v>
      </c>
    </row>
    <row r="453" spans="1:15">
      <c r="A453" s="107"/>
      <c r="B453" s="107"/>
      <c r="C453" s="107"/>
      <c r="D453" s="68" t="s">
        <v>417</v>
      </c>
      <c r="E453" t="s">
        <v>502</v>
      </c>
      <c r="G453" t="s">
        <v>433</v>
      </c>
      <c r="H453" s="67">
        <v>44838</v>
      </c>
      <c r="J453" s="73"/>
      <c r="K453" s="74"/>
      <c r="L453" s="73">
        <v>160</v>
      </c>
      <c r="M453" s="74">
        <v>308</v>
      </c>
      <c r="N453" s="73">
        <v>327</v>
      </c>
      <c r="O453" s="74">
        <v>322</v>
      </c>
    </row>
    <row r="454" spans="1:15">
      <c r="A454" s="107"/>
      <c r="B454" s="107"/>
      <c r="C454" s="107"/>
      <c r="D454" s="68" t="s">
        <v>417</v>
      </c>
      <c r="E454" t="s">
        <v>460</v>
      </c>
      <c r="G454" t="s">
        <v>433</v>
      </c>
      <c r="H454" s="67">
        <v>44838</v>
      </c>
      <c r="J454" s="73"/>
      <c r="K454" s="74"/>
      <c r="L454" s="73">
        <v>305</v>
      </c>
      <c r="M454" s="74">
        <v>477</v>
      </c>
      <c r="N454" s="73">
        <v>384</v>
      </c>
      <c r="O454" s="74">
        <v>363</v>
      </c>
    </row>
    <row r="455" spans="1:15">
      <c r="A455" s="107"/>
      <c r="B455" s="107"/>
      <c r="C455" s="107"/>
      <c r="D455" s="68" t="s">
        <v>417</v>
      </c>
      <c r="E455" t="s">
        <v>633</v>
      </c>
      <c r="G455" t="s">
        <v>433</v>
      </c>
      <c r="H455" s="67">
        <v>44838</v>
      </c>
      <c r="J455" s="73"/>
      <c r="K455" s="74"/>
      <c r="L455" s="73"/>
      <c r="M455" s="74"/>
      <c r="N455" s="73"/>
      <c r="O455" s="74">
        <v>110</v>
      </c>
    </row>
    <row r="456" spans="1:15">
      <c r="A456" s="107"/>
      <c r="B456" s="107"/>
      <c r="C456" s="107"/>
      <c r="D456" s="68" t="s">
        <v>417</v>
      </c>
      <c r="E456" t="s">
        <v>634</v>
      </c>
      <c r="G456" t="s">
        <v>433</v>
      </c>
      <c r="H456" s="67">
        <v>44838</v>
      </c>
      <c r="J456" s="73"/>
      <c r="K456" s="74"/>
      <c r="L456" s="73"/>
      <c r="M456" s="74"/>
      <c r="N456" s="73"/>
      <c r="O456" s="74">
        <v>844</v>
      </c>
    </row>
    <row r="457" spans="1:15">
      <c r="A457" s="107"/>
      <c r="B457" s="107"/>
      <c r="C457" s="107"/>
      <c r="D457" s="68" t="s">
        <v>417</v>
      </c>
      <c r="E457" t="s">
        <v>635</v>
      </c>
      <c r="G457" t="s">
        <v>433</v>
      </c>
      <c r="H457" s="67">
        <v>44838</v>
      </c>
      <c r="J457" s="73"/>
      <c r="K457" s="74"/>
      <c r="L457" s="73"/>
      <c r="M457" s="74"/>
      <c r="N457" s="73"/>
      <c r="O457" s="74">
        <v>80</v>
      </c>
    </row>
    <row r="458" spans="1:15">
      <c r="A458" s="107"/>
      <c r="B458" s="107"/>
      <c r="C458" s="107"/>
      <c r="D458" s="68" t="s">
        <v>417</v>
      </c>
      <c r="E458" t="s">
        <v>636</v>
      </c>
      <c r="G458" t="s">
        <v>433</v>
      </c>
      <c r="H458" s="67">
        <v>44838</v>
      </c>
      <c r="J458" s="73"/>
      <c r="K458" s="74"/>
      <c r="L458" s="73"/>
      <c r="M458" s="74"/>
      <c r="N458" s="73"/>
      <c r="O458" s="74">
        <v>4</v>
      </c>
    </row>
    <row r="459" spans="1:15">
      <c r="A459" s="107"/>
      <c r="B459" s="107"/>
      <c r="C459" s="107"/>
      <c r="D459" s="68" t="s">
        <v>418</v>
      </c>
      <c r="E459" t="s">
        <v>528</v>
      </c>
      <c r="G459" t="s">
        <v>433</v>
      </c>
      <c r="H459" s="67">
        <v>44838</v>
      </c>
      <c r="J459" s="73"/>
      <c r="K459" s="74"/>
      <c r="L459" s="73"/>
      <c r="M459" s="74"/>
      <c r="N459" s="73"/>
      <c r="O459" s="74">
        <v>3</v>
      </c>
    </row>
    <row r="460" spans="1:15">
      <c r="A460" s="107"/>
      <c r="B460" s="107"/>
      <c r="C460" s="107"/>
      <c r="D460" s="68" t="s">
        <v>418</v>
      </c>
      <c r="E460" t="s">
        <v>637</v>
      </c>
      <c r="G460" t="s">
        <v>433</v>
      </c>
      <c r="H460" s="67">
        <v>44838</v>
      </c>
      <c r="J460" s="73"/>
      <c r="K460" s="74"/>
      <c r="L460" s="73"/>
      <c r="M460" s="74"/>
      <c r="N460" s="73"/>
      <c r="O460" s="74">
        <v>425</v>
      </c>
    </row>
    <row r="461" spans="1:15">
      <c r="A461" s="107"/>
      <c r="B461" s="107"/>
      <c r="C461" s="107"/>
      <c r="D461" s="68" t="s">
        <v>421</v>
      </c>
      <c r="E461">
        <v>1</v>
      </c>
      <c r="G461" t="s">
        <v>433</v>
      </c>
      <c r="H461" s="67">
        <v>44838</v>
      </c>
      <c r="J461" s="73"/>
      <c r="K461" s="74"/>
      <c r="L461" s="73"/>
      <c r="M461" s="86">
        <v>2800</v>
      </c>
      <c r="N461" s="86">
        <v>2800</v>
      </c>
      <c r="O461" s="74">
        <v>2800</v>
      </c>
    </row>
    <row r="462" spans="1:15">
      <c r="A462" s="107"/>
      <c r="B462" s="107"/>
      <c r="C462" s="107"/>
      <c r="D462" s="68" t="s">
        <v>421</v>
      </c>
      <c r="E462">
        <v>3</v>
      </c>
      <c r="F462" t="s">
        <v>638</v>
      </c>
      <c r="G462" t="s">
        <v>433</v>
      </c>
      <c r="H462" s="67">
        <v>44838</v>
      </c>
      <c r="J462" s="73"/>
      <c r="K462" s="74"/>
      <c r="L462" s="73"/>
      <c r="M462" s="86">
        <v>1020</v>
      </c>
      <c r="N462" s="86">
        <v>1020</v>
      </c>
      <c r="O462" s="74">
        <v>1020</v>
      </c>
    </row>
    <row r="463" spans="1:15">
      <c r="A463" s="107"/>
      <c r="B463" s="107"/>
      <c r="C463" s="107"/>
      <c r="D463" s="68" t="s">
        <v>421</v>
      </c>
      <c r="E463">
        <v>3</v>
      </c>
      <c r="F463" t="s">
        <v>639</v>
      </c>
      <c r="G463" t="s">
        <v>433</v>
      </c>
      <c r="H463" s="67">
        <v>44838</v>
      </c>
      <c r="J463" s="73"/>
      <c r="K463" s="74"/>
      <c r="L463" s="73"/>
      <c r="M463" s="86">
        <v>5500</v>
      </c>
      <c r="N463" s="86">
        <v>5500</v>
      </c>
      <c r="O463" s="74">
        <v>5500</v>
      </c>
    </row>
    <row r="464" spans="1:15">
      <c r="A464" s="107"/>
      <c r="B464" s="107"/>
      <c r="C464" s="107"/>
      <c r="D464" s="68" t="s">
        <v>421</v>
      </c>
      <c r="E464">
        <v>3</v>
      </c>
      <c r="F464" t="s">
        <v>640</v>
      </c>
      <c r="G464" t="s">
        <v>433</v>
      </c>
      <c r="H464" s="67">
        <v>44838</v>
      </c>
      <c r="J464" s="73"/>
      <c r="K464" s="74"/>
      <c r="L464" s="73"/>
      <c r="M464" s="86">
        <v>13300</v>
      </c>
      <c r="N464" s="86">
        <v>13300</v>
      </c>
      <c r="O464" s="74">
        <v>13300</v>
      </c>
    </row>
    <row r="465" spans="1:15">
      <c r="A465" s="107"/>
      <c r="B465" s="107"/>
      <c r="C465" s="107"/>
      <c r="D465" s="68" t="s">
        <v>421</v>
      </c>
      <c r="E465">
        <v>3</v>
      </c>
      <c r="F465" t="s">
        <v>641</v>
      </c>
      <c r="G465" t="s">
        <v>433</v>
      </c>
      <c r="H465" s="67">
        <v>44838</v>
      </c>
      <c r="J465" s="73"/>
      <c r="K465" s="74"/>
      <c r="L465" s="73"/>
      <c r="M465" s="86">
        <v>280</v>
      </c>
      <c r="N465" s="86">
        <v>280</v>
      </c>
      <c r="O465" s="74">
        <v>280</v>
      </c>
    </row>
    <row r="466" spans="1:15">
      <c r="A466" s="107"/>
      <c r="B466" s="107"/>
      <c r="C466" s="107"/>
      <c r="D466" s="68" t="s">
        <v>421</v>
      </c>
      <c r="E466">
        <v>5</v>
      </c>
      <c r="G466" t="s">
        <v>433</v>
      </c>
      <c r="H466" s="67">
        <v>44838</v>
      </c>
      <c r="J466" s="73"/>
      <c r="K466" s="74"/>
      <c r="L466" s="73"/>
      <c r="M466" s="86">
        <v>51</v>
      </c>
      <c r="N466" s="86">
        <v>51</v>
      </c>
      <c r="O466" s="74">
        <v>51</v>
      </c>
    </row>
    <row r="467" spans="1:15">
      <c r="A467" s="107"/>
      <c r="B467" s="107"/>
      <c r="C467" s="107"/>
      <c r="D467" s="68" t="s">
        <v>421</v>
      </c>
      <c r="E467">
        <v>6</v>
      </c>
      <c r="G467" t="s">
        <v>433</v>
      </c>
      <c r="H467" s="67">
        <v>44838</v>
      </c>
      <c r="J467" s="73"/>
      <c r="K467" s="74"/>
      <c r="L467" s="73"/>
      <c r="M467" s="86">
        <v>4</v>
      </c>
      <c r="N467" s="86">
        <v>4</v>
      </c>
      <c r="O467" s="74">
        <v>4</v>
      </c>
    </row>
    <row r="468" spans="1:15">
      <c r="A468" s="107"/>
      <c r="B468" s="107"/>
      <c r="C468" s="107"/>
      <c r="D468" s="68" t="s">
        <v>421</v>
      </c>
      <c r="E468">
        <v>7</v>
      </c>
      <c r="G468" t="s">
        <v>433</v>
      </c>
      <c r="H468" s="67">
        <v>44838</v>
      </c>
      <c r="J468" s="73"/>
      <c r="K468" s="74"/>
      <c r="L468" s="73"/>
      <c r="M468" s="86">
        <v>84</v>
      </c>
      <c r="N468" s="86">
        <v>84</v>
      </c>
      <c r="O468" s="74">
        <v>84</v>
      </c>
    </row>
    <row r="469" spans="1:15">
      <c r="A469" s="107"/>
      <c r="B469" s="107"/>
      <c r="C469" s="107"/>
      <c r="D469" s="68" t="s">
        <v>421</v>
      </c>
      <c r="E469">
        <v>10</v>
      </c>
      <c r="G469" t="s">
        <v>433</v>
      </c>
      <c r="H469" s="67">
        <v>44838</v>
      </c>
      <c r="J469" s="73"/>
      <c r="K469" s="74"/>
      <c r="L469" s="73"/>
      <c r="M469" s="86">
        <v>346</v>
      </c>
      <c r="N469" s="86">
        <v>346</v>
      </c>
      <c r="O469" s="74">
        <v>346</v>
      </c>
    </row>
    <row r="470" spans="1:15">
      <c r="A470" s="107"/>
      <c r="B470" s="107"/>
      <c r="C470" s="107"/>
      <c r="D470" s="68" t="s">
        <v>421</v>
      </c>
      <c r="E470">
        <v>11</v>
      </c>
      <c r="G470" t="s">
        <v>433</v>
      </c>
      <c r="H470" s="67">
        <v>44838</v>
      </c>
      <c r="J470" s="73"/>
      <c r="K470" s="74"/>
      <c r="L470" s="73"/>
      <c r="M470" s="86">
        <v>6608</v>
      </c>
      <c r="N470" s="86">
        <v>6608</v>
      </c>
      <c r="O470" s="74">
        <v>6608</v>
      </c>
    </row>
    <row r="471" spans="1:15">
      <c r="A471" s="107"/>
      <c r="B471" s="107"/>
      <c r="C471" s="107"/>
      <c r="D471" s="68" t="s">
        <v>421</v>
      </c>
      <c r="E471" t="s">
        <v>422</v>
      </c>
      <c r="G471" t="s">
        <v>433</v>
      </c>
      <c r="H471" s="67">
        <v>44838</v>
      </c>
      <c r="J471" s="73"/>
      <c r="K471" s="74"/>
      <c r="L471" s="73"/>
      <c r="M471" s="86">
        <v>29993</v>
      </c>
      <c r="N471" s="86">
        <v>29993</v>
      </c>
      <c r="O471" s="74">
        <f>SUM(O461:O470)</f>
        <v>29993</v>
      </c>
    </row>
    <row r="472" spans="1:15">
      <c r="A472" s="107"/>
      <c r="B472" s="107"/>
      <c r="C472" s="107"/>
      <c r="D472" s="68" t="s">
        <v>599</v>
      </c>
      <c r="G472" t="s">
        <v>652</v>
      </c>
      <c r="H472" s="67">
        <v>44838</v>
      </c>
      <c r="J472" s="73"/>
      <c r="K472" s="74"/>
      <c r="L472" s="73"/>
      <c r="M472" s="74"/>
      <c r="N472" s="73"/>
      <c r="O472" s="74">
        <v>615</v>
      </c>
    </row>
    <row r="473" spans="1:15">
      <c r="A473" s="107"/>
      <c r="B473" s="107"/>
      <c r="C473" s="107"/>
      <c r="D473" s="68" t="s">
        <v>423</v>
      </c>
      <c r="G473" t="s">
        <v>63</v>
      </c>
      <c r="H473" s="67">
        <v>44838</v>
      </c>
      <c r="J473" s="73"/>
      <c r="K473" s="74"/>
      <c r="L473" s="73"/>
      <c r="M473" s="74"/>
      <c r="N473" s="73"/>
      <c r="O473" s="74">
        <v>216</v>
      </c>
    </row>
    <row r="474" spans="1:15">
      <c r="A474" s="107"/>
      <c r="B474" s="107"/>
      <c r="C474" s="107"/>
      <c r="D474" s="68" t="s">
        <v>424</v>
      </c>
      <c r="H474" s="67">
        <v>44838</v>
      </c>
      <c r="J474" s="73"/>
      <c r="K474" s="74"/>
      <c r="L474" s="73"/>
      <c r="M474" s="74"/>
      <c r="N474" s="73"/>
      <c r="O474" s="76" t="s">
        <v>642</v>
      </c>
    </row>
    <row r="475" spans="1:15">
      <c r="A475" s="107"/>
      <c r="B475" s="107"/>
      <c r="C475" s="107"/>
      <c r="D475" s="68" t="s">
        <v>424</v>
      </c>
      <c r="H475" s="67"/>
      <c r="J475" s="73"/>
      <c r="K475" s="74"/>
      <c r="L475" s="73"/>
      <c r="M475" s="74"/>
      <c r="N475" s="73"/>
      <c r="O475" s="76" t="s">
        <v>632</v>
      </c>
    </row>
    <row r="476" spans="1:15">
      <c r="A476" s="107" t="s">
        <v>128</v>
      </c>
      <c r="B476" s="107" t="s">
        <v>129</v>
      </c>
      <c r="C476" s="107" t="s">
        <v>130</v>
      </c>
      <c r="D476" s="68" t="s">
        <v>417</v>
      </c>
      <c r="G476" t="s">
        <v>435</v>
      </c>
      <c r="H476" s="67">
        <v>44561</v>
      </c>
      <c r="J476" s="73"/>
      <c r="K476" s="74"/>
      <c r="L476" s="73">
        <v>35.700000000000003</v>
      </c>
      <c r="M476" s="74">
        <v>33</v>
      </c>
      <c r="N476" s="73">
        <v>28</v>
      </c>
      <c r="O476" s="74">
        <v>27</v>
      </c>
    </row>
    <row r="477" spans="1:15">
      <c r="A477" s="107"/>
      <c r="B477" s="107"/>
      <c r="C477" s="107"/>
      <c r="D477" s="68" t="s">
        <v>418</v>
      </c>
      <c r="E477" t="s">
        <v>419</v>
      </c>
      <c r="G477" t="s">
        <v>435</v>
      </c>
      <c r="H477" s="67">
        <v>44561</v>
      </c>
      <c r="J477" s="73"/>
      <c r="K477" s="74"/>
      <c r="L477" s="73">
        <v>0.47</v>
      </c>
      <c r="M477" s="74">
        <v>0.3</v>
      </c>
      <c r="N477" s="73">
        <v>0.3</v>
      </c>
      <c r="O477" s="74">
        <v>0.3</v>
      </c>
    </row>
    <row r="478" spans="1:15">
      <c r="A478" s="107"/>
      <c r="B478" s="107"/>
      <c r="C478" s="107"/>
      <c r="D478" s="68" t="s">
        <v>420</v>
      </c>
      <c r="E478" t="s">
        <v>419</v>
      </c>
      <c r="G478" t="s">
        <v>435</v>
      </c>
      <c r="H478" s="67">
        <v>44561</v>
      </c>
      <c r="J478" s="73"/>
      <c r="K478" s="74"/>
      <c r="L478" s="73">
        <v>36.17</v>
      </c>
      <c r="M478" s="74">
        <v>33.299999999999997</v>
      </c>
      <c r="N478" s="73">
        <v>28.3</v>
      </c>
      <c r="O478" s="74">
        <v>27.3</v>
      </c>
    </row>
    <row r="479" spans="1:15">
      <c r="A479" s="107"/>
      <c r="B479" s="107"/>
      <c r="C479" s="107"/>
      <c r="D479" s="68" t="s">
        <v>421</v>
      </c>
      <c r="E479" t="s">
        <v>422</v>
      </c>
      <c r="G479" t="s">
        <v>435</v>
      </c>
      <c r="H479" s="67">
        <v>44561</v>
      </c>
      <c r="J479" s="73"/>
      <c r="K479" s="74"/>
      <c r="L479" s="73">
        <v>110.8</v>
      </c>
      <c r="M479" s="74">
        <v>119</v>
      </c>
      <c r="N479" s="73">
        <v>107</v>
      </c>
      <c r="O479" s="74">
        <v>102</v>
      </c>
    </row>
    <row r="480" spans="1:15">
      <c r="A480" s="107"/>
      <c r="B480" s="107"/>
      <c r="C480" s="107"/>
      <c r="D480" s="68" t="s">
        <v>423</v>
      </c>
      <c r="G480" t="s">
        <v>57</v>
      </c>
      <c r="H480" s="67">
        <v>44561</v>
      </c>
      <c r="J480" s="73"/>
      <c r="K480" s="74">
        <v>71648</v>
      </c>
      <c r="L480" s="73">
        <v>72883</v>
      </c>
      <c r="M480" s="74">
        <v>73053</v>
      </c>
      <c r="N480" s="73">
        <v>70312</v>
      </c>
      <c r="O480" s="74">
        <v>79404</v>
      </c>
    </row>
    <row r="481" spans="1:15">
      <c r="A481" s="107"/>
      <c r="B481" s="107"/>
      <c r="C481" s="107"/>
      <c r="D481" s="68" t="s">
        <v>424</v>
      </c>
      <c r="H481" s="67"/>
      <c r="J481" s="73"/>
      <c r="K481" s="74"/>
      <c r="L481" s="73"/>
      <c r="M481" s="74"/>
      <c r="N481" s="73"/>
      <c r="O481" s="74"/>
    </row>
    <row r="482" spans="1:15">
      <c r="A482" s="107" t="s">
        <v>132</v>
      </c>
      <c r="B482" s="107" t="s">
        <v>133</v>
      </c>
      <c r="C482" s="107" t="s">
        <v>134</v>
      </c>
      <c r="D482" s="68" t="s">
        <v>417</v>
      </c>
      <c r="G482" t="s">
        <v>435</v>
      </c>
      <c r="H482" s="67">
        <v>44561</v>
      </c>
      <c r="J482" s="73">
        <v>2.4</v>
      </c>
      <c r="K482" s="74">
        <v>1.9</v>
      </c>
      <c r="L482" s="73">
        <v>1.1000000000000001</v>
      </c>
      <c r="M482" s="74">
        <v>1.4</v>
      </c>
      <c r="N482" s="73">
        <v>1.4</v>
      </c>
      <c r="O482" s="74">
        <v>1</v>
      </c>
    </row>
    <row r="483" spans="1:15">
      <c r="A483" s="107"/>
      <c r="B483" s="107"/>
      <c r="C483" s="107"/>
      <c r="D483" s="68" t="s">
        <v>418</v>
      </c>
      <c r="E483" t="s">
        <v>419</v>
      </c>
      <c r="G483" t="s">
        <v>435</v>
      </c>
      <c r="H483" s="67">
        <v>44561</v>
      </c>
      <c r="J483" s="73">
        <v>1.6</v>
      </c>
      <c r="K483" s="74">
        <v>1.3</v>
      </c>
      <c r="L483" s="73">
        <v>1.2</v>
      </c>
      <c r="M483" s="74">
        <v>0.6</v>
      </c>
      <c r="N483" s="73">
        <v>0.8</v>
      </c>
      <c r="O483" s="74">
        <v>0.8</v>
      </c>
    </row>
    <row r="484" spans="1:15">
      <c r="A484" s="107"/>
      <c r="B484" s="107"/>
      <c r="C484" s="107"/>
      <c r="D484" s="68" t="s">
        <v>420</v>
      </c>
      <c r="E484" t="s">
        <v>419</v>
      </c>
      <c r="G484" t="s">
        <v>435</v>
      </c>
      <c r="H484" s="67">
        <v>44561</v>
      </c>
      <c r="J484" s="73">
        <v>4</v>
      </c>
      <c r="K484" s="74">
        <v>3.2</v>
      </c>
      <c r="L484" s="73">
        <v>2.2999999999999998</v>
      </c>
      <c r="M484" s="74">
        <v>2</v>
      </c>
      <c r="N484" s="73">
        <v>2.2000000000000002</v>
      </c>
      <c r="O484" s="74">
        <v>1.8</v>
      </c>
    </row>
    <row r="485" spans="1:15">
      <c r="A485" s="107"/>
      <c r="B485" s="107"/>
      <c r="C485" s="107"/>
      <c r="D485" s="68" t="s">
        <v>421</v>
      </c>
      <c r="E485" t="s">
        <v>422</v>
      </c>
      <c r="G485" t="s">
        <v>435</v>
      </c>
      <c r="H485" s="67">
        <v>44561</v>
      </c>
      <c r="J485" s="73">
        <v>20.6</v>
      </c>
      <c r="K485" s="74">
        <v>16.600000000000001</v>
      </c>
      <c r="L485" s="73">
        <v>15.8</v>
      </c>
      <c r="M485" s="74">
        <v>9.8000000000000007</v>
      </c>
      <c r="N485" s="73">
        <v>11.9</v>
      </c>
      <c r="O485" s="74">
        <v>11.6</v>
      </c>
    </row>
    <row r="486" spans="1:15">
      <c r="A486" s="107"/>
      <c r="B486" s="107"/>
      <c r="C486" s="107"/>
      <c r="D486" s="68" t="s">
        <v>423</v>
      </c>
      <c r="G486" t="s">
        <v>63</v>
      </c>
      <c r="H486" s="67">
        <v>44561</v>
      </c>
      <c r="J486" s="73">
        <v>94.615384615384613</v>
      </c>
      <c r="K486" s="74">
        <v>86.086956521739125</v>
      </c>
      <c r="L486" s="73">
        <v>78.695652173913047</v>
      </c>
      <c r="M486" s="74">
        <v>65.555555555555557</v>
      </c>
      <c r="N486" s="73">
        <v>67.142857142857153</v>
      </c>
      <c r="O486" s="74">
        <v>67</v>
      </c>
    </row>
    <row r="487" spans="1:15">
      <c r="A487" s="107"/>
      <c r="B487" s="107"/>
      <c r="C487" s="107"/>
      <c r="D487" s="68" t="s">
        <v>424</v>
      </c>
      <c r="H487" s="67"/>
      <c r="J487" s="73"/>
      <c r="K487" s="74"/>
      <c r="L487" s="73"/>
      <c r="M487" s="74"/>
      <c r="N487" s="73"/>
      <c r="O487" s="74"/>
    </row>
    <row r="488" spans="1:15">
      <c r="A488" s="107" t="s">
        <v>135</v>
      </c>
      <c r="B488" s="107" t="s">
        <v>136</v>
      </c>
      <c r="C488" s="107" t="s">
        <v>137</v>
      </c>
      <c r="D488" s="68" t="s">
        <v>417</v>
      </c>
      <c r="G488" t="s">
        <v>433</v>
      </c>
      <c r="H488" s="67">
        <v>44561</v>
      </c>
      <c r="J488" s="73"/>
      <c r="K488" s="74"/>
      <c r="L488" s="73">
        <v>6817</v>
      </c>
      <c r="M488" s="74">
        <v>6964</v>
      </c>
      <c r="N488" s="73">
        <v>6896</v>
      </c>
      <c r="O488" s="74"/>
    </row>
    <row r="489" spans="1:15">
      <c r="A489" s="107"/>
      <c r="B489" s="107"/>
      <c r="C489" s="107"/>
      <c r="D489" s="68" t="s">
        <v>418</v>
      </c>
      <c r="E489" t="s">
        <v>419</v>
      </c>
      <c r="G489" t="s">
        <v>433</v>
      </c>
      <c r="H489" s="67">
        <v>44561</v>
      </c>
      <c r="J489" s="73"/>
      <c r="K489" s="74"/>
      <c r="L489" s="73">
        <v>115</v>
      </c>
      <c r="M489" s="74">
        <v>41</v>
      </c>
      <c r="N489" s="73">
        <v>86</v>
      </c>
      <c r="O489" s="74"/>
    </row>
    <row r="490" spans="1:15">
      <c r="A490" s="107"/>
      <c r="B490" s="107"/>
      <c r="C490" s="107"/>
      <c r="D490" s="68" t="s">
        <v>420</v>
      </c>
      <c r="E490" t="s">
        <v>419</v>
      </c>
      <c r="G490" t="s">
        <v>433</v>
      </c>
      <c r="H490" s="67">
        <v>44561</v>
      </c>
      <c r="J490" s="73"/>
      <c r="K490" s="74"/>
      <c r="L490" s="73">
        <v>6932</v>
      </c>
      <c r="M490" s="74">
        <v>7005</v>
      </c>
      <c r="N490" s="73">
        <v>6982</v>
      </c>
      <c r="O490" s="74"/>
    </row>
    <row r="491" spans="1:15">
      <c r="A491" s="107"/>
      <c r="B491" s="107"/>
      <c r="C491" s="107"/>
      <c r="D491" s="68" t="s">
        <v>421</v>
      </c>
      <c r="E491" t="s">
        <v>422</v>
      </c>
      <c r="G491" t="s">
        <v>433</v>
      </c>
      <c r="H491" s="67">
        <v>44561</v>
      </c>
      <c r="J491" s="73"/>
      <c r="K491" s="74"/>
      <c r="L491" s="73">
        <v>5261</v>
      </c>
      <c r="M491" s="74">
        <v>5819</v>
      </c>
      <c r="N491" s="73">
        <v>5315</v>
      </c>
      <c r="O491" s="74"/>
    </row>
    <row r="492" spans="1:15">
      <c r="A492" s="107"/>
      <c r="B492" s="107"/>
      <c r="C492" s="107"/>
      <c r="D492" s="68" t="s">
        <v>423</v>
      </c>
      <c r="G492" t="s">
        <v>57</v>
      </c>
      <c r="H492" s="67">
        <v>44561</v>
      </c>
      <c r="J492" s="73"/>
      <c r="K492" s="74"/>
      <c r="L492" s="73">
        <v>39863</v>
      </c>
      <c r="M492" s="74">
        <v>41760</v>
      </c>
      <c r="N492" s="73">
        <v>40455</v>
      </c>
      <c r="O492" s="74"/>
    </row>
    <row r="493" spans="1:15">
      <c r="A493" s="107"/>
      <c r="B493" s="107"/>
      <c r="C493" s="107"/>
      <c r="D493" s="68" t="s">
        <v>424</v>
      </c>
      <c r="H493" s="67"/>
      <c r="J493" s="73"/>
      <c r="K493" s="74"/>
      <c r="L493" s="73"/>
      <c r="M493" s="74"/>
      <c r="N493" s="73"/>
      <c r="O493" s="74"/>
    </row>
    <row r="494" spans="1:15">
      <c r="A494" s="107" t="s">
        <v>135</v>
      </c>
      <c r="B494" s="107" t="s">
        <v>136</v>
      </c>
      <c r="C494" s="107" t="s">
        <v>137</v>
      </c>
      <c r="D494" s="68" t="s">
        <v>417</v>
      </c>
      <c r="G494" t="s">
        <v>433</v>
      </c>
      <c r="H494" s="67">
        <v>44635</v>
      </c>
      <c r="J494" s="73"/>
      <c r="K494" s="74"/>
      <c r="L494" s="73"/>
      <c r="M494" s="74">
        <v>70.44</v>
      </c>
      <c r="N494" s="73">
        <v>45.73</v>
      </c>
      <c r="O494" s="74">
        <v>51.57</v>
      </c>
    </row>
    <row r="495" spans="1:15">
      <c r="A495" s="107"/>
      <c r="B495" s="107"/>
      <c r="C495" s="107"/>
      <c r="D495" s="68" t="s">
        <v>589</v>
      </c>
      <c r="G495" t="s">
        <v>440</v>
      </c>
      <c r="H495" s="67">
        <v>44635</v>
      </c>
      <c r="J495" s="73"/>
      <c r="K495" s="74"/>
      <c r="L495" s="73"/>
      <c r="M495" s="74">
        <v>300</v>
      </c>
      <c r="N495" s="73">
        <v>216</v>
      </c>
      <c r="O495" s="74">
        <v>227</v>
      </c>
    </row>
    <row r="496" spans="1:15">
      <c r="A496" s="107"/>
      <c r="B496" s="107"/>
      <c r="C496" s="107"/>
      <c r="D496" s="68" t="s">
        <v>418</v>
      </c>
      <c r="E496" t="s">
        <v>419</v>
      </c>
      <c r="G496" t="s">
        <v>433</v>
      </c>
      <c r="H496" s="67">
        <v>44635</v>
      </c>
      <c r="J496" s="73"/>
      <c r="K496" s="74"/>
      <c r="L496" s="73"/>
      <c r="M496" s="74">
        <v>4.57</v>
      </c>
      <c r="N496" s="73">
        <v>4.0599999999999996</v>
      </c>
      <c r="O496" s="74">
        <v>4.3099999999999996</v>
      </c>
    </row>
    <row r="497" spans="1:15">
      <c r="A497" s="107"/>
      <c r="B497" s="107"/>
      <c r="C497" s="107"/>
      <c r="D497" s="68" t="s">
        <v>418</v>
      </c>
      <c r="E497" t="s">
        <v>426</v>
      </c>
      <c r="H497" s="67">
        <v>44635</v>
      </c>
      <c r="J497" s="73"/>
      <c r="K497" s="74"/>
      <c r="L497" s="73"/>
      <c r="M497" s="74">
        <v>6.96</v>
      </c>
      <c r="N497" s="73">
        <v>6.9</v>
      </c>
      <c r="O497" s="74">
        <v>7.11</v>
      </c>
    </row>
    <row r="498" spans="1:15">
      <c r="A498" s="107"/>
      <c r="B498" s="107"/>
      <c r="C498" s="107"/>
      <c r="D498" s="68" t="s">
        <v>421</v>
      </c>
      <c r="E498">
        <v>3</v>
      </c>
      <c r="F498" t="s">
        <v>643</v>
      </c>
      <c r="G498" t="s">
        <v>435</v>
      </c>
      <c r="H498" s="67">
        <v>44635</v>
      </c>
      <c r="J498" s="73"/>
      <c r="K498" s="74"/>
      <c r="L498" s="73"/>
      <c r="M498" s="74"/>
      <c r="N498" s="73">
        <v>1.1100000000000001</v>
      </c>
      <c r="O498" s="74">
        <v>1.24</v>
      </c>
    </row>
    <row r="499" spans="1:15">
      <c r="A499" s="107"/>
      <c r="B499" s="107"/>
      <c r="C499" s="107"/>
      <c r="D499" s="68" t="s">
        <v>421</v>
      </c>
      <c r="E499">
        <v>3</v>
      </c>
      <c r="F499" t="s">
        <v>638</v>
      </c>
      <c r="G499" t="s">
        <v>435</v>
      </c>
      <c r="H499" s="67">
        <v>44635</v>
      </c>
      <c r="J499" s="73"/>
      <c r="K499" s="74"/>
      <c r="L499" s="73"/>
      <c r="M499" s="74"/>
      <c r="N499" s="73">
        <v>9.1300000000000008</v>
      </c>
      <c r="O499" s="74">
        <v>10</v>
      </c>
    </row>
    <row r="500" spans="1:15">
      <c r="A500" s="107"/>
      <c r="B500" s="107"/>
      <c r="C500" s="107"/>
      <c r="D500" s="68" t="s">
        <v>421</v>
      </c>
      <c r="E500">
        <v>1</v>
      </c>
      <c r="G500" t="s">
        <v>435</v>
      </c>
      <c r="H500" s="67">
        <v>44635</v>
      </c>
      <c r="J500" s="73"/>
      <c r="K500" s="74"/>
      <c r="L500" s="73"/>
      <c r="M500" s="74"/>
      <c r="N500" s="73">
        <v>9.5299999999999994</v>
      </c>
      <c r="O500" s="74">
        <v>11.69</v>
      </c>
    </row>
    <row r="501" spans="1:15">
      <c r="A501" s="107"/>
      <c r="B501" s="107"/>
      <c r="C501" s="107"/>
      <c r="D501" s="68" t="s">
        <v>421</v>
      </c>
      <c r="E501">
        <v>3</v>
      </c>
      <c r="F501" t="s">
        <v>456</v>
      </c>
      <c r="G501" t="s">
        <v>435</v>
      </c>
      <c r="H501" s="67">
        <v>44635</v>
      </c>
      <c r="J501" s="73"/>
      <c r="K501" s="74"/>
      <c r="L501" s="73"/>
      <c r="M501" s="74"/>
      <c r="N501" s="73">
        <v>23.19</v>
      </c>
      <c r="O501" s="74">
        <v>23.96</v>
      </c>
    </row>
    <row r="502" spans="1:15">
      <c r="A502" s="107"/>
      <c r="B502" s="107"/>
      <c r="C502" s="107"/>
      <c r="D502" s="68" t="s">
        <v>421</v>
      </c>
      <c r="E502">
        <v>11</v>
      </c>
      <c r="F502" t="s">
        <v>551</v>
      </c>
      <c r="G502" t="s">
        <v>435</v>
      </c>
      <c r="H502" s="67">
        <v>44635</v>
      </c>
      <c r="J502" s="73"/>
      <c r="K502" s="74"/>
      <c r="L502" s="73"/>
      <c r="M502" s="74"/>
      <c r="N502" s="73">
        <v>21.95</v>
      </c>
      <c r="O502" s="74">
        <v>22.25</v>
      </c>
    </row>
    <row r="503" spans="1:15">
      <c r="A503" s="107"/>
      <c r="B503" s="107"/>
      <c r="C503" s="107"/>
      <c r="D503" s="68" t="s">
        <v>421</v>
      </c>
      <c r="E503" t="s">
        <v>422</v>
      </c>
      <c r="G503" t="s">
        <v>433</v>
      </c>
      <c r="H503" s="67">
        <v>44635</v>
      </c>
      <c r="J503" s="73"/>
      <c r="K503" s="74"/>
      <c r="L503" s="73"/>
      <c r="M503" s="74">
        <v>74.099999999999994</v>
      </c>
      <c r="N503" s="73">
        <v>64.900000000000006</v>
      </c>
      <c r="O503" s="74">
        <v>69.150000000000006</v>
      </c>
    </row>
    <row r="504" spans="1:15">
      <c r="A504" s="107"/>
      <c r="B504" s="107"/>
      <c r="C504" s="107"/>
      <c r="D504" s="68" t="s">
        <v>423</v>
      </c>
      <c r="E504" t="s">
        <v>456</v>
      </c>
      <c r="F504" t="s">
        <v>430</v>
      </c>
      <c r="G504" t="s">
        <v>57</v>
      </c>
      <c r="H504" s="67">
        <v>44635</v>
      </c>
      <c r="J504" s="73"/>
      <c r="K504" s="74"/>
      <c r="L504" s="73"/>
      <c r="M504" s="74">
        <v>229129</v>
      </c>
      <c r="N504" s="73">
        <v>207108</v>
      </c>
      <c r="O504" s="74">
        <v>222605</v>
      </c>
    </row>
    <row r="505" spans="1:15">
      <c r="A505" s="107"/>
      <c r="B505" s="107"/>
      <c r="C505" s="107"/>
      <c r="D505" s="68" t="s">
        <v>599</v>
      </c>
      <c r="E505" t="s">
        <v>551</v>
      </c>
      <c r="G505" t="s">
        <v>552</v>
      </c>
      <c r="H505" s="67">
        <v>44635</v>
      </c>
      <c r="J505" s="73"/>
      <c r="K505" s="74"/>
      <c r="L505" s="73"/>
      <c r="M505" s="74">
        <v>10.7</v>
      </c>
      <c r="N505" s="73">
        <v>9.6999999999999993</v>
      </c>
      <c r="O505" s="74">
        <v>9.9</v>
      </c>
    </row>
    <row r="506" spans="1:15">
      <c r="A506" s="107"/>
      <c r="B506" s="107"/>
      <c r="C506" s="107"/>
      <c r="D506" s="68" t="s">
        <v>424</v>
      </c>
      <c r="H506" s="67">
        <v>44635</v>
      </c>
      <c r="J506" s="73"/>
      <c r="K506" s="74"/>
      <c r="L506" s="73"/>
      <c r="M506" s="74"/>
      <c r="N506" s="73"/>
      <c r="O506" s="74" t="s">
        <v>548</v>
      </c>
    </row>
    <row r="507" spans="1:15">
      <c r="A507" s="107" t="s">
        <v>140</v>
      </c>
      <c r="B507" s="107" t="s">
        <v>141</v>
      </c>
      <c r="C507" s="107" t="s">
        <v>142</v>
      </c>
      <c r="D507" s="68" t="s">
        <v>417</v>
      </c>
      <c r="G507" t="s">
        <v>435</v>
      </c>
      <c r="H507" s="67">
        <v>44561</v>
      </c>
      <c r="J507" s="73">
        <v>32.534277276775498</v>
      </c>
      <c r="K507" s="74">
        <v>31.452615946488201</v>
      </c>
      <c r="L507" s="73">
        <v>34.632403953117503</v>
      </c>
      <c r="M507" s="74">
        <v>33.246229122713601</v>
      </c>
      <c r="N507" s="73">
        <v>30.543162251514801</v>
      </c>
      <c r="O507" s="74"/>
    </row>
    <row r="508" spans="1:15">
      <c r="A508" s="107"/>
      <c r="B508" s="107"/>
      <c r="C508" s="107"/>
      <c r="D508" s="68" t="s">
        <v>418</v>
      </c>
      <c r="E508" t="s">
        <v>419</v>
      </c>
      <c r="G508" t="s">
        <v>435</v>
      </c>
      <c r="H508" s="67">
        <v>44561</v>
      </c>
      <c r="J508" s="73">
        <v>0</v>
      </c>
      <c r="K508" s="74">
        <v>0</v>
      </c>
      <c r="L508" s="73">
        <v>0</v>
      </c>
      <c r="M508" s="74">
        <v>0</v>
      </c>
      <c r="N508" s="73">
        <v>0</v>
      </c>
      <c r="O508" s="74"/>
    </row>
    <row r="509" spans="1:15">
      <c r="A509" s="107"/>
      <c r="B509" s="107"/>
      <c r="C509" s="107"/>
      <c r="D509" s="68" t="s">
        <v>420</v>
      </c>
      <c r="E509" t="s">
        <v>419</v>
      </c>
      <c r="G509" t="s">
        <v>435</v>
      </c>
      <c r="H509" s="67">
        <v>44561</v>
      </c>
      <c r="J509" s="73">
        <v>32.534277276775498</v>
      </c>
      <c r="K509" s="74">
        <v>31.452615946488201</v>
      </c>
      <c r="L509" s="73">
        <v>34.632403953117503</v>
      </c>
      <c r="M509" s="74">
        <v>33.246229122713601</v>
      </c>
      <c r="N509" s="73">
        <v>30.543162251514801</v>
      </c>
      <c r="O509" s="74"/>
    </row>
    <row r="510" spans="1:15">
      <c r="A510" s="107"/>
      <c r="B510" s="107"/>
      <c r="C510" s="107"/>
      <c r="D510" s="68" t="s">
        <v>421</v>
      </c>
      <c r="E510" t="s">
        <v>422</v>
      </c>
      <c r="G510" t="s">
        <v>435</v>
      </c>
      <c r="H510" s="67">
        <v>44561</v>
      </c>
      <c r="J510" s="73"/>
      <c r="K510" s="74"/>
      <c r="L510" s="73"/>
      <c r="M510" s="74"/>
      <c r="N510" s="73"/>
      <c r="O510" s="74"/>
    </row>
    <row r="511" spans="1:15">
      <c r="A511" s="107"/>
      <c r="B511" s="107"/>
      <c r="C511" s="107"/>
      <c r="D511" s="68" t="s">
        <v>423</v>
      </c>
      <c r="G511" t="s">
        <v>63</v>
      </c>
      <c r="H511" s="67">
        <v>44561</v>
      </c>
      <c r="J511" s="73">
        <v>95.811363396945296</v>
      </c>
      <c r="K511" s="74">
        <v>90.773791353405699</v>
      </c>
      <c r="L511" s="73">
        <v>97.9689857895942</v>
      </c>
      <c r="M511" s="74">
        <v>102.30344268821401</v>
      </c>
      <c r="N511" s="73">
        <v>102.664904189743</v>
      </c>
      <c r="O511" s="74"/>
    </row>
    <row r="512" spans="1:15">
      <c r="A512" s="107"/>
      <c r="B512" s="107"/>
      <c r="C512" s="107"/>
      <c r="D512" s="68" t="s">
        <v>424</v>
      </c>
      <c r="H512" s="67"/>
      <c r="J512" s="73"/>
      <c r="K512" s="74"/>
      <c r="L512" s="73"/>
      <c r="M512" s="74"/>
      <c r="N512" s="73"/>
      <c r="O512" s="74"/>
    </row>
    <row r="513" spans="1:15">
      <c r="A513" s="107" t="s">
        <v>140</v>
      </c>
      <c r="B513" s="107" t="s">
        <v>141</v>
      </c>
      <c r="C513" s="107" t="s">
        <v>142</v>
      </c>
      <c r="D513" s="68" t="s">
        <v>417</v>
      </c>
      <c r="G513" t="s">
        <v>435</v>
      </c>
      <c r="H513" s="67">
        <v>44561</v>
      </c>
      <c r="J513" s="73"/>
      <c r="K513" s="74"/>
      <c r="L513" s="73"/>
      <c r="M513" s="74"/>
      <c r="N513" s="73"/>
      <c r="O513" s="74"/>
    </row>
    <row r="514" spans="1:15">
      <c r="A514" s="107"/>
      <c r="B514" s="107"/>
      <c r="C514" s="107"/>
      <c r="D514" s="68" t="s">
        <v>418</v>
      </c>
      <c r="E514" t="s">
        <v>419</v>
      </c>
      <c r="G514" t="s">
        <v>435</v>
      </c>
      <c r="H514" s="67">
        <v>44561</v>
      </c>
      <c r="J514" s="73"/>
      <c r="K514" s="74"/>
      <c r="L514" s="73"/>
      <c r="M514" s="74"/>
      <c r="N514" s="73"/>
      <c r="O514" s="74"/>
    </row>
    <row r="515" spans="1:15">
      <c r="A515" s="107"/>
      <c r="B515" s="107"/>
      <c r="C515" s="107"/>
      <c r="D515" s="68" t="s">
        <v>420</v>
      </c>
      <c r="E515" t="s">
        <v>419</v>
      </c>
      <c r="G515" t="s">
        <v>435</v>
      </c>
      <c r="H515" s="67">
        <v>44561</v>
      </c>
      <c r="J515" s="73"/>
      <c r="K515" s="74"/>
      <c r="L515" s="73"/>
      <c r="M515" s="74"/>
      <c r="N515" s="73"/>
      <c r="O515" s="74"/>
    </row>
    <row r="516" spans="1:15">
      <c r="A516" s="107"/>
      <c r="B516" s="107"/>
      <c r="C516" s="107"/>
      <c r="D516" s="68" t="s">
        <v>421</v>
      </c>
      <c r="E516" t="s">
        <v>422</v>
      </c>
      <c r="G516" t="s">
        <v>435</v>
      </c>
      <c r="H516" s="67">
        <v>44561</v>
      </c>
      <c r="J516" s="73"/>
      <c r="K516" s="74"/>
      <c r="L516" s="73"/>
      <c r="M516" s="74"/>
      <c r="N516" s="73"/>
      <c r="O516" s="74"/>
    </row>
    <row r="517" spans="1:15">
      <c r="A517" s="107"/>
      <c r="B517" s="107"/>
      <c r="C517" s="107"/>
      <c r="D517" s="68" t="s">
        <v>423</v>
      </c>
      <c r="G517" t="s">
        <v>63</v>
      </c>
      <c r="H517" s="67">
        <v>44561</v>
      </c>
      <c r="J517" s="73"/>
      <c r="K517" s="74"/>
      <c r="L517" s="73"/>
      <c r="M517" s="74"/>
      <c r="N517" s="73"/>
      <c r="O517" s="74"/>
    </row>
    <row r="518" spans="1:15">
      <c r="A518" s="107"/>
      <c r="B518" s="107"/>
      <c r="C518" s="107"/>
      <c r="D518" s="68" t="s">
        <v>424</v>
      </c>
      <c r="H518" s="67"/>
      <c r="J518" s="73"/>
      <c r="K518" s="74"/>
      <c r="L518" s="73"/>
      <c r="M518" s="74"/>
      <c r="N518" s="73"/>
      <c r="O518" s="102" t="s">
        <v>514</v>
      </c>
    </row>
    <row r="519" spans="1:15">
      <c r="A519" s="107" t="s">
        <v>143</v>
      </c>
      <c r="B519" s="107" t="s">
        <v>144</v>
      </c>
      <c r="C519" s="107" t="s">
        <v>145</v>
      </c>
      <c r="D519" s="68" t="s">
        <v>417</v>
      </c>
      <c r="G519" t="s">
        <v>435</v>
      </c>
      <c r="H519" s="67">
        <v>44561</v>
      </c>
      <c r="J519" s="73">
        <v>35.143399275736499</v>
      </c>
      <c r="K519" s="74">
        <v>32.270603331565901</v>
      </c>
      <c r="L519" s="73">
        <v>30.548667622949999</v>
      </c>
      <c r="M519" s="74">
        <v>26.749411150191399</v>
      </c>
      <c r="N519" s="73">
        <v>24.402943213709602</v>
      </c>
      <c r="O519" s="74"/>
    </row>
    <row r="520" spans="1:15">
      <c r="A520" s="107"/>
      <c r="B520" s="107"/>
      <c r="C520" s="107"/>
      <c r="D520" s="68" t="s">
        <v>418</v>
      </c>
      <c r="E520" t="s">
        <v>419</v>
      </c>
      <c r="G520" t="s">
        <v>435</v>
      </c>
      <c r="H520" s="67">
        <v>44561</v>
      </c>
      <c r="J520" s="73">
        <v>0</v>
      </c>
      <c r="K520" s="74">
        <v>0</v>
      </c>
      <c r="L520" s="73">
        <v>0</v>
      </c>
      <c r="M520" s="74">
        <v>0</v>
      </c>
      <c r="N520" s="73">
        <v>0</v>
      </c>
      <c r="O520" s="74"/>
    </row>
    <row r="521" spans="1:15">
      <c r="A521" s="107"/>
      <c r="B521" s="107"/>
      <c r="C521" s="107"/>
      <c r="D521" s="68" t="s">
        <v>420</v>
      </c>
      <c r="E521" t="s">
        <v>419</v>
      </c>
      <c r="G521" t="s">
        <v>435</v>
      </c>
      <c r="H521" s="67">
        <v>44561</v>
      </c>
      <c r="J521" s="73">
        <v>35.143399275736499</v>
      </c>
      <c r="K521" s="74">
        <v>32.270603331565901</v>
      </c>
      <c r="L521" s="73">
        <v>30.548667622949999</v>
      </c>
      <c r="M521" s="74">
        <v>26.749411150191399</v>
      </c>
      <c r="N521" s="73">
        <v>24.402943213709602</v>
      </c>
      <c r="O521" s="74"/>
    </row>
    <row r="522" spans="1:15">
      <c r="A522" s="107"/>
      <c r="B522" s="107"/>
      <c r="C522" s="107"/>
      <c r="D522" s="68" t="s">
        <v>421</v>
      </c>
      <c r="E522" t="s">
        <v>422</v>
      </c>
      <c r="G522" t="s">
        <v>435</v>
      </c>
      <c r="H522" s="67">
        <v>44561</v>
      </c>
      <c r="J522" s="73"/>
      <c r="K522" s="74"/>
      <c r="L522" s="73"/>
      <c r="M522" s="74"/>
      <c r="N522" s="73"/>
      <c r="O522" s="74"/>
    </row>
    <row r="523" spans="1:15">
      <c r="A523" s="107"/>
      <c r="B523" s="107"/>
      <c r="C523" s="107"/>
      <c r="D523" s="68" t="s">
        <v>423</v>
      </c>
      <c r="G523" t="s">
        <v>63</v>
      </c>
      <c r="H523" s="67">
        <v>44561</v>
      </c>
      <c r="J523" s="73">
        <v>44.026084980599997</v>
      </c>
      <c r="K523" s="74">
        <v>43.611918605100001</v>
      </c>
      <c r="L523" s="73">
        <v>40.625634925699998</v>
      </c>
      <c r="M523" s="74">
        <v>37.623516467499996</v>
      </c>
      <c r="N523" s="73">
        <v>35.892610833500001</v>
      </c>
      <c r="O523" s="74"/>
    </row>
    <row r="524" spans="1:15">
      <c r="A524" s="107"/>
      <c r="B524" s="107"/>
      <c r="C524" s="107"/>
      <c r="D524" s="68" t="s">
        <v>424</v>
      </c>
      <c r="H524" s="67"/>
      <c r="J524" s="73"/>
      <c r="K524" s="74"/>
      <c r="L524" s="73"/>
      <c r="M524" s="74"/>
      <c r="N524" s="73"/>
      <c r="O524" s="74" t="s">
        <v>646</v>
      </c>
    </row>
    <row r="525" spans="1:15">
      <c r="A525" s="107" t="s">
        <v>146</v>
      </c>
      <c r="B525" s="107" t="s">
        <v>147</v>
      </c>
      <c r="C525" s="107" t="s">
        <v>148</v>
      </c>
      <c r="D525" s="68" t="s">
        <v>417</v>
      </c>
      <c r="G525" t="s">
        <v>435</v>
      </c>
      <c r="H525" s="67">
        <v>44561</v>
      </c>
      <c r="J525" s="73">
        <v>0.54127068994473704</v>
      </c>
      <c r="K525" s="74">
        <v>0.38852905220415002</v>
      </c>
      <c r="L525" s="73">
        <v>3.4941452190248999E-3</v>
      </c>
      <c r="M525" s="74">
        <v>2.212864871423E-4</v>
      </c>
      <c r="N525" s="73">
        <v>3.6851314504339998E-4</v>
      </c>
      <c r="O525" s="74"/>
    </row>
    <row r="526" spans="1:15">
      <c r="A526" s="107"/>
      <c r="B526" s="107"/>
      <c r="C526" s="107"/>
      <c r="D526" s="68" t="s">
        <v>418</v>
      </c>
      <c r="E526" t="s">
        <v>419</v>
      </c>
      <c r="G526" t="s">
        <v>435</v>
      </c>
      <c r="H526" s="67">
        <v>44561</v>
      </c>
      <c r="J526" s="73">
        <v>0</v>
      </c>
      <c r="K526" s="74">
        <v>0</v>
      </c>
      <c r="L526" s="73">
        <v>0</v>
      </c>
      <c r="M526" s="74">
        <v>0</v>
      </c>
      <c r="N526" s="73">
        <v>0</v>
      </c>
      <c r="O526" s="74"/>
    </row>
    <row r="527" spans="1:15">
      <c r="A527" s="107"/>
      <c r="B527" s="107"/>
      <c r="C527" s="107"/>
      <c r="D527" s="68" t="s">
        <v>420</v>
      </c>
      <c r="E527" t="s">
        <v>419</v>
      </c>
      <c r="G527" t="s">
        <v>435</v>
      </c>
      <c r="H527" s="67">
        <v>44561</v>
      </c>
      <c r="J527" s="73">
        <v>0.54127068994473704</v>
      </c>
      <c r="K527" s="74">
        <v>0.38852905220415002</v>
      </c>
      <c r="L527" s="73">
        <v>3.4941452190248999E-3</v>
      </c>
      <c r="M527" s="74">
        <v>2.212864871423E-4</v>
      </c>
      <c r="N527" s="73">
        <v>3.6851314504339998E-4</v>
      </c>
      <c r="O527" s="74"/>
    </row>
    <row r="528" spans="1:15">
      <c r="A528" s="107"/>
      <c r="B528" s="107"/>
      <c r="C528" s="107"/>
      <c r="D528" s="68" t="s">
        <v>421</v>
      </c>
      <c r="E528" t="s">
        <v>422</v>
      </c>
      <c r="G528" t="s">
        <v>435</v>
      </c>
      <c r="H528" s="67">
        <v>44561</v>
      </c>
      <c r="J528" s="73"/>
      <c r="K528" s="74"/>
      <c r="L528" s="73"/>
      <c r="M528" s="74"/>
      <c r="N528" s="73"/>
      <c r="O528" s="74"/>
    </row>
    <row r="529" spans="1:15">
      <c r="A529" s="107"/>
      <c r="B529" s="107"/>
      <c r="C529" s="107"/>
      <c r="D529" s="68" t="s">
        <v>423</v>
      </c>
      <c r="G529" t="s">
        <v>63</v>
      </c>
      <c r="H529" s="67">
        <v>44561</v>
      </c>
      <c r="J529" s="73">
        <v>1.0800586419061999</v>
      </c>
      <c r="K529" s="74">
        <v>0.99355118802682396</v>
      </c>
      <c r="L529" s="73">
        <v>1.74436112E-2</v>
      </c>
      <c r="M529" s="74">
        <v>6.0743841799999997E-2</v>
      </c>
      <c r="N529" s="73">
        <v>8.1134556999999996E-2</v>
      </c>
      <c r="O529" s="74"/>
    </row>
    <row r="530" spans="1:15">
      <c r="A530" s="107"/>
      <c r="B530" s="107"/>
      <c r="C530" s="107"/>
      <c r="D530" s="68" t="s">
        <v>424</v>
      </c>
      <c r="H530" s="67"/>
      <c r="J530" s="73"/>
      <c r="K530" s="74"/>
      <c r="L530" s="73"/>
      <c r="M530" s="74"/>
      <c r="N530" s="73"/>
      <c r="O530" s="74"/>
    </row>
    <row r="531" spans="1:15">
      <c r="A531" s="107" t="s">
        <v>149</v>
      </c>
      <c r="B531" s="107" t="s">
        <v>150</v>
      </c>
      <c r="C531" s="107" t="s">
        <v>151</v>
      </c>
      <c r="D531" s="68" t="s">
        <v>417</v>
      </c>
      <c r="G531" t="s">
        <v>434</v>
      </c>
      <c r="H531" s="67">
        <v>44561</v>
      </c>
      <c r="J531" s="73">
        <v>9723000</v>
      </c>
      <c r="K531" s="74">
        <v>9532000</v>
      </c>
      <c r="L531" s="73">
        <v>8841000</v>
      </c>
      <c r="M531" s="74">
        <v>8566000</v>
      </c>
      <c r="N531" s="73">
        <v>8493000</v>
      </c>
      <c r="O531" s="74"/>
    </row>
    <row r="532" spans="1:15">
      <c r="A532" s="107"/>
      <c r="B532" s="107"/>
      <c r="C532" s="107"/>
      <c r="D532" s="68" t="s">
        <v>418</v>
      </c>
      <c r="E532" t="s">
        <v>419</v>
      </c>
      <c r="G532" t="s">
        <v>434</v>
      </c>
      <c r="H532" s="67">
        <v>44561</v>
      </c>
      <c r="J532" s="73">
        <v>7061000</v>
      </c>
      <c r="K532" s="74">
        <v>17693000</v>
      </c>
      <c r="L532" s="73">
        <v>21022000</v>
      </c>
      <c r="M532" s="74">
        <v>18864000</v>
      </c>
      <c r="N532" s="73">
        <v>13720000</v>
      </c>
      <c r="O532" s="74"/>
    </row>
    <row r="533" spans="1:15">
      <c r="A533" s="107"/>
      <c r="B533" s="107"/>
      <c r="C533" s="107"/>
      <c r="D533" s="68" t="s">
        <v>420</v>
      </c>
      <c r="E533" t="s">
        <v>419</v>
      </c>
      <c r="G533" t="s">
        <v>434</v>
      </c>
      <c r="H533" s="67">
        <v>44561</v>
      </c>
      <c r="J533" s="73">
        <v>16784000</v>
      </c>
      <c r="K533" s="74">
        <v>27225000</v>
      </c>
      <c r="L533" s="73">
        <v>29863000</v>
      </c>
      <c r="M533" s="74">
        <v>27430000</v>
      </c>
      <c r="N533" s="73">
        <v>22213000</v>
      </c>
      <c r="O533" s="74"/>
    </row>
    <row r="534" spans="1:15">
      <c r="A534" s="107"/>
      <c r="B534" s="107"/>
      <c r="C534" s="107"/>
      <c r="D534" s="68" t="s">
        <v>421</v>
      </c>
      <c r="E534" t="s">
        <v>422</v>
      </c>
      <c r="G534" t="s">
        <v>434</v>
      </c>
      <c r="H534" s="67">
        <v>44561</v>
      </c>
      <c r="J534" s="73"/>
      <c r="K534" s="74"/>
      <c r="L534" s="73"/>
      <c r="M534" s="74"/>
      <c r="N534" s="73"/>
      <c r="O534" s="74"/>
    </row>
    <row r="535" spans="1:15">
      <c r="A535" s="107"/>
      <c r="B535" s="107"/>
      <c r="C535" s="107"/>
      <c r="D535" s="68" t="s">
        <v>423</v>
      </c>
      <c r="G535" t="s">
        <v>82</v>
      </c>
      <c r="H535" s="67">
        <v>44561</v>
      </c>
      <c r="J535" s="73">
        <v>186212000</v>
      </c>
      <c r="K535" s="74">
        <v>246902000</v>
      </c>
      <c r="L535" s="73">
        <v>253274000</v>
      </c>
      <c r="M535" s="74">
        <v>259171000</v>
      </c>
      <c r="N535" s="73">
        <v>181369000</v>
      </c>
      <c r="O535" s="74"/>
    </row>
    <row r="536" spans="1:15">
      <c r="A536" s="107"/>
      <c r="B536" s="107"/>
      <c r="C536" s="107"/>
      <c r="D536" s="68" t="s">
        <v>424</v>
      </c>
      <c r="H536" s="67"/>
      <c r="J536" s="73"/>
      <c r="K536" s="74"/>
      <c r="L536" s="73"/>
      <c r="M536" s="74"/>
      <c r="N536" s="73"/>
      <c r="O536" s="74"/>
    </row>
    <row r="537" spans="1:15">
      <c r="A537" s="107" t="s">
        <v>149</v>
      </c>
      <c r="B537" s="107" t="s">
        <v>150</v>
      </c>
      <c r="C537" s="107" t="s">
        <v>151</v>
      </c>
      <c r="D537" s="68" t="s">
        <v>420</v>
      </c>
      <c r="E537" t="s">
        <v>419</v>
      </c>
      <c r="G537" t="s">
        <v>434</v>
      </c>
      <c r="H537" s="67">
        <v>44377</v>
      </c>
      <c r="J537" s="73"/>
      <c r="K537" s="74"/>
      <c r="L537" s="73"/>
      <c r="M537" s="74">
        <v>5800</v>
      </c>
      <c r="N537" s="73">
        <v>5052</v>
      </c>
      <c r="O537" s="74">
        <v>5335</v>
      </c>
    </row>
    <row r="538" spans="1:15">
      <c r="A538" s="107"/>
      <c r="B538" s="107"/>
      <c r="C538" s="107"/>
      <c r="D538" s="68" t="s">
        <v>420</v>
      </c>
      <c r="E538" t="s">
        <v>426</v>
      </c>
      <c r="G538" t="s">
        <v>434</v>
      </c>
      <c r="H538" s="67">
        <v>44377</v>
      </c>
      <c r="J538" s="73"/>
      <c r="K538" s="74"/>
      <c r="L538" s="73"/>
      <c r="M538" s="74">
        <v>6108</v>
      </c>
      <c r="N538" s="73">
        <v>5428</v>
      </c>
      <c r="O538" s="74">
        <v>5749</v>
      </c>
    </row>
    <row r="539" spans="1:15">
      <c r="A539" s="107"/>
      <c r="B539" s="107"/>
      <c r="C539" s="107"/>
      <c r="D539" s="68" t="s">
        <v>421</v>
      </c>
      <c r="E539">
        <v>11</v>
      </c>
      <c r="G539" t="s">
        <v>434</v>
      </c>
      <c r="H539" s="67">
        <v>44377</v>
      </c>
      <c r="J539" s="73"/>
      <c r="K539" s="74"/>
      <c r="L539" s="73"/>
      <c r="M539" s="74">
        <v>86962</v>
      </c>
      <c r="N539" s="73">
        <v>79484</v>
      </c>
      <c r="O539" s="74">
        <v>86934</v>
      </c>
    </row>
    <row r="540" spans="1:15">
      <c r="A540" s="107"/>
      <c r="B540" s="107"/>
      <c r="C540" s="107"/>
      <c r="D540" s="68" t="s">
        <v>423</v>
      </c>
      <c r="G540" t="s">
        <v>82</v>
      </c>
      <c r="H540" s="67">
        <v>44377</v>
      </c>
      <c r="J540" s="73"/>
      <c r="K540" s="74"/>
      <c r="L540" s="73"/>
      <c r="M540" s="74">
        <v>259171000</v>
      </c>
      <c r="N540" s="73">
        <v>181369000</v>
      </c>
      <c r="O540" s="74"/>
    </row>
    <row r="541" spans="1:15">
      <c r="A541" s="107"/>
      <c r="B541" s="107"/>
      <c r="C541" s="107"/>
      <c r="D541" s="68" t="s">
        <v>424</v>
      </c>
      <c r="H541" s="67">
        <v>44377</v>
      </c>
      <c r="J541" s="73"/>
      <c r="K541" s="74"/>
      <c r="L541" s="73"/>
      <c r="M541" s="74"/>
      <c r="N541" s="73"/>
      <c r="O541" s="76" t="s">
        <v>647</v>
      </c>
    </row>
    <row r="542" spans="1:15">
      <c r="A542" s="107" t="s">
        <v>152</v>
      </c>
      <c r="B542" s="107" t="s">
        <v>153</v>
      </c>
      <c r="C542" s="107" t="s">
        <v>154</v>
      </c>
      <c r="D542" s="68" t="s">
        <v>417</v>
      </c>
      <c r="G542" t="s">
        <v>435</v>
      </c>
      <c r="H542" s="67">
        <v>44561</v>
      </c>
      <c r="J542" s="73">
        <v>117</v>
      </c>
      <c r="K542" s="74">
        <v>115</v>
      </c>
      <c r="L542" s="73">
        <v>116</v>
      </c>
      <c r="M542" s="74">
        <v>111</v>
      </c>
      <c r="N542" s="73">
        <v>105</v>
      </c>
      <c r="O542" s="74">
        <v>103</v>
      </c>
    </row>
    <row r="543" spans="1:15">
      <c r="A543" s="107"/>
      <c r="B543" s="107"/>
      <c r="C543" s="107"/>
      <c r="D543" s="68" t="s">
        <v>418</v>
      </c>
      <c r="E543" t="s">
        <v>419</v>
      </c>
      <c r="G543" t="s">
        <v>435</v>
      </c>
      <c r="H543" s="67">
        <v>44561</v>
      </c>
      <c r="J543" s="73">
        <v>8</v>
      </c>
      <c r="K543" s="74">
        <v>8</v>
      </c>
      <c r="L543" s="73">
        <v>8</v>
      </c>
      <c r="M543" s="74">
        <v>8</v>
      </c>
      <c r="N543" s="73">
        <v>7</v>
      </c>
      <c r="O543" s="74">
        <v>6</v>
      </c>
    </row>
    <row r="544" spans="1:15">
      <c r="A544" s="107"/>
      <c r="B544" s="107"/>
      <c r="C544" s="107"/>
      <c r="D544" s="68" t="s">
        <v>420</v>
      </c>
      <c r="E544" t="s">
        <v>419</v>
      </c>
      <c r="G544" t="s">
        <v>435</v>
      </c>
      <c r="H544" s="67">
        <v>44561</v>
      </c>
      <c r="J544" s="73">
        <v>125</v>
      </c>
      <c r="K544" s="74">
        <v>123</v>
      </c>
      <c r="L544" s="73">
        <v>124</v>
      </c>
      <c r="M544" s="74">
        <v>119</v>
      </c>
      <c r="N544" s="73">
        <v>112</v>
      </c>
      <c r="O544" s="74">
        <v>109</v>
      </c>
    </row>
    <row r="545" spans="1:15">
      <c r="A545" s="107"/>
      <c r="B545" s="107"/>
      <c r="C545" s="107"/>
      <c r="D545" s="68" t="s">
        <v>421</v>
      </c>
      <c r="E545" t="s">
        <v>422</v>
      </c>
      <c r="G545" t="s">
        <v>435</v>
      </c>
      <c r="H545" s="67">
        <v>44561</v>
      </c>
      <c r="J545" s="73">
        <v>636.11834999999996</v>
      </c>
      <c r="K545" s="74">
        <v>625.44574999999998</v>
      </c>
      <c r="L545" s="73">
        <v>601.58934999999997</v>
      </c>
      <c r="M545" s="74">
        <v>620.26639999999998</v>
      </c>
      <c r="N545" s="73">
        <v>590.28895</v>
      </c>
      <c r="O545" s="74">
        <v>582.59839999999997</v>
      </c>
    </row>
    <row r="546" spans="1:15">
      <c r="A546" s="107"/>
      <c r="B546" s="107"/>
      <c r="C546" s="107"/>
      <c r="D546" s="68" t="s">
        <v>423</v>
      </c>
      <c r="G546" t="s">
        <v>155</v>
      </c>
      <c r="H546" s="67">
        <v>44561</v>
      </c>
      <c r="J546" s="73">
        <v>1479345</v>
      </c>
      <c r="K546" s="74">
        <v>1454525</v>
      </c>
      <c r="L546" s="73">
        <v>1399045</v>
      </c>
      <c r="M546" s="74">
        <v>1442480</v>
      </c>
      <c r="N546" s="73">
        <v>1372765</v>
      </c>
      <c r="O546" s="74">
        <v>1354880</v>
      </c>
    </row>
    <row r="547" spans="1:15">
      <c r="A547" s="107"/>
      <c r="B547" s="107"/>
      <c r="C547" s="107"/>
      <c r="D547" s="68" t="s">
        <v>424</v>
      </c>
      <c r="H547" s="67"/>
      <c r="J547" s="73"/>
      <c r="K547" s="74"/>
      <c r="L547" s="73"/>
      <c r="M547" s="74"/>
      <c r="N547" s="73"/>
      <c r="O547" s="74"/>
    </row>
    <row r="548" spans="1:15">
      <c r="A548" s="107" t="s">
        <v>156</v>
      </c>
      <c r="B548" s="107" t="s">
        <v>157</v>
      </c>
      <c r="C548" s="107" t="s">
        <v>158</v>
      </c>
      <c r="D548" s="68" t="s">
        <v>417</v>
      </c>
      <c r="G548" t="s">
        <v>434</v>
      </c>
      <c r="H548" s="67">
        <v>44561</v>
      </c>
      <c r="J548" s="73"/>
      <c r="K548" s="74">
        <v>42354899</v>
      </c>
      <c r="L548" s="73">
        <v>32748805</v>
      </c>
      <c r="M548" s="74">
        <v>17935528</v>
      </c>
      <c r="N548" s="73">
        <v>14519279</v>
      </c>
      <c r="O548" s="74"/>
    </row>
    <row r="549" spans="1:15">
      <c r="A549" s="107"/>
      <c r="B549" s="107"/>
      <c r="C549" s="107"/>
      <c r="D549" s="68" t="s">
        <v>418</v>
      </c>
      <c r="E549" t="s">
        <v>419</v>
      </c>
      <c r="G549" t="s">
        <v>434</v>
      </c>
      <c r="H549" s="67">
        <v>44561</v>
      </c>
      <c r="J549" s="73"/>
      <c r="K549" s="74">
        <v>18079772</v>
      </c>
      <c r="L549" s="73">
        <v>20223892</v>
      </c>
      <c r="M549" s="74">
        <v>31927583</v>
      </c>
      <c r="N549" s="73">
        <v>28230946</v>
      </c>
      <c r="O549" s="74"/>
    </row>
    <row r="550" spans="1:15">
      <c r="A550" s="107"/>
      <c r="B550" s="107"/>
      <c r="C550" s="107"/>
      <c r="D550" s="68" t="s">
        <v>420</v>
      </c>
      <c r="E550" t="s">
        <v>419</v>
      </c>
      <c r="G550" t="s">
        <v>434</v>
      </c>
      <c r="H550" s="67">
        <v>44561</v>
      </c>
      <c r="J550" s="73"/>
      <c r="K550" s="74">
        <v>60434671</v>
      </c>
      <c r="L550" s="73">
        <v>52972697</v>
      </c>
      <c r="M550" s="74">
        <v>49863111</v>
      </c>
      <c r="N550" s="73">
        <v>42750225</v>
      </c>
      <c r="O550" s="74"/>
    </row>
    <row r="551" spans="1:15">
      <c r="A551" s="107"/>
      <c r="B551" s="107"/>
      <c r="C551" s="107"/>
      <c r="D551" s="68" t="s">
        <v>421</v>
      </c>
      <c r="E551" t="s">
        <v>422</v>
      </c>
      <c r="G551" t="s">
        <v>434</v>
      </c>
      <c r="H551" s="67">
        <v>44561</v>
      </c>
      <c r="J551" s="73"/>
      <c r="K551" s="74"/>
      <c r="L551" s="73"/>
      <c r="M551" s="74"/>
      <c r="N551" s="73"/>
      <c r="O551" s="74"/>
    </row>
    <row r="552" spans="1:15">
      <c r="A552" s="107"/>
      <c r="B552" s="107"/>
      <c r="C552" s="107"/>
      <c r="D552" s="68" t="s">
        <v>423</v>
      </c>
      <c r="G552" t="s">
        <v>82</v>
      </c>
      <c r="H552" s="67">
        <v>44561</v>
      </c>
      <c r="J552" s="73"/>
      <c r="K552" s="74">
        <v>116315158</v>
      </c>
      <c r="L552" s="73">
        <v>109322672</v>
      </c>
      <c r="M552" s="74">
        <v>65313409</v>
      </c>
      <c r="N552" s="73">
        <v>61496572</v>
      </c>
      <c r="O552" s="74"/>
    </row>
    <row r="553" spans="1:15">
      <c r="A553" s="107"/>
      <c r="B553" s="107"/>
      <c r="C553" s="107"/>
      <c r="D553" s="68" t="s">
        <v>424</v>
      </c>
      <c r="H553" s="67"/>
      <c r="J553" s="73"/>
      <c r="K553" s="74"/>
      <c r="L553" s="73"/>
      <c r="M553" s="74"/>
      <c r="N553" s="73"/>
      <c r="O553" s="74"/>
    </row>
    <row r="554" spans="1:15">
      <c r="A554" s="107" t="s">
        <v>156</v>
      </c>
      <c r="B554" s="107" t="s">
        <v>157</v>
      </c>
      <c r="C554" s="107" t="s">
        <v>158</v>
      </c>
      <c r="D554" s="68" t="s">
        <v>417</v>
      </c>
      <c r="E554" t="s">
        <v>588</v>
      </c>
      <c r="G554" t="s">
        <v>434</v>
      </c>
      <c r="H554" s="67">
        <v>44764</v>
      </c>
      <c r="J554" s="73"/>
      <c r="K554" s="74"/>
      <c r="L554" s="73"/>
      <c r="M554" s="74"/>
      <c r="N554" s="73">
        <v>14519279</v>
      </c>
      <c r="O554" s="74">
        <v>15785373</v>
      </c>
    </row>
    <row r="555" spans="1:15">
      <c r="A555" s="107"/>
      <c r="B555" s="107"/>
      <c r="C555" s="107"/>
      <c r="D555" s="68" t="s">
        <v>417</v>
      </c>
      <c r="E555" t="s">
        <v>493</v>
      </c>
      <c r="G555" t="s">
        <v>434</v>
      </c>
      <c r="H555" s="67">
        <v>44764</v>
      </c>
      <c r="J555" s="73"/>
      <c r="K555" s="74"/>
      <c r="L555" s="73"/>
      <c r="M555" s="74"/>
      <c r="N555" s="73">
        <v>28230946</v>
      </c>
      <c r="O555" s="74">
        <v>30262689</v>
      </c>
    </row>
    <row r="556" spans="1:15">
      <c r="A556" s="107"/>
      <c r="B556" s="107"/>
      <c r="C556" s="107"/>
      <c r="D556" s="68" t="s">
        <v>417</v>
      </c>
      <c r="E556" t="s">
        <v>430</v>
      </c>
      <c r="G556" t="s">
        <v>434</v>
      </c>
      <c r="H556" s="67">
        <v>44764</v>
      </c>
      <c r="J556" s="73"/>
      <c r="K556" s="74"/>
      <c r="L556" s="73"/>
      <c r="M556" s="74"/>
      <c r="N556" s="73">
        <v>32992310</v>
      </c>
      <c r="O556" s="74">
        <v>46048062</v>
      </c>
    </row>
    <row r="557" spans="1:15">
      <c r="A557" s="107"/>
      <c r="B557" s="107"/>
      <c r="C557" s="107"/>
      <c r="D557" s="68" t="s">
        <v>423</v>
      </c>
      <c r="E557" t="s">
        <v>430</v>
      </c>
      <c r="G557" t="s">
        <v>82</v>
      </c>
      <c r="H557" s="67">
        <v>44764</v>
      </c>
      <c r="J557" s="73"/>
      <c r="K557" s="74"/>
      <c r="L557" s="73"/>
      <c r="M557" s="74"/>
      <c r="N557" s="73">
        <v>61496572</v>
      </c>
      <c r="O557" s="74">
        <v>64214391</v>
      </c>
    </row>
    <row r="558" spans="1:15">
      <c r="A558" s="107"/>
      <c r="B558" s="107"/>
      <c r="C558" s="107"/>
      <c r="D558" s="68" t="s">
        <v>423</v>
      </c>
      <c r="E558" t="s">
        <v>588</v>
      </c>
      <c r="G558" t="s">
        <v>82</v>
      </c>
      <c r="H558" s="67">
        <v>44764</v>
      </c>
      <c r="J558" s="73"/>
      <c r="K558" s="74"/>
      <c r="L558" s="73"/>
      <c r="M558" s="74"/>
      <c r="N558" s="73">
        <v>15953647</v>
      </c>
      <c r="O558" s="74">
        <v>16702649</v>
      </c>
    </row>
    <row r="559" spans="1:15">
      <c r="A559" s="107"/>
      <c r="B559" s="107"/>
      <c r="C559" s="107"/>
      <c r="D559" s="68" t="s">
        <v>423</v>
      </c>
      <c r="E559" t="s">
        <v>493</v>
      </c>
      <c r="G559" t="s">
        <v>82</v>
      </c>
      <c r="H559" s="67">
        <v>44764</v>
      </c>
      <c r="J559" s="73"/>
      <c r="K559" s="74"/>
      <c r="L559" s="73"/>
      <c r="M559" s="74"/>
      <c r="N559" s="73">
        <v>45634720</v>
      </c>
      <c r="O559" s="74">
        <v>47527068</v>
      </c>
    </row>
    <row r="560" spans="1:15">
      <c r="A560" s="107"/>
      <c r="B560" s="107"/>
      <c r="C560" s="107"/>
      <c r="D560" s="68" t="s">
        <v>424</v>
      </c>
      <c r="H560" s="67"/>
      <c r="J560" s="73"/>
      <c r="K560" s="74"/>
      <c r="L560" s="73"/>
      <c r="M560" s="74"/>
      <c r="N560" s="73"/>
      <c r="O560" s="76" t="s">
        <v>651</v>
      </c>
    </row>
    <row r="561" spans="1:15">
      <c r="A561" s="107" t="s">
        <v>159</v>
      </c>
      <c r="B561" s="107" t="s">
        <v>160</v>
      </c>
      <c r="C561" s="107" t="s">
        <v>161</v>
      </c>
      <c r="D561" s="68" t="s">
        <v>417</v>
      </c>
      <c r="G561" t="s">
        <v>433</v>
      </c>
      <c r="H561" s="67">
        <v>44561</v>
      </c>
      <c r="J561" s="73"/>
      <c r="K561" s="74"/>
      <c r="L561" s="73">
        <v>1442.963</v>
      </c>
      <c r="M561" s="74">
        <v>1418.056</v>
      </c>
      <c r="N561" s="73">
        <v>1129.402</v>
      </c>
      <c r="O561" s="74">
        <v>910</v>
      </c>
    </row>
    <row r="562" spans="1:15">
      <c r="A562" s="107"/>
      <c r="B562" s="107"/>
      <c r="C562" s="107"/>
      <c r="D562" s="68" t="s">
        <v>418</v>
      </c>
      <c r="E562" t="s">
        <v>419</v>
      </c>
      <c r="G562" t="s">
        <v>433</v>
      </c>
      <c r="H562" s="67">
        <v>44561</v>
      </c>
      <c r="J562" s="73"/>
      <c r="K562" s="74"/>
      <c r="L562" s="73">
        <v>3219.7159999999999</v>
      </c>
      <c r="M562" s="74">
        <v>3040.2930000000001</v>
      </c>
      <c r="N562" s="73">
        <v>2473.2730000000001</v>
      </c>
      <c r="O562" s="74">
        <v>1680</v>
      </c>
    </row>
    <row r="563" spans="1:15">
      <c r="A563" s="107"/>
      <c r="B563" s="107"/>
      <c r="C563" s="107"/>
      <c r="D563" s="68" t="s">
        <v>420</v>
      </c>
      <c r="E563" t="s">
        <v>419</v>
      </c>
      <c r="G563" t="s">
        <v>433</v>
      </c>
      <c r="H563" s="67">
        <v>44561</v>
      </c>
      <c r="J563" s="73"/>
      <c r="K563" s="74"/>
      <c r="L563" s="73">
        <v>4662.6790000000001</v>
      </c>
      <c r="M563" s="74">
        <v>4458.3490000000002</v>
      </c>
      <c r="N563" s="73">
        <v>3602.6750000000002</v>
      </c>
      <c r="O563" s="74">
        <v>2590</v>
      </c>
    </row>
    <row r="564" spans="1:15">
      <c r="A564" s="107"/>
      <c r="B564" s="107"/>
      <c r="C564" s="107"/>
      <c r="D564" s="68" t="s">
        <v>421</v>
      </c>
      <c r="E564" t="s">
        <v>422</v>
      </c>
      <c r="G564" t="s">
        <v>433</v>
      </c>
      <c r="H564" s="67">
        <v>44561</v>
      </c>
      <c r="J564" s="73"/>
      <c r="K564" s="74"/>
      <c r="L564" s="73">
        <v>398915.81</v>
      </c>
      <c r="M564" s="74">
        <v>435144.43800000002</v>
      </c>
      <c r="N564" s="73">
        <v>349281.99200000003</v>
      </c>
      <c r="O564" s="74">
        <v>349281.99200000003</v>
      </c>
    </row>
    <row r="565" spans="1:15">
      <c r="A565" s="107"/>
      <c r="B565" s="107"/>
      <c r="C565" s="107"/>
      <c r="D565" s="68" t="s">
        <v>423</v>
      </c>
      <c r="G565" t="s">
        <v>162</v>
      </c>
      <c r="H565" s="67">
        <v>44561</v>
      </c>
      <c r="J565" s="73"/>
      <c r="K565" s="74"/>
      <c r="L565" s="73"/>
      <c r="M565" s="74">
        <v>1577.2225584466021</v>
      </c>
      <c r="N565" s="73">
        <v>1299.6539237209299</v>
      </c>
      <c r="O565" s="74">
        <v>1353.618792525951</v>
      </c>
    </row>
    <row r="566" spans="1:15">
      <c r="A566" s="107"/>
      <c r="B566" s="107"/>
      <c r="C566" s="107"/>
      <c r="D566" s="68" t="s">
        <v>424</v>
      </c>
      <c r="H566" s="67"/>
      <c r="J566" s="73"/>
      <c r="K566" s="74"/>
      <c r="L566" s="73"/>
      <c r="M566" s="74"/>
      <c r="N566" s="73"/>
      <c r="O566" s="74"/>
    </row>
    <row r="567" spans="1:15">
      <c r="A567" s="107" t="s">
        <v>163</v>
      </c>
      <c r="B567" s="107" t="s">
        <v>164</v>
      </c>
      <c r="C567" s="107" t="s">
        <v>165</v>
      </c>
      <c r="D567" s="68" t="s">
        <v>417</v>
      </c>
      <c r="G567" t="s">
        <v>434</v>
      </c>
      <c r="H567" s="67">
        <v>44561</v>
      </c>
      <c r="J567" s="73">
        <v>10891000</v>
      </c>
      <c r="K567" s="74">
        <v>10010000</v>
      </c>
      <c r="L567" s="73">
        <v>10818000</v>
      </c>
      <c r="M567" s="74">
        <v>11925000</v>
      </c>
      <c r="N567" s="73">
        <v>10093000</v>
      </c>
      <c r="O567" s="74"/>
    </row>
    <row r="568" spans="1:15">
      <c r="A568" s="107"/>
      <c r="B568" s="107"/>
      <c r="C568" s="107"/>
      <c r="D568" s="68" t="s">
        <v>418</v>
      </c>
      <c r="E568" t="s">
        <v>419</v>
      </c>
      <c r="G568" t="s">
        <v>434</v>
      </c>
      <c r="H568" s="67">
        <v>44561</v>
      </c>
      <c r="J568" s="73">
        <v>3544000</v>
      </c>
      <c r="K568" s="74">
        <v>3848000</v>
      </c>
      <c r="L568" s="73">
        <v>3115000</v>
      </c>
      <c r="M568" s="74">
        <v>2933000</v>
      </c>
      <c r="N568" s="73">
        <v>2487000</v>
      </c>
      <c r="O568" s="74"/>
    </row>
    <row r="569" spans="1:15">
      <c r="A569" s="107"/>
      <c r="B569" s="107"/>
      <c r="C569" s="107"/>
      <c r="D569" s="68" t="s">
        <v>420</v>
      </c>
      <c r="E569" t="s">
        <v>419</v>
      </c>
      <c r="G569" t="s">
        <v>434</v>
      </c>
      <c r="H569" s="67">
        <v>44561</v>
      </c>
      <c r="J569" s="73">
        <v>14435000</v>
      </c>
      <c r="K569" s="74">
        <v>13858000</v>
      </c>
      <c r="L569" s="73">
        <v>13933000</v>
      </c>
      <c r="M569" s="74">
        <v>14858000</v>
      </c>
      <c r="N569" s="73">
        <v>12580000</v>
      </c>
      <c r="O569" s="74"/>
    </row>
    <row r="570" spans="1:15">
      <c r="A570" s="107"/>
      <c r="B570" s="107"/>
      <c r="C570" s="107"/>
      <c r="D570" s="68" t="s">
        <v>421</v>
      </c>
      <c r="E570" t="s">
        <v>422</v>
      </c>
      <c r="G570" t="s">
        <v>434</v>
      </c>
      <c r="H570" s="67">
        <v>44561</v>
      </c>
      <c r="J570" s="73"/>
      <c r="K570" s="74"/>
      <c r="L570" s="73"/>
      <c r="M570" s="74"/>
      <c r="N570" s="73"/>
      <c r="O570" s="74"/>
    </row>
    <row r="571" spans="1:15">
      <c r="A571" s="107"/>
      <c r="B571" s="107"/>
      <c r="C571" s="107"/>
      <c r="D571" s="68" t="s">
        <v>423</v>
      </c>
      <c r="G571" t="s">
        <v>82</v>
      </c>
      <c r="H571" s="67">
        <v>44561</v>
      </c>
      <c r="J571" s="73">
        <v>34298000</v>
      </c>
      <c r="K571" s="74">
        <v>35154000</v>
      </c>
      <c r="L571" s="73">
        <v>37939000</v>
      </c>
      <c r="M571" s="74">
        <v>38220000</v>
      </c>
      <c r="N571" s="73">
        <v>35949000</v>
      </c>
      <c r="O571" s="74"/>
    </row>
    <row r="572" spans="1:15">
      <c r="A572" s="107"/>
      <c r="B572" s="107"/>
      <c r="C572" s="107"/>
      <c r="D572" s="68" t="s">
        <v>424</v>
      </c>
      <c r="H572" s="67"/>
      <c r="J572" s="73"/>
      <c r="K572" s="74"/>
      <c r="L572" s="73"/>
      <c r="M572" s="74"/>
      <c r="N572" s="73"/>
      <c r="O572" s="74"/>
    </row>
    <row r="573" spans="1:15">
      <c r="A573" s="107" t="s">
        <v>167</v>
      </c>
      <c r="B573" s="107" t="s">
        <v>168</v>
      </c>
      <c r="C573" s="107" t="s">
        <v>169</v>
      </c>
      <c r="D573" s="68" t="s">
        <v>417</v>
      </c>
      <c r="G573" t="s">
        <v>434</v>
      </c>
      <c r="H573" s="67">
        <v>44561</v>
      </c>
      <c r="J573" s="73"/>
      <c r="K573" s="74"/>
      <c r="L573" s="73"/>
      <c r="M573" s="74">
        <v>1589700</v>
      </c>
      <c r="N573" s="73">
        <v>1214124</v>
      </c>
      <c r="O573" s="74">
        <v>1252906</v>
      </c>
    </row>
    <row r="574" spans="1:15">
      <c r="A574" s="107"/>
      <c r="B574" s="107"/>
      <c r="C574" s="107"/>
      <c r="D574" s="68" t="s">
        <v>418</v>
      </c>
      <c r="E574" t="s">
        <v>419</v>
      </c>
      <c r="G574" t="s">
        <v>434</v>
      </c>
      <c r="H574" s="67">
        <v>44561</v>
      </c>
      <c r="J574" s="73"/>
      <c r="K574" s="74"/>
      <c r="L574" s="73"/>
      <c r="M574" s="74">
        <v>3721875</v>
      </c>
      <c r="N574" s="73">
        <v>2599822</v>
      </c>
      <c r="O574" s="74">
        <v>2150694</v>
      </c>
    </row>
    <row r="575" spans="1:15">
      <c r="A575" s="107"/>
      <c r="B575" s="107"/>
      <c r="C575" s="107"/>
      <c r="D575" s="68" t="s">
        <v>420</v>
      </c>
      <c r="E575" t="s">
        <v>419</v>
      </c>
      <c r="G575" t="s">
        <v>434</v>
      </c>
      <c r="H575" s="67">
        <v>44561</v>
      </c>
      <c r="J575" s="73"/>
      <c r="K575" s="74"/>
      <c r="L575" s="73"/>
      <c r="M575" s="74">
        <v>5311575</v>
      </c>
      <c r="N575" s="73">
        <v>3813946</v>
      </c>
      <c r="O575" s="74">
        <v>3403600</v>
      </c>
    </row>
    <row r="576" spans="1:15">
      <c r="A576" s="107"/>
      <c r="B576" s="107"/>
      <c r="C576" s="107"/>
      <c r="D576" s="68" t="s">
        <v>421</v>
      </c>
      <c r="E576" t="s">
        <v>422</v>
      </c>
      <c r="G576" t="s">
        <v>434</v>
      </c>
      <c r="H576" s="67">
        <v>44561</v>
      </c>
      <c r="J576" s="73"/>
      <c r="K576" s="74"/>
      <c r="L576" s="73"/>
      <c r="M576" s="74">
        <v>249384317</v>
      </c>
      <c r="N576" s="73">
        <v>296411327</v>
      </c>
      <c r="O576" s="74">
        <v>296411327</v>
      </c>
    </row>
    <row r="577" spans="1:15">
      <c r="A577" s="107"/>
      <c r="B577" s="107"/>
      <c r="C577" s="107"/>
      <c r="D577" s="68" t="s">
        <v>423</v>
      </c>
      <c r="G577" t="s">
        <v>170</v>
      </c>
      <c r="H577" s="67">
        <v>44561</v>
      </c>
      <c r="J577" s="73"/>
      <c r="K577" s="74"/>
      <c r="L577" s="73"/>
      <c r="M577" s="74">
        <v>723469.86160409555</v>
      </c>
      <c r="N577" s="73">
        <v>899820.09982142854</v>
      </c>
      <c r="O577" s="74">
        <v>950753.31301886786</v>
      </c>
    </row>
    <row r="578" spans="1:15">
      <c r="A578" s="107"/>
      <c r="B578" s="107"/>
      <c r="C578" s="107"/>
      <c r="D578" s="68" t="s">
        <v>424</v>
      </c>
      <c r="H578" s="67"/>
      <c r="J578" s="73"/>
      <c r="K578" s="74"/>
      <c r="L578" s="73"/>
      <c r="M578" s="74"/>
      <c r="N578" s="73"/>
      <c r="O578" s="74"/>
    </row>
    <row r="579" spans="1:15">
      <c r="A579" s="107" t="s">
        <v>171</v>
      </c>
      <c r="B579" s="107" t="s">
        <v>172</v>
      </c>
      <c r="C579" s="107" t="s">
        <v>173</v>
      </c>
      <c r="D579" s="68" t="s">
        <v>417</v>
      </c>
      <c r="G579" t="s">
        <v>434</v>
      </c>
      <c r="H579" s="67">
        <v>44561</v>
      </c>
      <c r="J579" s="73">
        <v>12075000</v>
      </c>
      <c r="K579" s="74">
        <v>12075000</v>
      </c>
      <c r="L579" s="73">
        <v>10707412.125</v>
      </c>
      <c r="M579" s="74">
        <v>9056519</v>
      </c>
      <c r="N579" s="73">
        <v>9198407</v>
      </c>
      <c r="O579" s="74"/>
    </row>
    <row r="580" spans="1:15">
      <c r="A580" s="107"/>
      <c r="B580" s="107"/>
      <c r="C580" s="107"/>
      <c r="D580" s="68" t="s">
        <v>418</v>
      </c>
      <c r="E580" t="s">
        <v>419</v>
      </c>
      <c r="G580" t="s">
        <v>434</v>
      </c>
      <c r="H580" s="67">
        <v>44561</v>
      </c>
      <c r="J580" s="73">
        <v>4025000</v>
      </c>
      <c r="K580" s="74">
        <v>4025000</v>
      </c>
      <c r="L580" s="73">
        <v>3569137.375</v>
      </c>
      <c r="M580" s="74">
        <v>2890986</v>
      </c>
      <c r="N580" s="73">
        <v>2082515</v>
      </c>
      <c r="O580" s="74"/>
    </row>
    <row r="581" spans="1:15">
      <c r="A581" s="107"/>
      <c r="B581" s="107"/>
      <c r="C581" s="107"/>
      <c r="D581" s="68" t="s">
        <v>420</v>
      </c>
      <c r="E581" t="s">
        <v>419</v>
      </c>
      <c r="G581" t="s">
        <v>434</v>
      </c>
      <c r="H581" s="67">
        <v>44561</v>
      </c>
      <c r="J581" s="73">
        <v>16100000</v>
      </c>
      <c r="K581" s="74">
        <v>16100000</v>
      </c>
      <c r="L581" s="73">
        <v>14276549.5</v>
      </c>
      <c r="M581" s="74">
        <v>11947505</v>
      </c>
      <c r="N581" s="73">
        <v>11280922</v>
      </c>
      <c r="O581" s="74"/>
    </row>
    <row r="582" spans="1:15">
      <c r="A582" s="107"/>
      <c r="B582" s="107"/>
      <c r="C582" s="107"/>
      <c r="D582" s="68" t="s">
        <v>421</v>
      </c>
      <c r="E582" t="s">
        <v>422</v>
      </c>
      <c r="G582" t="s">
        <v>434</v>
      </c>
      <c r="H582" s="67">
        <v>44561</v>
      </c>
      <c r="J582" s="73"/>
      <c r="K582" s="74"/>
      <c r="L582" s="73"/>
      <c r="M582" s="74"/>
      <c r="N582" s="73"/>
      <c r="O582" s="74"/>
    </row>
    <row r="583" spans="1:15">
      <c r="A583" s="107"/>
      <c r="B583" s="107"/>
      <c r="C583" s="107"/>
      <c r="D583" s="68" t="s">
        <v>423</v>
      </c>
      <c r="G583" t="s">
        <v>100</v>
      </c>
      <c r="H583" s="67">
        <v>44561</v>
      </c>
      <c r="J583" s="73">
        <v>16100000</v>
      </c>
      <c r="K583" s="74">
        <v>16100000</v>
      </c>
      <c r="L583" s="73">
        <v>14276549.5</v>
      </c>
      <c r="M583" s="74">
        <v>12453099</v>
      </c>
      <c r="N583" s="73">
        <v>13142354.300000001</v>
      </c>
      <c r="O583" s="74"/>
    </row>
    <row r="584" spans="1:15">
      <c r="A584" s="107"/>
      <c r="B584" s="107"/>
      <c r="C584" s="107"/>
      <c r="D584" s="68" t="s">
        <v>424</v>
      </c>
      <c r="H584" s="67"/>
      <c r="J584" s="73"/>
      <c r="K584" s="74"/>
      <c r="L584" s="73"/>
      <c r="M584" s="74"/>
      <c r="N584" s="73"/>
      <c r="O584" s="74"/>
    </row>
    <row r="585" spans="1:15">
      <c r="A585" s="107" t="s">
        <v>175</v>
      </c>
      <c r="B585" s="107" t="s">
        <v>176</v>
      </c>
      <c r="C585" s="107" t="s">
        <v>177</v>
      </c>
      <c r="D585" s="68" t="s">
        <v>417</v>
      </c>
      <c r="G585" t="s">
        <v>435</v>
      </c>
      <c r="H585" s="67">
        <v>44561</v>
      </c>
      <c r="J585" s="73">
        <v>3.88689418875878</v>
      </c>
      <c r="K585" s="74">
        <v>3.8663196803185498</v>
      </c>
      <c r="L585" s="73">
        <v>3.9373016635971498</v>
      </c>
      <c r="M585" s="74">
        <v>3.9790181439510599</v>
      </c>
      <c r="N585" s="73">
        <v>3.71643905269806</v>
      </c>
      <c r="O585" s="74"/>
    </row>
    <row r="586" spans="1:15">
      <c r="A586" s="107"/>
      <c r="B586" s="107"/>
      <c r="C586" s="107"/>
      <c r="D586" s="68" t="s">
        <v>418</v>
      </c>
      <c r="E586" t="s">
        <v>419</v>
      </c>
      <c r="G586" t="s">
        <v>435</v>
      </c>
      <c r="H586" s="67">
        <v>44561</v>
      </c>
      <c r="J586" s="73">
        <v>0</v>
      </c>
      <c r="K586" s="74">
        <v>0</v>
      </c>
      <c r="L586" s="73">
        <v>0</v>
      </c>
      <c r="M586" s="74">
        <v>0</v>
      </c>
      <c r="N586" s="73">
        <v>0</v>
      </c>
      <c r="O586" s="74"/>
    </row>
    <row r="587" spans="1:15">
      <c r="A587" s="107"/>
      <c r="B587" s="107"/>
      <c r="C587" s="107"/>
      <c r="D587" s="68" t="s">
        <v>420</v>
      </c>
      <c r="E587" t="s">
        <v>419</v>
      </c>
      <c r="G587" t="s">
        <v>435</v>
      </c>
      <c r="H587" s="67">
        <v>44561</v>
      </c>
      <c r="J587" s="73">
        <v>3.88689418875878</v>
      </c>
      <c r="K587" s="74">
        <v>3.8663196803185498</v>
      </c>
      <c r="L587" s="73">
        <v>3.9373016635971498</v>
      </c>
      <c r="M587" s="74">
        <v>3.9790181439510599</v>
      </c>
      <c r="N587" s="73">
        <v>3.71643905269806</v>
      </c>
      <c r="O587" s="74"/>
    </row>
    <row r="588" spans="1:15">
      <c r="A588" s="107"/>
      <c r="B588" s="107"/>
      <c r="C588" s="107"/>
      <c r="D588" s="68" t="s">
        <v>421</v>
      </c>
      <c r="E588" t="s">
        <v>422</v>
      </c>
      <c r="G588" t="s">
        <v>435</v>
      </c>
      <c r="H588" s="67">
        <v>44561</v>
      </c>
      <c r="J588" s="73"/>
      <c r="K588" s="74"/>
      <c r="L588" s="73"/>
      <c r="M588" s="74"/>
      <c r="N588" s="73"/>
      <c r="O588" s="74"/>
    </row>
    <row r="589" spans="1:15">
      <c r="A589" s="107"/>
      <c r="B589" s="107"/>
      <c r="C589" s="107"/>
      <c r="D589" s="68" t="s">
        <v>423</v>
      </c>
      <c r="G589" t="s">
        <v>63</v>
      </c>
      <c r="H589" s="67">
        <v>44561</v>
      </c>
      <c r="J589" s="73">
        <v>4.9426490000000003</v>
      </c>
      <c r="K589" s="74">
        <v>4.8881050000000004</v>
      </c>
      <c r="L589" s="73">
        <v>4.9569289999999997</v>
      </c>
      <c r="M589" s="74">
        <v>4.9702039999999998</v>
      </c>
      <c r="N589" s="73">
        <v>4.6293220000000002</v>
      </c>
      <c r="O589" s="74"/>
    </row>
    <row r="590" spans="1:15">
      <c r="A590" s="107"/>
      <c r="B590" s="107"/>
      <c r="C590" s="107"/>
      <c r="D590" s="68" t="s">
        <v>424</v>
      </c>
      <c r="H590" s="67"/>
      <c r="J590" s="73"/>
      <c r="K590" s="74"/>
      <c r="L590" s="73"/>
      <c r="M590" s="74"/>
      <c r="N590" s="73"/>
      <c r="O590" s="74"/>
    </row>
    <row r="591" spans="1:15">
      <c r="A591" s="107" t="s">
        <v>178</v>
      </c>
      <c r="B591" s="107" t="s">
        <v>179</v>
      </c>
      <c r="C591" s="107" t="s">
        <v>180</v>
      </c>
      <c r="D591" s="68" t="s">
        <v>417</v>
      </c>
      <c r="G591" t="s">
        <v>433</v>
      </c>
      <c r="H591" s="67">
        <v>44561</v>
      </c>
      <c r="J591" s="73"/>
      <c r="K591" s="74">
        <v>15020</v>
      </c>
      <c r="L591" s="73">
        <v>13328</v>
      </c>
      <c r="M591" s="74">
        <v>13584</v>
      </c>
      <c r="N591" s="73">
        <v>13136</v>
      </c>
      <c r="O591" s="74">
        <v>13207</v>
      </c>
    </row>
    <row r="592" spans="1:15">
      <c r="A592" s="107"/>
      <c r="B592" s="107"/>
      <c r="C592" s="107"/>
      <c r="D592" s="68" t="s">
        <v>418</v>
      </c>
      <c r="E592" t="s">
        <v>419</v>
      </c>
      <c r="G592" t="s">
        <v>433</v>
      </c>
      <c r="H592" s="67">
        <v>44561</v>
      </c>
      <c r="J592" s="73"/>
      <c r="K592" s="74">
        <v>3415</v>
      </c>
      <c r="L592" s="73">
        <v>2544</v>
      </c>
      <c r="M592" s="74">
        <v>2082</v>
      </c>
      <c r="N592" s="73">
        <v>1883</v>
      </c>
      <c r="O592" s="74">
        <v>2162</v>
      </c>
    </row>
    <row r="593" spans="1:15">
      <c r="A593" s="107"/>
      <c r="B593" s="107"/>
      <c r="C593" s="107"/>
      <c r="D593" s="68" t="s">
        <v>420</v>
      </c>
      <c r="E593" t="s">
        <v>419</v>
      </c>
      <c r="G593" t="s">
        <v>433</v>
      </c>
      <c r="H593" s="67">
        <v>44561</v>
      </c>
      <c r="J593" s="73"/>
      <c r="K593" s="74">
        <v>18435</v>
      </c>
      <c r="L593" s="73">
        <v>15872</v>
      </c>
      <c r="M593" s="74">
        <v>15666</v>
      </c>
      <c r="N593" s="73">
        <v>15019</v>
      </c>
      <c r="O593" s="74">
        <v>15369</v>
      </c>
    </row>
    <row r="594" spans="1:15">
      <c r="A594" s="107"/>
      <c r="B594" s="107"/>
      <c r="C594" s="107"/>
      <c r="D594" s="68" t="s">
        <v>421</v>
      </c>
      <c r="E594" t="s">
        <v>422</v>
      </c>
      <c r="G594" t="s">
        <v>433</v>
      </c>
      <c r="H594" s="67">
        <v>44561</v>
      </c>
      <c r="J594" s="73"/>
      <c r="K594" s="74">
        <v>56212</v>
      </c>
      <c r="L594" s="73">
        <v>51969</v>
      </c>
      <c r="M594" s="74">
        <v>54278</v>
      </c>
      <c r="N594" s="73">
        <v>57852</v>
      </c>
      <c r="O594" s="74">
        <v>53898</v>
      </c>
    </row>
    <row r="595" spans="1:15">
      <c r="A595" s="107"/>
      <c r="B595" s="107"/>
      <c r="C595" s="107"/>
      <c r="D595" s="68" t="s">
        <v>423</v>
      </c>
      <c r="G595" t="s">
        <v>57</v>
      </c>
      <c r="H595" s="67">
        <v>44561</v>
      </c>
      <c r="J595" s="73"/>
      <c r="K595" s="74">
        <v>137549</v>
      </c>
      <c r="L595" s="73">
        <v>145605</v>
      </c>
      <c r="M595" s="74">
        <v>151758</v>
      </c>
      <c r="N595" s="73">
        <v>162842</v>
      </c>
      <c r="O595" s="74">
        <v>164266</v>
      </c>
    </row>
    <row r="596" spans="1:15">
      <c r="A596" s="107"/>
      <c r="B596" s="107"/>
      <c r="C596" s="107"/>
      <c r="D596" s="68" t="s">
        <v>424</v>
      </c>
      <c r="H596" s="67"/>
      <c r="J596" s="73"/>
      <c r="K596" s="74"/>
      <c r="L596" s="73"/>
      <c r="M596" s="74"/>
      <c r="N596" s="73"/>
      <c r="O596" s="74"/>
    </row>
    <row r="597" spans="1:15">
      <c r="A597" s="107" t="s">
        <v>182</v>
      </c>
      <c r="B597" s="107" t="s">
        <v>183</v>
      </c>
      <c r="C597" s="107" t="s">
        <v>184</v>
      </c>
      <c r="D597" s="68" t="s">
        <v>417</v>
      </c>
      <c r="G597" t="s">
        <v>435</v>
      </c>
      <c r="H597" s="67">
        <v>44561</v>
      </c>
      <c r="J597" s="73"/>
      <c r="K597" s="74">
        <v>37.5</v>
      </c>
      <c r="L597" s="73">
        <v>37</v>
      </c>
      <c r="M597" s="74">
        <v>36.799999999999997</v>
      </c>
      <c r="N597" s="73">
        <v>32.200000000000003</v>
      </c>
      <c r="O597" s="74">
        <v>33</v>
      </c>
    </row>
    <row r="598" spans="1:15">
      <c r="A598" s="107"/>
      <c r="B598" s="107"/>
      <c r="C598" s="107"/>
      <c r="D598" s="68" t="s">
        <v>418</v>
      </c>
      <c r="E598" t="s">
        <v>419</v>
      </c>
      <c r="G598" t="s">
        <v>435</v>
      </c>
      <c r="H598" s="67">
        <v>44561</v>
      </c>
      <c r="J598" s="73"/>
      <c r="K598" s="74">
        <v>7.8</v>
      </c>
      <c r="L598" s="73">
        <v>8.1999999999999993</v>
      </c>
      <c r="M598" s="74">
        <v>8.1999999999999993</v>
      </c>
      <c r="N598" s="73">
        <v>8</v>
      </c>
      <c r="O598" s="74">
        <v>6.9</v>
      </c>
    </row>
    <row r="599" spans="1:15">
      <c r="A599" s="107"/>
      <c r="B599" s="107"/>
      <c r="C599" s="107"/>
      <c r="D599" s="68" t="s">
        <v>420</v>
      </c>
      <c r="E599" t="s">
        <v>419</v>
      </c>
      <c r="G599" t="s">
        <v>435</v>
      </c>
      <c r="H599" s="67">
        <v>44561</v>
      </c>
      <c r="J599" s="73"/>
      <c r="K599" s="74">
        <v>45.3</v>
      </c>
      <c r="L599" s="73">
        <v>45.2</v>
      </c>
      <c r="M599" s="74">
        <v>45</v>
      </c>
      <c r="N599" s="73">
        <v>40.200000000000003</v>
      </c>
      <c r="O599" s="74">
        <v>39.9</v>
      </c>
    </row>
    <row r="600" spans="1:15">
      <c r="A600" s="107"/>
      <c r="B600" s="107"/>
      <c r="C600" s="107"/>
      <c r="D600" s="68" t="s">
        <v>421</v>
      </c>
      <c r="E600" t="s">
        <v>422</v>
      </c>
      <c r="G600" t="s">
        <v>435</v>
      </c>
      <c r="H600" s="67">
        <v>44561</v>
      </c>
      <c r="J600" s="73"/>
      <c r="K600" s="74">
        <v>425</v>
      </c>
      <c r="L600" s="73">
        <v>425</v>
      </c>
      <c r="M600" s="74">
        <v>425</v>
      </c>
      <c r="N600" s="73">
        <v>350</v>
      </c>
      <c r="O600" s="74">
        <v>380</v>
      </c>
    </row>
    <row r="601" spans="1:15">
      <c r="A601" s="107"/>
      <c r="B601" s="107"/>
      <c r="C601" s="107"/>
      <c r="D601" s="68" t="s">
        <v>423</v>
      </c>
      <c r="G601" t="s">
        <v>185</v>
      </c>
      <c r="H601" s="67">
        <v>44561</v>
      </c>
      <c r="J601" s="73"/>
      <c r="K601" s="74">
        <v>1669</v>
      </c>
      <c r="L601" s="73">
        <v>1717</v>
      </c>
      <c r="M601" s="74">
        <v>1817</v>
      </c>
      <c r="N601" s="73">
        <v>1627</v>
      </c>
      <c r="O601" s="74">
        <v>1682</v>
      </c>
    </row>
    <row r="602" spans="1:15">
      <c r="A602" s="107"/>
      <c r="B602" s="107"/>
      <c r="C602" s="107"/>
      <c r="D602" s="68" t="s">
        <v>424</v>
      </c>
      <c r="H602" s="67"/>
      <c r="J602" s="73"/>
      <c r="K602" s="74"/>
      <c r="L602" s="73"/>
      <c r="M602" s="74"/>
      <c r="N602" s="73"/>
      <c r="O602" s="74"/>
    </row>
    <row r="603" spans="1:15">
      <c r="A603" s="107" t="s">
        <v>186</v>
      </c>
      <c r="B603" s="107" t="s">
        <v>187</v>
      </c>
      <c r="C603" s="107" t="s">
        <v>188</v>
      </c>
      <c r="D603" s="68" t="s">
        <v>417</v>
      </c>
      <c r="G603" t="s">
        <v>435</v>
      </c>
      <c r="H603" s="67">
        <v>44561</v>
      </c>
      <c r="J603" s="73">
        <v>1.87462187527987</v>
      </c>
      <c r="K603" s="74">
        <v>1.84435992735308</v>
      </c>
      <c r="L603" s="73">
        <v>2.0515686489135501</v>
      </c>
      <c r="M603" s="74">
        <v>1.71049343073906</v>
      </c>
      <c r="N603" s="73">
        <v>1.8262746387694699</v>
      </c>
      <c r="O603" s="74"/>
    </row>
    <row r="604" spans="1:15">
      <c r="A604" s="107"/>
      <c r="B604" s="107"/>
      <c r="C604" s="107"/>
      <c r="D604" s="68" t="s">
        <v>418</v>
      </c>
      <c r="E604" t="s">
        <v>419</v>
      </c>
      <c r="G604" t="s">
        <v>435</v>
      </c>
      <c r="H604" s="67">
        <v>44561</v>
      </c>
      <c r="J604" s="73">
        <v>0</v>
      </c>
      <c r="K604" s="74">
        <v>0</v>
      </c>
      <c r="L604" s="73">
        <v>0</v>
      </c>
      <c r="M604" s="74">
        <v>0</v>
      </c>
      <c r="N604" s="73">
        <v>0</v>
      </c>
      <c r="O604" s="74"/>
    </row>
    <row r="605" spans="1:15">
      <c r="A605" s="107"/>
      <c r="B605" s="107"/>
      <c r="C605" s="107"/>
      <c r="D605" s="68" t="s">
        <v>420</v>
      </c>
      <c r="E605" t="s">
        <v>419</v>
      </c>
      <c r="G605" t="s">
        <v>435</v>
      </c>
      <c r="H605" s="67">
        <v>44561</v>
      </c>
      <c r="J605" s="73">
        <v>1.87462187527987</v>
      </c>
      <c r="K605" s="74">
        <v>1.84435992735308</v>
      </c>
      <c r="L605" s="73">
        <v>2.0515686489135501</v>
      </c>
      <c r="M605" s="74">
        <v>1.71049343073906</v>
      </c>
      <c r="N605" s="73">
        <v>1.8262746387694699</v>
      </c>
      <c r="O605" s="74"/>
    </row>
    <row r="606" spans="1:15">
      <c r="A606" s="107"/>
      <c r="B606" s="107"/>
      <c r="C606" s="107"/>
      <c r="D606" s="68" t="s">
        <v>421</v>
      </c>
      <c r="E606" t="s">
        <v>422</v>
      </c>
      <c r="G606" t="s">
        <v>435</v>
      </c>
      <c r="H606" s="67">
        <v>44561</v>
      </c>
      <c r="J606" s="73"/>
      <c r="K606" s="74"/>
      <c r="L606" s="73"/>
      <c r="M606" s="74"/>
      <c r="N606" s="73"/>
      <c r="O606" s="74"/>
    </row>
    <row r="607" spans="1:15">
      <c r="A607" s="107"/>
      <c r="B607" s="107"/>
      <c r="C607" s="107"/>
      <c r="D607" s="68" t="s">
        <v>423</v>
      </c>
      <c r="G607" t="s">
        <v>63</v>
      </c>
      <c r="H607" s="67">
        <v>44561</v>
      </c>
      <c r="J607" s="73">
        <v>2.1870177499999999</v>
      </c>
      <c r="K607" s="74">
        <v>2.1656629999999999</v>
      </c>
      <c r="L607" s="73">
        <v>2.3207654999999998</v>
      </c>
      <c r="M607" s="74">
        <v>2.1471232499999999</v>
      </c>
      <c r="N607" s="73">
        <v>2.2935585000000001</v>
      </c>
      <c r="O607" s="74"/>
    </row>
    <row r="608" spans="1:15">
      <c r="A608" s="107"/>
      <c r="B608" s="107"/>
      <c r="C608" s="107"/>
      <c r="D608" s="68" t="s">
        <v>424</v>
      </c>
      <c r="H608" s="67"/>
      <c r="J608" s="73"/>
      <c r="K608" s="74"/>
      <c r="L608" s="73"/>
      <c r="M608" s="74"/>
      <c r="N608" s="73"/>
      <c r="O608" s="74"/>
    </row>
    <row r="609" spans="1:15">
      <c r="A609" s="107" t="s">
        <v>189</v>
      </c>
      <c r="B609" s="107" t="s">
        <v>190</v>
      </c>
      <c r="C609" s="107" t="s">
        <v>191</v>
      </c>
      <c r="D609" s="68" t="s">
        <v>417</v>
      </c>
      <c r="G609" t="s">
        <v>435</v>
      </c>
      <c r="H609" s="67">
        <v>44561</v>
      </c>
      <c r="J609" s="73">
        <v>5.8304249123706402</v>
      </c>
      <c r="K609" s="74">
        <v>4.1059781322581701</v>
      </c>
      <c r="L609" s="73">
        <v>5.75632595190089</v>
      </c>
      <c r="M609" s="74">
        <v>4.7256911734020299</v>
      </c>
      <c r="N609" s="73">
        <v>6.07854526951468</v>
      </c>
      <c r="O609" s="74"/>
    </row>
    <row r="610" spans="1:15">
      <c r="A610" s="107"/>
      <c r="B610" s="107"/>
      <c r="C610" s="107"/>
      <c r="D610" s="68" t="s">
        <v>418</v>
      </c>
      <c r="E610" t="s">
        <v>419</v>
      </c>
      <c r="G610" t="s">
        <v>435</v>
      </c>
      <c r="H610" s="67">
        <v>44561</v>
      </c>
      <c r="J610" s="73">
        <v>0</v>
      </c>
      <c r="K610" s="74">
        <v>0</v>
      </c>
      <c r="L610" s="73">
        <v>0</v>
      </c>
      <c r="M610" s="74">
        <v>0</v>
      </c>
      <c r="N610" s="73">
        <v>0</v>
      </c>
      <c r="O610" s="74"/>
    </row>
    <row r="611" spans="1:15">
      <c r="A611" s="107"/>
      <c r="B611" s="107"/>
      <c r="C611" s="107"/>
      <c r="D611" s="68" t="s">
        <v>420</v>
      </c>
      <c r="E611" t="s">
        <v>419</v>
      </c>
      <c r="G611" t="s">
        <v>435</v>
      </c>
      <c r="H611" s="67">
        <v>44561</v>
      </c>
      <c r="J611" s="73">
        <v>5.8304249123706402</v>
      </c>
      <c r="K611" s="74">
        <v>4.1059781322581701</v>
      </c>
      <c r="L611" s="73">
        <v>5.75632595190089</v>
      </c>
      <c r="M611" s="74">
        <v>4.7256911734020299</v>
      </c>
      <c r="N611" s="73">
        <v>6.07854526951468</v>
      </c>
      <c r="O611" s="74"/>
    </row>
    <row r="612" spans="1:15">
      <c r="A612" s="107"/>
      <c r="B612" s="107"/>
      <c r="C612" s="107"/>
      <c r="D612" s="68" t="s">
        <v>421</v>
      </c>
      <c r="E612" t="s">
        <v>422</v>
      </c>
      <c r="G612" t="s">
        <v>435</v>
      </c>
      <c r="H612" s="67">
        <v>44561</v>
      </c>
      <c r="J612" s="73"/>
      <c r="K612" s="74"/>
      <c r="L612" s="73"/>
      <c r="M612" s="74"/>
      <c r="N612" s="73"/>
      <c r="O612" s="74"/>
    </row>
    <row r="613" spans="1:15">
      <c r="A613" s="107"/>
      <c r="B613" s="107"/>
      <c r="C613" s="107"/>
      <c r="D613" s="68" t="s">
        <v>423</v>
      </c>
      <c r="G613" t="s">
        <v>63</v>
      </c>
      <c r="H613" s="67">
        <v>44561</v>
      </c>
      <c r="J613" s="73">
        <v>9.6681579999999894</v>
      </c>
      <c r="K613" s="74">
        <v>6.7177259999999999</v>
      </c>
      <c r="L613" s="73">
        <v>9.3488639999999901</v>
      </c>
      <c r="M613" s="74">
        <v>7.7770190000000001</v>
      </c>
      <c r="N613" s="73">
        <v>10.203676</v>
      </c>
      <c r="O613" s="74"/>
    </row>
    <row r="614" spans="1:15">
      <c r="A614" s="107"/>
      <c r="B614" s="107"/>
      <c r="C614" s="107"/>
      <c r="D614" s="68" t="s">
        <v>424</v>
      </c>
      <c r="H614" s="67"/>
      <c r="J614" s="73"/>
      <c r="K614" s="74"/>
      <c r="L614" s="73"/>
      <c r="M614" s="74"/>
      <c r="N614" s="73"/>
      <c r="O614" s="74"/>
    </row>
    <row r="615" spans="1:15">
      <c r="A615" s="107" t="s">
        <v>189</v>
      </c>
      <c r="B615" s="107" t="s">
        <v>190</v>
      </c>
      <c r="C615" s="107" t="s">
        <v>191</v>
      </c>
      <c r="D615" s="68" t="s">
        <v>417</v>
      </c>
      <c r="G615" t="s">
        <v>433</v>
      </c>
      <c r="H615" s="67">
        <v>44651</v>
      </c>
      <c r="J615" s="73"/>
      <c r="K615" s="74"/>
      <c r="L615" s="73"/>
      <c r="M615" s="74"/>
      <c r="N615" s="73">
        <v>4727</v>
      </c>
      <c r="O615" s="74">
        <v>5270.75</v>
      </c>
    </row>
    <row r="616" spans="1:15">
      <c r="A616" s="107"/>
      <c r="B616" s="107"/>
      <c r="C616" s="107"/>
      <c r="D616" s="68" t="s">
        <v>418</v>
      </c>
      <c r="E616" t="s">
        <v>426</v>
      </c>
      <c r="G616" t="s">
        <v>433</v>
      </c>
      <c r="H616" s="67">
        <v>44651</v>
      </c>
      <c r="J616" s="73"/>
      <c r="K616" s="74"/>
      <c r="L616" s="73"/>
      <c r="M616" s="74"/>
      <c r="N616" s="73">
        <v>2264</v>
      </c>
      <c r="O616" s="74">
        <v>2244</v>
      </c>
    </row>
    <row r="617" spans="1:15">
      <c r="A617" s="107"/>
      <c r="B617" s="107"/>
      <c r="C617" s="107"/>
      <c r="D617" s="68" t="s">
        <v>418</v>
      </c>
      <c r="E617" t="s">
        <v>419</v>
      </c>
      <c r="G617" t="s">
        <v>433</v>
      </c>
      <c r="H617" s="67">
        <v>44651</v>
      </c>
      <c r="J617" s="73"/>
      <c r="K617" s="74"/>
      <c r="L617" s="73"/>
      <c r="M617" s="74"/>
      <c r="N617" s="73">
        <v>2216</v>
      </c>
      <c r="O617" s="74">
        <v>2194</v>
      </c>
    </row>
    <row r="618" spans="1:15">
      <c r="A618" s="107"/>
      <c r="B618" s="107"/>
      <c r="C618" s="107"/>
      <c r="D618" s="68" t="s">
        <v>420</v>
      </c>
      <c r="E618" t="s">
        <v>419</v>
      </c>
      <c r="G618" t="s">
        <v>433</v>
      </c>
      <c r="H618" s="67">
        <v>44651</v>
      </c>
      <c r="J618" s="73"/>
      <c r="K618" s="74"/>
      <c r="L618" s="73"/>
      <c r="M618" s="74"/>
      <c r="N618" s="73">
        <f>N615+N617</f>
        <v>6943</v>
      </c>
      <c r="O618" s="74">
        <f>O615+O617</f>
        <v>7464.75</v>
      </c>
    </row>
    <row r="619" spans="1:15">
      <c r="A619" s="107"/>
      <c r="B619" s="107"/>
      <c r="C619" s="107"/>
      <c r="D619" s="68" t="s">
        <v>421</v>
      </c>
      <c r="E619" t="s">
        <v>422</v>
      </c>
      <c r="G619" t="s">
        <v>433</v>
      </c>
      <c r="H619" s="67">
        <v>44651</v>
      </c>
      <c r="J619" s="73"/>
      <c r="K619" s="74"/>
      <c r="L619" s="73"/>
      <c r="M619" s="74"/>
      <c r="N619" s="73">
        <v>28948</v>
      </c>
      <c r="O619" s="74">
        <v>30088</v>
      </c>
    </row>
    <row r="620" spans="1:15">
      <c r="A620" s="107"/>
      <c r="B620" s="107"/>
      <c r="C620" s="107"/>
      <c r="D620" s="68" t="s">
        <v>421</v>
      </c>
      <c r="E620">
        <v>3</v>
      </c>
      <c r="F620" t="s">
        <v>608</v>
      </c>
      <c r="G620" t="s">
        <v>433</v>
      </c>
      <c r="H620" s="67">
        <v>44651</v>
      </c>
      <c r="J620" s="73"/>
      <c r="K620" s="74"/>
      <c r="L620" s="73"/>
      <c r="M620" s="74"/>
      <c r="N620" s="73">
        <v>4126</v>
      </c>
      <c r="O620" s="74">
        <v>4371</v>
      </c>
    </row>
    <row r="621" spans="1:15">
      <c r="A621" s="107"/>
      <c r="B621" s="107"/>
      <c r="C621" s="107"/>
      <c r="D621" s="68" t="s">
        <v>421</v>
      </c>
      <c r="E621">
        <v>11</v>
      </c>
      <c r="F621" t="s">
        <v>608</v>
      </c>
      <c r="G621" t="s">
        <v>433</v>
      </c>
      <c r="H621" s="67">
        <v>44651</v>
      </c>
      <c r="J621" s="73"/>
      <c r="K621" s="74"/>
      <c r="L621" s="73"/>
      <c r="M621" s="74"/>
      <c r="N621" s="73">
        <v>18235</v>
      </c>
      <c r="O621" s="74">
        <v>18947.301139453699</v>
      </c>
    </row>
    <row r="622" spans="1:15">
      <c r="A622" s="107"/>
      <c r="B622" s="107"/>
      <c r="C622" s="107"/>
      <c r="D622" s="68" t="s">
        <v>421</v>
      </c>
      <c r="E622">
        <v>1</v>
      </c>
      <c r="F622" t="s">
        <v>609</v>
      </c>
      <c r="G622" t="s">
        <v>433</v>
      </c>
      <c r="H622" s="67">
        <v>44651</v>
      </c>
      <c r="J622" s="73"/>
      <c r="K622" s="74"/>
      <c r="L622" s="73"/>
      <c r="M622" s="74"/>
      <c r="N622" s="73">
        <v>6570</v>
      </c>
      <c r="O622" s="74">
        <v>6746.984281205082</v>
      </c>
    </row>
    <row r="623" spans="1:15">
      <c r="A623" s="107"/>
      <c r="B623" s="107"/>
      <c r="C623" s="107"/>
      <c r="D623" s="68" t="s">
        <v>421</v>
      </c>
      <c r="E623">
        <v>7</v>
      </c>
      <c r="F623" t="s">
        <v>609</v>
      </c>
      <c r="G623" t="s">
        <v>433</v>
      </c>
      <c r="H623" s="67">
        <v>44651</v>
      </c>
      <c r="J623" s="73"/>
      <c r="K623" s="74"/>
      <c r="L623" s="73"/>
      <c r="M623" s="74"/>
      <c r="N623" s="73">
        <v>5</v>
      </c>
      <c r="O623" s="74">
        <v>4.9569999999999999</v>
      </c>
    </row>
    <row r="624" spans="1:15">
      <c r="A624" s="107"/>
      <c r="B624" s="107"/>
      <c r="C624" s="107"/>
      <c r="D624" s="68" t="s">
        <v>421</v>
      </c>
      <c r="E624">
        <v>6</v>
      </c>
      <c r="F624" t="s">
        <v>609</v>
      </c>
      <c r="G624" t="s">
        <v>433</v>
      </c>
      <c r="H624" s="67">
        <v>44651</v>
      </c>
      <c r="J624" s="73"/>
      <c r="K624" s="74"/>
      <c r="L624" s="73"/>
      <c r="M624" s="74"/>
      <c r="N624" s="73">
        <v>6</v>
      </c>
      <c r="O624" s="74">
        <v>10.604989736636799</v>
      </c>
    </row>
    <row r="625" spans="1:15">
      <c r="A625" s="107"/>
      <c r="B625" s="107"/>
      <c r="C625" s="107"/>
      <c r="D625" s="68" t="s">
        <v>421</v>
      </c>
      <c r="E625">
        <v>5</v>
      </c>
      <c r="F625" t="s">
        <v>609</v>
      </c>
      <c r="G625" t="s">
        <v>433</v>
      </c>
      <c r="H625" s="67">
        <v>44651</v>
      </c>
      <c r="J625" s="73"/>
      <c r="K625" s="74"/>
      <c r="L625" s="73"/>
      <c r="M625" s="74"/>
      <c r="N625" s="73">
        <v>6</v>
      </c>
      <c r="O625" s="74">
        <v>7.1860943596463605</v>
      </c>
    </row>
    <row r="626" spans="1:15">
      <c r="A626" s="107"/>
      <c r="B626" s="107"/>
      <c r="C626" s="107"/>
      <c r="D626" s="68" t="s">
        <v>423</v>
      </c>
      <c r="E626" t="s">
        <v>483</v>
      </c>
      <c r="G626" t="s">
        <v>82</v>
      </c>
      <c r="H626" s="67">
        <v>44651</v>
      </c>
      <c r="J626" s="73"/>
      <c r="K626" s="74"/>
      <c r="L626" s="73"/>
      <c r="M626" s="74"/>
      <c r="N626" s="73"/>
      <c r="O626" s="74">
        <v>17334077675</v>
      </c>
    </row>
    <row r="627" spans="1:15">
      <c r="A627" s="107"/>
      <c r="B627" s="107"/>
      <c r="C627" s="107"/>
      <c r="D627" s="68" t="s">
        <v>423</v>
      </c>
      <c r="E627" t="s">
        <v>484</v>
      </c>
      <c r="G627" t="s">
        <v>82</v>
      </c>
      <c r="H627" s="67">
        <v>44651</v>
      </c>
      <c r="J627" s="73"/>
      <c r="K627" s="74"/>
      <c r="L627" s="73"/>
      <c r="M627" s="74"/>
      <c r="N627" s="73"/>
      <c r="O627" s="74">
        <v>6072968591</v>
      </c>
    </row>
    <row r="628" spans="1:15">
      <c r="A628" s="107"/>
      <c r="B628" s="107"/>
      <c r="C628" s="107"/>
      <c r="D628" s="68" t="s">
        <v>423</v>
      </c>
      <c r="E628" t="s">
        <v>485</v>
      </c>
      <c r="G628" t="s">
        <v>82</v>
      </c>
      <c r="H628" s="67">
        <v>44651</v>
      </c>
      <c r="J628" s="73"/>
      <c r="K628" s="74"/>
      <c r="L628" s="73"/>
      <c r="M628" s="74"/>
      <c r="N628" s="73"/>
      <c r="O628" s="74">
        <v>1196126610</v>
      </c>
    </row>
    <row r="629" spans="1:15">
      <c r="A629" s="107"/>
      <c r="B629" s="107"/>
      <c r="C629" s="107"/>
      <c r="D629" s="68" t="s">
        <v>423</v>
      </c>
      <c r="E629" t="s">
        <v>486</v>
      </c>
      <c r="G629" t="s">
        <v>82</v>
      </c>
      <c r="H629" s="67">
        <v>44651</v>
      </c>
      <c r="J629" s="73"/>
      <c r="K629" s="74"/>
      <c r="L629" s="73"/>
      <c r="M629" s="74"/>
      <c r="N629" s="73"/>
      <c r="O629" s="74">
        <v>35872411763</v>
      </c>
    </row>
    <row r="630" spans="1:15">
      <c r="A630" s="107"/>
      <c r="B630" s="107"/>
      <c r="C630" s="107"/>
      <c r="D630" s="68" t="s">
        <v>423</v>
      </c>
      <c r="E630" t="s">
        <v>487</v>
      </c>
      <c r="G630" t="s">
        <v>82</v>
      </c>
      <c r="H630" s="67">
        <v>44651</v>
      </c>
      <c r="J630" s="73"/>
      <c r="K630" s="74"/>
      <c r="L630" s="73"/>
      <c r="M630" s="74"/>
      <c r="N630" s="73"/>
      <c r="O630" s="74">
        <v>3004379000</v>
      </c>
    </row>
    <row r="631" spans="1:15">
      <c r="A631" s="107"/>
      <c r="B631" s="107"/>
      <c r="C631" s="107"/>
      <c r="D631" s="68" t="s">
        <v>424</v>
      </c>
      <c r="H631" s="67"/>
      <c r="J631" s="73"/>
      <c r="K631" s="74"/>
      <c r="L631" s="73"/>
      <c r="M631" s="74"/>
      <c r="N631" s="73"/>
      <c r="O631" s="74" t="s">
        <v>480</v>
      </c>
    </row>
    <row r="632" spans="1:15">
      <c r="A632" s="107"/>
      <c r="B632" s="107"/>
      <c r="C632" s="107"/>
      <c r="D632" s="68" t="s">
        <v>482</v>
      </c>
      <c r="H632" s="67"/>
      <c r="J632" s="73"/>
      <c r="K632" s="74"/>
      <c r="L632" s="73"/>
      <c r="M632" s="74"/>
      <c r="N632" s="73"/>
      <c r="O632" s="74" t="s">
        <v>481</v>
      </c>
    </row>
    <row r="633" spans="1:15">
      <c r="A633" s="107" t="s">
        <v>192</v>
      </c>
      <c r="B633" s="107" t="s">
        <v>193</v>
      </c>
      <c r="C633" s="107" t="s">
        <v>194</v>
      </c>
      <c r="D633" s="68" t="s">
        <v>417</v>
      </c>
      <c r="G633" t="s">
        <v>435</v>
      </c>
      <c r="H633" s="67">
        <v>44561</v>
      </c>
      <c r="J633" s="73">
        <v>44.467669531403999</v>
      </c>
      <c r="K633" s="74">
        <v>45.156516685849297</v>
      </c>
      <c r="L633" s="73">
        <v>45.362601100706101</v>
      </c>
      <c r="M633" s="74">
        <v>44.579149470133402</v>
      </c>
      <c r="N633" s="73">
        <v>42.257461966110597</v>
      </c>
      <c r="O633" s="74"/>
    </row>
    <row r="634" spans="1:15">
      <c r="A634" s="107"/>
      <c r="B634" s="107"/>
      <c r="C634" s="107"/>
      <c r="D634" s="68" t="s">
        <v>418</v>
      </c>
      <c r="E634" t="s">
        <v>419</v>
      </c>
      <c r="G634" t="s">
        <v>435</v>
      </c>
      <c r="H634" s="67">
        <v>44561</v>
      </c>
      <c r="J634" s="73">
        <v>0</v>
      </c>
      <c r="K634" s="74">
        <v>0</v>
      </c>
      <c r="L634" s="73">
        <v>0</v>
      </c>
      <c r="M634" s="74">
        <v>0</v>
      </c>
      <c r="N634" s="73">
        <v>0</v>
      </c>
      <c r="O634" s="74"/>
    </row>
    <row r="635" spans="1:15">
      <c r="A635" s="107"/>
      <c r="B635" s="107"/>
      <c r="C635" s="107"/>
      <c r="D635" s="68" t="s">
        <v>420</v>
      </c>
      <c r="E635" t="s">
        <v>419</v>
      </c>
      <c r="G635" t="s">
        <v>435</v>
      </c>
      <c r="H635" s="67">
        <v>44561</v>
      </c>
      <c r="J635" s="73">
        <v>44.467669531403999</v>
      </c>
      <c r="K635" s="74">
        <v>45.156516685849297</v>
      </c>
      <c r="L635" s="73">
        <v>45.362601100706101</v>
      </c>
      <c r="M635" s="74">
        <v>44.579149470133402</v>
      </c>
      <c r="N635" s="73">
        <v>42.257461966110597</v>
      </c>
      <c r="O635" s="74"/>
    </row>
    <row r="636" spans="1:15">
      <c r="A636" s="107"/>
      <c r="B636" s="107"/>
      <c r="C636" s="107"/>
      <c r="D636" s="68" t="s">
        <v>421</v>
      </c>
      <c r="E636" t="s">
        <v>422</v>
      </c>
      <c r="G636" t="s">
        <v>435</v>
      </c>
      <c r="H636" s="67">
        <v>44561</v>
      </c>
      <c r="J636" s="73"/>
      <c r="K636" s="74"/>
      <c r="L636" s="73"/>
      <c r="M636" s="74"/>
      <c r="N636" s="73"/>
      <c r="O636" s="74"/>
    </row>
    <row r="637" spans="1:15">
      <c r="A637" s="107"/>
      <c r="B637" s="107"/>
      <c r="C637" s="107"/>
      <c r="D637" s="68" t="s">
        <v>423</v>
      </c>
      <c r="G637" t="s">
        <v>63</v>
      </c>
      <c r="H637" s="67">
        <v>44561</v>
      </c>
      <c r="J637" s="73">
        <v>127.73700738310001</v>
      </c>
      <c r="K637" s="74">
        <v>129.144311972</v>
      </c>
      <c r="L637" s="73">
        <v>133.74937911255</v>
      </c>
      <c r="M637" s="74">
        <v>135.71818765739999</v>
      </c>
      <c r="N637" s="73">
        <v>137.27814340149999</v>
      </c>
      <c r="O637" s="74"/>
    </row>
    <row r="638" spans="1:15">
      <c r="A638" s="107"/>
      <c r="B638" s="107"/>
      <c r="C638" s="107"/>
      <c r="D638" s="68" t="s">
        <v>424</v>
      </c>
      <c r="H638" s="67"/>
      <c r="J638" s="73"/>
      <c r="K638" s="74"/>
      <c r="L638" s="73"/>
      <c r="M638" s="74"/>
      <c r="N638" s="73"/>
      <c r="O638" s="74"/>
    </row>
    <row r="639" spans="1:15">
      <c r="A639" s="107" t="s">
        <v>192</v>
      </c>
      <c r="B639" s="107" t="s">
        <v>193</v>
      </c>
      <c r="C639" s="107" t="s">
        <v>194</v>
      </c>
      <c r="D639" s="68" t="s">
        <v>417</v>
      </c>
      <c r="G639" t="s">
        <v>435</v>
      </c>
      <c r="H639" s="67">
        <v>44651</v>
      </c>
      <c r="J639" s="73"/>
      <c r="K639" s="74"/>
      <c r="L639" s="73"/>
      <c r="M639" s="74"/>
      <c r="N639" s="73">
        <v>43247571</v>
      </c>
      <c r="O639" s="74">
        <v>42353376</v>
      </c>
    </row>
    <row r="640" spans="1:15">
      <c r="A640" s="107"/>
      <c r="B640" s="107"/>
      <c r="C640" s="107"/>
      <c r="D640" s="68" t="s">
        <v>418</v>
      </c>
      <c r="E640" t="s">
        <v>419</v>
      </c>
      <c r="G640" t="s">
        <v>435</v>
      </c>
      <c r="H640" s="67">
        <v>44651</v>
      </c>
      <c r="J640" s="73"/>
      <c r="K640" s="74"/>
      <c r="L640" s="73"/>
      <c r="M640" s="74"/>
      <c r="N640" s="73">
        <v>2172160</v>
      </c>
      <c r="O640" s="74">
        <v>1736579</v>
      </c>
    </row>
    <row r="641" spans="1:15">
      <c r="A641" s="107"/>
      <c r="B641" s="107"/>
      <c r="C641" s="107"/>
      <c r="D641" s="68" t="s">
        <v>420</v>
      </c>
      <c r="E641" t="s">
        <v>419</v>
      </c>
      <c r="G641" t="s">
        <v>435</v>
      </c>
      <c r="H641" s="67">
        <v>44651</v>
      </c>
      <c r="J641" s="73"/>
      <c r="K641" s="74"/>
      <c r="L641" s="73"/>
      <c r="M641" s="74"/>
      <c r="N641" s="73">
        <f>N639+N640</f>
        <v>45419731</v>
      </c>
      <c r="O641" s="74">
        <f>O639+O640</f>
        <v>44089955</v>
      </c>
    </row>
    <row r="642" spans="1:15">
      <c r="A642" s="107"/>
      <c r="B642" s="107"/>
      <c r="C642" s="107"/>
      <c r="D642" s="68" t="s">
        <v>421</v>
      </c>
      <c r="E642" t="s">
        <v>479</v>
      </c>
      <c r="G642" t="s">
        <v>435</v>
      </c>
      <c r="H642" s="67">
        <v>44651</v>
      </c>
      <c r="J642" s="73"/>
      <c r="K642" s="74"/>
      <c r="L642" s="73"/>
      <c r="M642" s="74"/>
      <c r="N642" s="73"/>
      <c r="O642" s="74">
        <v>2392318</v>
      </c>
    </row>
    <row r="643" spans="1:15">
      <c r="A643" s="107"/>
      <c r="B643" s="107"/>
      <c r="C643" s="107"/>
      <c r="D643" s="68" t="s">
        <v>423</v>
      </c>
      <c r="E643" t="s">
        <v>456</v>
      </c>
      <c r="G643" s="47" t="s">
        <v>57</v>
      </c>
      <c r="H643" s="67"/>
      <c r="J643" s="73"/>
      <c r="K643" s="74"/>
      <c r="L643" s="73"/>
      <c r="M643" s="74">
        <f>SUM(M644:M648)+SUM(M653)</f>
        <v>51680</v>
      </c>
      <c r="N643" s="74">
        <f>SUM(N644:N648)+SUM(N653)</f>
        <v>54732</v>
      </c>
      <c r="O643" s="74">
        <f>SUM(O644:O648)+SUM(O653)</f>
        <v>56574</v>
      </c>
    </row>
    <row r="644" spans="1:15">
      <c r="A644" s="107"/>
      <c r="B644" s="107"/>
      <c r="C644" s="107"/>
      <c r="D644" s="68" t="s">
        <v>456</v>
      </c>
      <c r="E644" t="s">
        <v>469</v>
      </c>
      <c r="G644" s="47" t="s">
        <v>57</v>
      </c>
      <c r="H644" s="67">
        <v>44651</v>
      </c>
      <c r="J644" s="73"/>
      <c r="K644" s="74"/>
      <c r="L644" s="73"/>
      <c r="M644" s="74">
        <v>2554</v>
      </c>
      <c r="N644" s="73">
        <v>1351</v>
      </c>
      <c r="O644" s="74">
        <v>717</v>
      </c>
    </row>
    <row r="645" spans="1:15">
      <c r="A645" s="107"/>
      <c r="B645" s="107"/>
      <c r="C645" s="107"/>
      <c r="D645" s="68" t="s">
        <v>456</v>
      </c>
      <c r="E645" t="s">
        <v>470</v>
      </c>
      <c r="G645" s="47" t="s">
        <v>57</v>
      </c>
      <c r="H645" s="67">
        <v>44651</v>
      </c>
      <c r="J645" s="73"/>
      <c r="K645" s="74"/>
      <c r="L645" s="73"/>
      <c r="M645" s="74">
        <v>23973</v>
      </c>
      <c r="N645" s="73">
        <v>24533</v>
      </c>
      <c r="O645" s="74">
        <v>26030</v>
      </c>
    </row>
    <row r="646" spans="1:15">
      <c r="A646" s="107"/>
      <c r="B646" s="107"/>
      <c r="C646" s="107"/>
      <c r="D646" s="68" t="s">
        <v>456</v>
      </c>
      <c r="E646" t="s">
        <v>471</v>
      </c>
      <c r="G646" s="47" t="s">
        <v>57</v>
      </c>
      <c r="H646" s="67">
        <v>44651</v>
      </c>
      <c r="J646" s="73"/>
      <c r="K646" s="74"/>
      <c r="L646" s="73"/>
      <c r="M646" s="74">
        <v>6202</v>
      </c>
      <c r="N646" s="73">
        <v>5794</v>
      </c>
      <c r="O646" s="74">
        <v>5795</v>
      </c>
    </row>
    <row r="647" spans="1:15">
      <c r="A647" s="107"/>
      <c r="B647" s="107"/>
      <c r="C647" s="107"/>
      <c r="D647" s="68" t="s">
        <v>456</v>
      </c>
      <c r="E647" t="s">
        <v>472</v>
      </c>
      <c r="G647" s="47" t="s">
        <v>57</v>
      </c>
      <c r="H647" s="67">
        <v>44651</v>
      </c>
      <c r="J647" s="73"/>
      <c r="K647" s="74"/>
      <c r="L647" s="73"/>
      <c r="M647" s="74">
        <v>944</v>
      </c>
      <c r="N647" s="73">
        <v>1473</v>
      </c>
      <c r="O647" s="74">
        <v>964</v>
      </c>
    </row>
    <row r="648" spans="1:15">
      <c r="A648" s="107"/>
      <c r="B648" s="107"/>
      <c r="C648" s="107"/>
      <c r="D648" s="68" t="s">
        <v>456</v>
      </c>
      <c r="E648" t="s">
        <v>478</v>
      </c>
      <c r="G648" s="47" t="s">
        <v>57</v>
      </c>
      <c r="H648" s="67">
        <v>44651</v>
      </c>
      <c r="J648" s="73"/>
      <c r="K648" s="74"/>
      <c r="L648" s="73"/>
      <c r="M648" s="74">
        <v>18007</v>
      </c>
      <c r="N648" s="73">
        <v>21581</v>
      </c>
      <c r="O648" s="74">
        <v>23068</v>
      </c>
    </row>
    <row r="649" spans="1:15">
      <c r="A649" s="107"/>
      <c r="B649" s="107"/>
      <c r="C649" s="107"/>
      <c r="D649" s="68" t="s">
        <v>456</v>
      </c>
      <c r="E649" t="s">
        <v>473</v>
      </c>
      <c r="G649" s="47" t="s">
        <v>57</v>
      </c>
      <c r="H649" s="67">
        <v>44651</v>
      </c>
      <c r="J649" s="73"/>
      <c r="K649" s="74"/>
      <c r="L649" s="73"/>
      <c r="M649" s="74">
        <v>0</v>
      </c>
      <c r="N649" s="73">
        <v>0</v>
      </c>
      <c r="O649" s="74">
        <v>0</v>
      </c>
    </row>
    <row r="650" spans="1:15">
      <c r="A650" s="107"/>
      <c r="B650" s="107"/>
      <c r="C650" s="107"/>
      <c r="D650" s="68" t="s">
        <v>456</v>
      </c>
      <c r="E650" t="s">
        <v>474</v>
      </c>
      <c r="G650" s="47" t="s">
        <v>57</v>
      </c>
      <c r="H650" s="67">
        <v>44651</v>
      </c>
      <c r="J650" s="73"/>
      <c r="K650" s="74"/>
      <c r="L650" s="73"/>
      <c r="M650" s="74">
        <v>3</v>
      </c>
      <c r="N650" s="73">
        <v>3</v>
      </c>
      <c r="O650" s="74">
        <v>3</v>
      </c>
    </row>
    <row r="651" spans="1:15">
      <c r="A651" s="107"/>
      <c r="B651" s="107"/>
      <c r="C651" s="107"/>
      <c r="D651" s="68" t="s">
        <v>456</v>
      </c>
      <c r="E651" t="s">
        <v>475</v>
      </c>
      <c r="G651" s="47" t="s">
        <v>57</v>
      </c>
      <c r="H651" s="67">
        <v>44651</v>
      </c>
      <c r="J651" s="73"/>
      <c r="K651" s="74"/>
      <c r="L651" s="73"/>
      <c r="M651" s="74">
        <v>3894</v>
      </c>
      <c r="N651" s="73">
        <v>5505</v>
      </c>
      <c r="O651" s="74">
        <v>6548</v>
      </c>
    </row>
    <row r="652" spans="1:15">
      <c r="A652" s="107"/>
      <c r="B652" s="107"/>
      <c r="C652" s="107"/>
      <c r="D652" s="68" t="s">
        <v>456</v>
      </c>
      <c r="E652" t="s">
        <v>476</v>
      </c>
      <c r="G652" s="47" t="s">
        <v>57</v>
      </c>
      <c r="H652" s="67">
        <v>44651</v>
      </c>
      <c r="J652" s="73"/>
      <c r="K652" s="74"/>
      <c r="L652" s="73"/>
      <c r="M652" s="74">
        <v>14110</v>
      </c>
      <c r="N652" s="73">
        <v>16073</v>
      </c>
      <c r="O652" s="74">
        <v>16517</v>
      </c>
    </row>
    <row r="653" spans="1:15">
      <c r="A653" s="107"/>
      <c r="B653" s="107"/>
      <c r="C653" s="107"/>
      <c r="D653" s="68" t="s">
        <v>456</v>
      </c>
      <c r="E653" t="s">
        <v>477</v>
      </c>
      <c r="G653" s="47" t="s">
        <v>57</v>
      </c>
      <c r="H653" s="67">
        <v>44651</v>
      </c>
      <c r="J653" s="73"/>
      <c r="K653" s="74"/>
      <c r="L653" s="73"/>
      <c r="M653" s="74">
        <v>0</v>
      </c>
      <c r="N653" s="73">
        <v>0</v>
      </c>
      <c r="O653" s="74">
        <v>0</v>
      </c>
    </row>
    <row r="654" spans="1:15">
      <c r="A654" s="107"/>
      <c r="B654" s="107"/>
      <c r="C654" s="107"/>
      <c r="D654" s="68" t="s">
        <v>424</v>
      </c>
      <c r="H654" s="67">
        <v>44651</v>
      </c>
      <c r="J654" s="73"/>
      <c r="K654" s="74"/>
      <c r="L654" s="73"/>
      <c r="M654" s="74"/>
      <c r="N654" s="73"/>
      <c r="O654" s="74" t="s">
        <v>468</v>
      </c>
    </row>
    <row r="655" spans="1:15">
      <c r="A655" s="107" t="s">
        <v>195</v>
      </c>
      <c r="B655" s="107" t="s">
        <v>196</v>
      </c>
      <c r="C655" s="107" t="s">
        <v>197</v>
      </c>
      <c r="D655" s="68" t="s">
        <v>417</v>
      </c>
      <c r="G655" t="s">
        <v>434</v>
      </c>
      <c r="H655" s="67">
        <v>44561</v>
      </c>
      <c r="J655" s="73">
        <v>80501000</v>
      </c>
      <c r="K655" s="74">
        <v>80501000</v>
      </c>
      <c r="L655" s="73">
        <v>81099000</v>
      </c>
      <c r="M655" s="74">
        <v>78384000</v>
      </c>
      <c r="N655" s="73">
        <v>62860000</v>
      </c>
      <c r="O655" s="74"/>
    </row>
    <row r="656" spans="1:15">
      <c r="A656" s="107"/>
      <c r="B656" s="107"/>
      <c r="C656" s="107"/>
      <c r="D656" s="68" t="s">
        <v>418</v>
      </c>
      <c r="E656" t="s">
        <v>419</v>
      </c>
      <c r="G656" t="s">
        <v>434</v>
      </c>
      <c r="H656" s="67">
        <v>44561</v>
      </c>
      <c r="J656" s="73">
        <v>12478000</v>
      </c>
      <c r="K656" s="74">
        <v>12478000</v>
      </c>
      <c r="L656" s="73">
        <v>12563000</v>
      </c>
      <c r="M656" s="74">
        <v>11878000</v>
      </c>
      <c r="N656" s="73">
        <v>10846000</v>
      </c>
      <c r="O656" s="74"/>
    </row>
    <row r="657" spans="1:15">
      <c r="A657" s="107"/>
      <c r="B657" s="107"/>
      <c r="C657" s="107"/>
      <c r="D657" s="68" t="s">
        <v>420</v>
      </c>
      <c r="E657" t="s">
        <v>419</v>
      </c>
      <c r="G657" t="s">
        <v>434</v>
      </c>
      <c r="H657" s="67">
        <v>44561</v>
      </c>
      <c r="J657" s="73">
        <v>92979000</v>
      </c>
      <c r="K657" s="74">
        <v>92979000</v>
      </c>
      <c r="L657" s="73">
        <v>93662000</v>
      </c>
      <c r="M657" s="74">
        <v>90262000</v>
      </c>
      <c r="N657" s="73">
        <v>73706000</v>
      </c>
      <c r="O657" s="74"/>
    </row>
    <row r="658" spans="1:15">
      <c r="A658" s="107"/>
      <c r="B658" s="107"/>
      <c r="C658" s="107"/>
      <c r="D658" s="68" t="s">
        <v>421</v>
      </c>
      <c r="E658" t="s">
        <v>422</v>
      </c>
      <c r="G658" t="s">
        <v>434</v>
      </c>
      <c r="H658" s="67">
        <v>44561</v>
      </c>
      <c r="J658" s="73">
        <v>20957000</v>
      </c>
      <c r="K658" s="74">
        <v>20957000</v>
      </c>
      <c r="L658" s="73">
        <v>21191000</v>
      </c>
      <c r="M658" s="74">
        <v>20937000</v>
      </c>
      <c r="N658" s="73">
        <v>18078000</v>
      </c>
      <c r="O658" s="74"/>
    </row>
    <row r="659" spans="1:15">
      <c r="A659" s="107"/>
      <c r="B659" s="107"/>
      <c r="C659" s="107"/>
      <c r="D659" s="68" t="s">
        <v>423</v>
      </c>
      <c r="G659" t="s">
        <v>100</v>
      </c>
      <c r="H659" s="67">
        <v>44561</v>
      </c>
      <c r="J659" s="73">
        <v>49580000</v>
      </c>
      <c r="K659" s="74">
        <v>49580000</v>
      </c>
      <c r="L659" s="73">
        <v>48500000</v>
      </c>
      <c r="M659" s="74">
        <v>45890000</v>
      </c>
      <c r="N659" s="73">
        <v>36630000</v>
      </c>
      <c r="O659" s="74"/>
    </row>
    <row r="660" spans="1:15">
      <c r="A660" s="107"/>
      <c r="B660" s="107"/>
      <c r="C660" s="107"/>
      <c r="D660" s="68" t="s">
        <v>424</v>
      </c>
      <c r="H660" s="67"/>
      <c r="J660" s="73"/>
      <c r="K660" s="74"/>
      <c r="L660" s="73"/>
      <c r="M660" s="74"/>
      <c r="N660" s="73"/>
      <c r="O660" s="74"/>
    </row>
    <row r="661" spans="1:15">
      <c r="A661" s="107" t="s">
        <v>195</v>
      </c>
      <c r="B661" s="107" t="s">
        <v>196</v>
      </c>
      <c r="C661" s="107" t="s">
        <v>197</v>
      </c>
      <c r="D661" s="68" t="s">
        <v>417</v>
      </c>
      <c r="G661" t="s">
        <v>433</v>
      </c>
      <c r="H661" s="67">
        <v>44651</v>
      </c>
      <c r="J661" s="73"/>
      <c r="K661" s="74">
        <f>80728</f>
        <v>80728</v>
      </c>
      <c r="L661" s="73">
        <f>81337</f>
        <v>81337</v>
      </c>
      <c r="M661" s="74">
        <f>78584</f>
        <v>78584</v>
      </c>
      <c r="N661" s="73">
        <f>62987</f>
        <v>62987</v>
      </c>
      <c r="O661" s="74">
        <f>71292</f>
        <v>71292</v>
      </c>
    </row>
    <row r="662" spans="1:15">
      <c r="A662" s="107"/>
      <c r="B662" s="107"/>
      <c r="C662" s="107"/>
      <c r="D662" s="68" t="s">
        <v>418</v>
      </c>
      <c r="G662" t="s">
        <v>433</v>
      </c>
      <c r="H662" s="67">
        <v>44651</v>
      </c>
      <c r="J662" s="73"/>
      <c r="K662" s="74">
        <f>12968</f>
        <v>12968</v>
      </c>
      <c r="L662" s="73">
        <f>12850</f>
        <v>12850</v>
      </c>
      <c r="M662" s="74">
        <f>12091</f>
        <v>12091</v>
      </c>
      <c r="N662" s="73">
        <f>11035</f>
        <v>11035</v>
      </c>
      <c r="O662" s="74">
        <f>12478</f>
        <v>12478</v>
      </c>
    </row>
    <row r="663" spans="1:15">
      <c r="A663" s="107"/>
      <c r="B663" s="107"/>
      <c r="C663" s="107"/>
      <c r="D663" s="68" t="s">
        <v>420</v>
      </c>
      <c r="G663" t="s">
        <v>433</v>
      </c>
      <c r="H663" s="67">
        <v>44651</v>
      </c>
      <c r="J663" s="73"/>
      <c r="K663" s="74">
        <f>K661+K662</f>
        <v>93696</v>
      </c>
      <c r="L663" s="74">
        <f>L661+L662</f>
        <v>94187</v>
      </c>
      <c r="M663" s="74">
        <f>M661+M662</f>
        <v>90675</v>
      </c>
      <c r="N663" s="74">
        <f>N661+N662</f>
        <v>74022</v>
      </c>
      <c r="O663" s="74">
        <f>O661+O662</f>
        <v>83770</v>
      </c>
    </row>
    <row r="664" spans="1:15">
      <c r="A664" s="107"/>
      <c r="B664" s="107"/>
      <c r="C664" s="107"/>
      <c r="D664" s="68" t="s">
        <v>421</v>
      </c>
      <c r="E664" t="s">
        <v>506</v>
      </c>
      <c r="G664" t="s">
        <v>433</v>
      </c>
      <c r="H664" s="67">
        <v>44651</v>
      </c>
      <c r="J664" s="73"/>
      <c r="K664" s="74"/>
      <c r="L664" s="73"/>
      <c r="M664" s="74">
        <v>17063</v>
      </c>
      <c r="N664" s="73">
        <v>14379</v>
      </c>
      <c r="O664" s="74">
        <v>15994</v>
      </c>
    </row>
    <row r="665" spans="1:15">
      <c r="A665" s="107"/>
      <c r="B665" s="107"/>
      <c r="C665" s="107"/>
      <c r="D665" s="68" t="s">
        <v>421</v>
      </c>
      <c r="E665" t="s">
        <v>507</v>
      </c>
      <c r="G665" t="s">
        <v>433</v>
      </c>
      <c r="H665" s="67">
        <v>44651</v>
      </c>
      <c r="J665" s="73"/>
      <c r="K665" s="74"/>
      <c r="L665" s="73"/>
      <c r="M665" s="74">
        <v>1656</v>
      </c>
      <c r="N665" s="73">
        <v>1632</v>
      </c>
      <c r="O665" s="74">
        <v>1400</v>
      </c>
    </row>
    <row r="666" spans="1:15">
      <c r="A666" s="107"/>
      <c r="B666" s="107"/>
      <c r="C666" s="107"/>
      <c r="D666" s="68" t="s">
        <v>421</v>
      </c>
      <c r="E666" t="s">
        <v>508</v>
      </c>
      <c r="G666" t="s">
        <v>433</v>
      </c>
      <c r="H666" s="67">
        <v>44651</v>
      </c>
      <c r="J666" s="73"/>
      <c r="K666" s="74"/>
      <c r="L666" s="73"/>
      <c r="M666" s="74">
        <v>305</v>
      </c>
      <c r="N666" s="73">
        <v>291</v>
      </c>
      <c r="O666" s="74">
        <v>338</v>
      </c>
    </row>
    <row r="667" spans="1:15">
      <c r="A667" s="107"/>
      <c r="B667" s="107"/>
      <c r="C667" s="107"/>
      <c r="D667" s="68" t="s">
        <v>421</v>
      </c>
      <c r="E667" t="s">
        <v>509</v>
      </c>
      <c r="G667" t="s">
        <v>433</v>
      </c>
      <c r="H667" s="67">
        <v>44651</v>
      </c>
      <c r="J667" s="73"/>
      <c r="K667" s="74"/>
      <c r="L667" s="73"/>
      <c r="M667" s="74">
        <v>683</v>
      </c>
      <c r="N667" s="73">
        <v>629</v>
      </c>
      <c r="O667" s="74">
        <v>710</v>
      </c>
    </row>
    <row r="668" spans="1:15">
      <c r="A668" s="107"/>
      <c r="B668" s="107"/>
      <c r="C668" s="107"/>
      <c r="D668" s="68" t="s">
        <v>421</v>
      </c>
      <c r="E668" t="s">
        <v>510</v>
      </c>
      <c r="G668" t="s">
        <v>433</v>
      </c>
      <c r="H668" s="67">
        <v>44651</v>
      </c>
      <c r="J668" s="73"/>
      <c r="K668" s="74"/>
      <c r="L668" s="73"/>
      <c r="M668" s="74">
        <v>5</v>
      </c>
      <c r="N668" s="73">
        <v>4</v>
      </c>
      <c r="O668" s="74">
        <v>5</v>
      </c>
    </row>
    <row r="669" spans="1:15">
      <c r="A669" s="107"/>
      <c r="B669" s="107"/>
      <c r="C669" s="107"/>
      <c r="D669" s="68" t="s">
        <v>421</v>
      </c>
      <c r="E669" t="s">
        <v>466</v>
      </c>
      <c r="G669" t="s">
        <v>433</v>
      </c>
      <c r="H669" s="67">
        <v>44651</v>
      </c>
      <c r="J669" s="73"/>
      <c r="K669" s="74"/>
      <c r="L669" s="73"/>
      <c r="M669" s="74">
        <v>4</v>
      </c>
      <c r="N669" s="73">
        <v>4</v>
      </c>
      <c r="O669" s="74">
        <v>4</v>
      </c>
    </row>
    <row r="670" spans="1:15">
      <c r="A670" s="107"/>
      <c r="B670" s="107"/>
      <c r="C670" s="107"/>
      <c r="D670" s="68" t="s">
        <v>421</v>
      </c>
      <c r="E670" t="s">
        <v>465</v>
      </c>
      <c r="G670" t="s">
        <v>433</v>
      </c>
      <c r="H670" s="67">
        <v>44651</v>
      </c>
      <c r="J670" s="73"/>
      <c r="K670" s="74"/>
      <c r="L670" s="73"/>
      <c r="M670" s="74">
        <v>13</v>
      </c>
      <c r="N670" s="73">
        <v>14</v>
      </c>
      <c r="O670" s="74">
        <v>14</v>
      </c>
    </row>
    <row r="671" spans="1:15">
      <c r="A671" s="107"/>
      <c r="B671" s="107"/>
      <c r="C671" s="107"/>
      <c r="D671" s="68" t="s">
        <v>421</v>
      </c>
      <c r="E671" t="s">
        <v>511</v>
      </c>
      <c r="G671" t="s">
        <v>433</v>
      </c>
      <c r="H671" s="67">
        <v>44651</v>
      </c>
      <c r="J671" s="73"/>
      <c r="K671" s="74"/>
      <c r="L671" s="73"/>
      <c r="M671" s="74">
        <v>1208</v>
      </c>
      <c r="N671" s="73">
        <v>1125</v>
      </c>
      <c r="O671" s="74">
        <v>1053</v>
      </c>
    </row>
    <row r="672" spans="1:15">
      <c r="A672" s="107"/>
      <c r="B672" s="107"/>
      <c r="C672" s="107"/>
      <c r="D672" s="68" t="s">
        <v>423</v>
      </c>
      <c r="G672" t="s">
        <v>512</v>
      </c>
      <c r="H672" s="67">
        <v>44651</v>
      </c>
      <c r="J672" s="73"/>
      <c r="K672" s="74">
        <v>4968</v>
      </c>
      <c r="L672" s="73">
        <v>4990</v>
      </c>
      <c r="M672" s="74">
        <v>4709</v>
      </c>
      <c r="N672" s="73">
        <v>3766</v>
      </c>
      <c r="O672" s="74">
        <v>4445</v>
      </c>
    </row>
    <row r="673" spans="1:15">
      <c r="A673" s="107"/>
      <c r="B673" s="107"/>
      <c r="C673" s="107"/>
      <c r="D673" s="68" t="s">
        <v>424</v>
      </c>
      <c r="H673" s="67"/>
      <c r="J673" s="73"/>
      <c r="K673" s="74"/>
      <c r="L673" s="73"/>
      <c r="M673" s="74"/>
      <c r="N673" s="73"/>
      <c r="O673" s="74" t="s">
        <v>513</v>
      </c>
    </row>
    <row r="674" spans="1:15">
      <c r="A674" s="107" t="s">
        <v>200</v>
      </c>
      <c r="B674" s="107" t="s">
        <v>201</v>
      </c>
      <c r="C674" s="107" t="s">
        <v>202</v>
      </c>
      <c r="D674" s="68" t="s">
        <v>417</v>
      </c>
      <c r="G674" t="s">
        <v>435</v>
      </c>
      <c r="H674" s="67">
        <v>44561</v>
      </c>
      <c r="J674" s="73">
        <v>9.9601014764331595</v>
      </c>
      <c r="K674" s="74">
        <v>9.6960935392110308</v>
      </c>
      <c r="L674" s="73">
        <v>10.8006060749735</v>
      </c>
      <c r="M674" s="74">
        <v>8.57140918766944</v>
      </c>
      <c r="N674" s="73">
        <v>5.9569034121262199</v>
      </c>
      <c r="O674" s="74"/>
    </row>
    <row r="675" spans="1:15">
      <c r="A675" s="107"/>
      <c r="B675" s="107"/>
      <c r="C675" s="107"/>
      <c r="D675" s="68" t="s">
        <v>418</v>
      </c>
      <c r="E675" t="s">
        <v>419</v>
      </c>
      <c r="G675" t="s">
        <v>435</v>
      </c>
      <c r="H675" s="67">
        <v>44561</v>
      </c>
      <c r="J675" s="73">
        <v>0</v>
      </c>
      <c r="K675" s="74">
        <v>0</v>
      </c>
      <c r="L675" s="73">
        <v>0</v>
      </c>
      <c r="M675" s="74">
        <v>0</v>
      </c>
      <c r="N675" s="73">
        <v>0</v>
      </c>
      <c r="O675" s="74"/>
    </row>
    <row r="676" spans="1:15">
      <c r="A676" s="107"/>
      <c r="B676" s="107"/>
      <c r="C676" s="107"/>
      <c r="D676" s="68" t="s">
        <v>420</v>
      </c>
      <c r="E676" t="s">
        <v>419</v>
      </c>
      <c r="G676" t="s">
        <v>435</v>
      </c>
      <c r="H676" s="67">
        <v>44561</v>
      </c>
      <c r="J676" s="73">
        <v>9.9601014764331595</v>
      </c>
      <c r="K676" s="74">
        <v>9.6960935392110308</v>
      </c>
      <c r="L676" s="73">
        <v>10.8006060749735</v>
      </c>
      <c r="M676" s="74">
        <v>8.57140918766944</v>
      </c>
      <c r="N676" s="73">
        <v>5.9569034121262199</v>
      </c>
      <c r="O676" s="74"/>
    </row>
    <row r="677" spans="1:15">
      <c r="A677" s="107"/>
      <c r="B677" s="107"/>
      <c r="C677" s="107"/>
      <c r="D677" s="68" t="s">
        <v>421</v>
      </c>
      <c r="E677" t="s">
        <v>422</v>
      </c>
      <c r="G677" t="s">
        <v>435</v>
      </c>
      <c r="H677" s="67">
        <v>44561</v>
      </c>
      <c r="J677" s="73"/>
      <c r="K677" s="74"/>
      <c r="L677" s="73"/>
      <c r="M677" s="74"/>
      <c r="N677" s="73"/>
      <c r="O677" s="74"/>
    </row>
    <row r="678" spans="1:15">
      <c r="A678" s="107"/>
      <c r="B678" s="107"/>
      <c r="C678" s="107"/>
      <c r="D678" s="68" t="s">
        <v>423</v>
      </c>
      <c r="G678" t="s">
        <v>63</v>
      </c>
      <c r="H678" s="67">
        <v>44561</v>
      </c>
      <c r="J678" s="73">
        <v>11.781155</v>
      </c>
      <c r="K678" s="74">
        <v>11.451045000000001</v>
      </c>
      <c r="L678" s="73">
        <v>11.979272999999999</v>
      </c>
      <c r="M678" s="74">
        <v>10.329416</v>
      </c>
      <c r="N678" s="73">
        <v>7.6103259999999997</v>
      </c>
      <c r="O678" s="74"/>
    </row>
    <row r="679" spans="1:15">
      <c r="A679" s="107"/>
      <c r="B679" s="107"/>
      <c r="C679" s="107"/>
      <c r="D679" s="68" t="s">
        <v>424</v>
      </c>
      <c r="H679" s="67"/>
      <c r="J679" s="73"/>
      <c r="K679" s="74"/>
      <c r="L679" s="73"/>
      <c r="M679" s="74"/>
      <c r="N679" s="73"/>
      <c r="O679" s="74"/>
    </row>
    <row r="680" spans="1:15">
      <c r="A680" s="107" t="s">
        <v>203</v>
      </c>
      <c r="B680" s="107" t="s">
        <v>204</v>
      </c>
      <c r="C680" s="107" t="s">
        <v>205</v>
      </c>
      <c r="D680" s="68" t="s">
        <v>417</v>
      </c>
      <c r="G680" t="s">
        <v>435</v>
      </c>
      <c r="H680" s="67">
        <v>44561</v>
      </c>
      <c r="J680" s="73">
        <v>10.5828883047778</v>
      </c>
      <c r="K680" s="74">
        <v>11.130297979750001</v>
      </c>
      <c r="L680" s="73">
        <v>10.9934962219328</v>
      </c>
      <c r="M680" s="74">
        <v>10.7429245489505</v>
      </c>
      <c r="N680" s="73">
        <v>7.6614925655895103</v>
      </c>
      <c r="O680" s="74"/>
    </row>
    <row r="681" spans="1:15">
      <c r="A681" s="107"/>
      <c r="B681" s="107"/>
      <c r="C681" s="107"/>
      <c r="D681" s="68" t="s">
        <v>418</v>
      </c>
      <c r="E681" t="s">
        <v>419</v>
      </c>
      <c r="G681" t="s">
        <v>435</v>
      </c>
      <c r="H681" s="67">
        <v>44561</v>
      </c>
      <c r="J681" s="73">
        <v>0</v>
      </c>
      <c r="K681" s="74">
        <v>0</v>
      </c>
      <c r="L681" s="73">
        <v>0</v>
      </c>
      <c r="M681" s="74">
        <v>0</v>
      </c>
      <c r="N681" s="73">
        <v>0</v>
      </c>
      <c r="O681" s="74"/>
    </row>
    <row r="682" spans="1:15">
      <c r="A682" s="107"/>
      <c r="B682" s="107"/>
      <c r="C682" s="107"/>
      <c r="D682" s="68" t="s">
        <v>420</v>
      </c>
      <c r="E682" t="s">
        <v>419</v>
      </c>
      <c r="G682" t="s">
        <v>435</v>
      </c>
      <c r="H682" s="67">
        <v>44561</v>
      </c>
      <c r="J682" s="73">
        <v>10.5828883047778</v>
      </c>
      <c r="K682" s="74">
        <v>11.130297979750001</v>
      </c>
      <c r="L682" s="73">
        <v>10.9934962219328</v>
      </c>
      <c r="M682" s="74">
        <v>10.7429245489505</v>
      </c>
      <c r="N682" s="73">
        <v>7.6614925655895103</v>
      </c>
      <c r="O682" s="74"/>
    </row>
    <row r="683" spans="1:15">
      <c r="A683" s="107"/>
      <c r="B683" s="107"/>
      <c r="C683" s="107"/>
      <c r="D683" s="68" t="s">
        <v>421</v>
      </c>
      <c r="E683" t="s">
        <v>422</v>
      </c>
      <c r="G683" t="s">
        <v>435</v>
      </c>
      <c r="H683" s="67">
        <v>44561</v>
      </c>
      <c r="J683" s="73"/>
      <c r="K683" s="74"/>
      <c r="L683" s="73"/>
      <c r="M683" s="74"/>
      <c r="N683" s="73"/>
      <c r="O683" s="74"/>
    </row>
    <row r="684" spans="1:15">
      <c r="A684" s="107"/>
      <c r="B684" s="107"/>
      <c r="C684" s="107"/>
      <c r="D684" s="68" t="s">
        <v>423</v>
      </c>
      <c r="G684" t="s">
        <v>63</v>
      </c>
      <c r="H684" s="67">
        <v>44561</v>
      </c>
      <c r="J684" s="73">
        <v>21.821417649600001</v>
      </c>
      <c r="K684" s="74">
        <v>23.083953169600001</v>
      </c>
      <c r="L684" s="73">
        <v>23.586075636698801</v>
      </c>
      <c r="M684" s="74">
        <v>23.480624323200001</v>
      </c>
      <c r="N684" s="73">
        <v>19.634134127999999</v>
      </c>
      <c r="O684" s="74"/>
    </row>
    <row r="685" spans="1:15">
      <c r="A685" s="107"/>
      <c r="B685" s="107"/>
      <c r="C685" s="107"/>
      <c r="D685" s="68" t="s">
        <v>424</v>
      </c>
      <c r="H685" s="67"/>
      <c r="J685" s="73"/>
      <c r="K685" s="74"/>
      <c r="L685" s="73"/>
      <c r="M685" s="74"/>
      <c r="N685" s="73"/>
      <c r="O685" s="74"/>
    </row>
    <row r="686" spans="1:15">
      <c r="A686" s="107" t="s">
        <v>206</v>
      </c>
      <c r="B686" s="107" t="s">
        <v>207</v>
      </c>
      <c r="C686" s="107" t="s">
        <v>208</v>
      </c>
      <c r="D686" s="68" t="s">
        <v>417</v>
      </c>
      <c r="G686" t="s">
        <v>434</v>
      </c>
      <c r="H686" s="67">
        <v>44561</v>
      </c>
      <c r="J686" s="73">
        <v>4800000</v>
      </c>
      <c r="K686" s="74">
        <v>4800000</v>
      </c>
      <c r="L686" s="73">
        <v>4800000</v>
      </c>
      <c r="M686" s="74">
        <v>4400000</v>
      </c>
      <c r="N686" s="73">
        <v>4700000</v>
      </c>
      <c r="O686" s="74"/>
    </row>
    <row r="687" spans="1:15">
      <c r="A687" s="107"/>
      <c r="B687" s="107"/>
      <c r="C687" s="107"/>
      <c r="D687" s="68" t="s">
        <v>418</v>
      </c>
      <c r="E687" t="s">
        <v>419</v>
      </c>
      <c r="G687" t="s">
        <v>434</v>
      </c>
      <c r="H687" s="67">
        <v>44561</v>
      </c>
      <c r="J687" s="73">
        <v>5785714.2857142901</v>
      </c>
      <c r="K687" s="74">
        <v>5785714.2857142901</v>
      </c>
      <c r="L687" s="73">
        <v>5785714.2857142901</v>
      </c>
      <c r="M687" s="74">
        <v>5400000</v>
      </c>
      <c r="N687" s="73">
        <v>5400000</v>
      </c>
      <c r="O687" s="74"/>
    </row>
    <row r="688" spans="1:15">
      <c r="A688" s="107"/>
      <c r="B688" s="107"/>
      <c r="C688" s="107"/>
      <c r="D688" s="68" t="s">
        <v>420</v>
      </c>
      <c r="E688" t="s">
        <v>419</v>
      </c>
      <c r="G688" t="s">
        <v>434</v>
      </c>
      <c r="H688" s="67">
        <v>44561</v>
      </c>
      <c r="J688" s="73">
        <v>10585714.285714289</v>
      </c>
      <c r="K688" s="74">
        <v>10585714.285714289</v>
      </c>
      <c r="L688" s="73">
        <v>10585714.285714289</v>
      </c>
      <c r="M688" s="74">
        <v>9800000</v>
      </c>
      <c r="N688" s="73">
        <v>10100000</v>
      </c>
      <c r="O688" s="74"/>
    </row>
    <row r="689" spans="1:15">
      <c r="A689" s="107"/>
      <c r="B689" s="107"/>
      <c r="C689" s="107"/>
      <c r="D689" s="68" t="s">
        <v>421</v>
      </c>
      <c r="E689" t="s">
        <v>422</v>
      </c>
      <c r="G689" t="s">
        <v>434</v>
      </c>
      <c r="H689" s="67">
        <v>44561</v>
      </c>
      <c r="J689" s="73">
        <v>7557446.8085106397</v>
      </c>
      <c r="K689" s="74">
        <v>7557446.8085106397</v>
      </c>
      <c r="L689" s="73">
        <v>7557446.8085106397</v>
      </c>
      <c r="M689" s="74">
        <v>6927659.5744680902</v>
      </c>
      <c r="N689" s="73">
        <v>7400000</v>
      </c>
      <c r="O689" s="74"/>
    </row>
    <row r="690" spans="1:15">
      <c r="A690" s="107"/>
      <c r="B690" s="107"/>
      <c r="C690" s="107"/>
      <c r="D690" s="68" t="s">
        <v>423</v>
      </c>
      <c r="G690" t="s">
        <v>100</v>
      </c>
      <c r="H690" s="67">
        <v>44561</v>
      </c>
      <c r="J690" s="73">
        <v>22500000</v>
      </c>
      <c r="K690" s="74">
        <v>22500000</v>
      </c>
      <c r="L690" s="73">
        <v>22500000</v>
      </c>
      <c r="M690" s="74">
        <v>20700000</v>
      </c>
      <c r="N690" s="73">
        <v>20300000</v>
      </c>
      <c r="O690" s="74"/>
    </row>
    <row r="691" spans="1:15">
      <c r="A691" s="107"/>
      <c r="B691" s="107"/>
      <c r="C691" s="107"/>
      <c r="D691" s="68" t="s">
        <v>424</v>
      </c>
      <c r="H691" s="67"/>
      <c r="J691" s="73"/>
      <c r="K691" s="74"/>
      <c r="L691" s="73"/>
      <c r="M691" s="74"/>
      <c r="N691" s="73"/>
      <c r="O691" s="74"/>
    </row>
    <row r="692" spans="1:15">
      <c r="A692" s="107" t="s">
        <v>206</v>
      </c>
      <c r="B692" s="107" t="s">
        <v>207</v>
      </c>
      <c r="C692" s="107" t="s">
        <v>208</v>
      </c>
      <c r="D692" s="68" t="s">
        <v>417</v>
      </c>
      <c r="G692" t="s">
        <v>434</v>
      </c>
      <c r="H692" s="67">
        <v>44561</v>
      </c>
      <c r="J692" s="73"/>
      <c r="K692" s="74"/>
      <c r="L692" s="73"/>
      <c r="M692" s="74"/>
      <c r="N692" s="73"/>
      <c r="O692" s="74">
        <v>7100000</v>
      </c>
    </row>
    <row r="693" spans="1:15">
      <c r="A693" s="107"/>
      <c r="B693" s="107"/>
      <c r="C693" s="107"/>
      <c r="D693" s="68" t="s">
        <v>418</v>
      </c>
      <c r="E693" t="s">
        <v>419</v>
      </c>
      <c r="G693" t="s">
        <v>434</v>
      </c>
      <c r="H693" s="67">
        <v>44561</v>
      </c>
      <c r="J693" s="73"/>
      <c r="K693" s="74"/>
      <c r="L693" s="73"/>
      <c r="M693" s="74"/>
      <c r="N693" s="73"/>
      <c r="O693" s="74">
        <v>5700000</v>
      </c>
    </row>
    <row r="694" spans="1:15">
      <c r="A694" s="107"/>
      <c r="B694" s="107"/>
      <c r="C694" s="107"/>
      <c r="D694" s="68" t="s">
        <v>420</v>
      </c>
      <c r="E694" t="s">
        <v>419</v>
      </c>
      <c r="G694" t="s">
        <v>434</v>
      </c>
      <c r="H694" s="67">
        <v>44561</v>
      </c>
      <c r="J694" s="73"/>
      <c r="K694" s="74"/>
      <c r="L694" s="73"/>
      <c r="M694" s="74"/>
      <c r="N694" s="73"/>
      <c r="O694" s="74">
        <f>O692+O693</f>
        <v>12800000</v>
      </c>
    </row>
    <row r="695" spans="1:15">
      <c r="A695" s="107"/>
      <c r="B695" s="107"/>
      <c r="C695" s="107"/>
      <c r="D695" s="68" t="s">
        <v>421</v>
      </c>
      <c r="E695" t="s">
        <v>422</v>
      </c>
      <c r="G695" t="s">
        <v>434</v>
      </c>
      <c r="H695" s="67">
        <v>44561</v>
      </c>
      <c r="J695" s="73"/>
      <c r="K695" s="74"/>
      <c r="L695" s="73"/>
      <c r="M695" s="74"/>
      <c r="N695" s="73"/>
      <c r="O695" s="74">
        <v>7300000</v>
      </c>
    </row>
    <row r="696" spans="1:15">
      <c r="A696" s="107"/>
      <c r="B696" s="107"/>
      <c r="C696" s="107"/>
      <c r="D696" s="68" t="s">
        <v>423</v>
      </c>
      <c r="G696" t="s">
        <v>100</v>
      </c>
      <c r="H696" s="67">
        <v>44561</v>
      </c>
      <c r="J696" s="73"/>
      <c r="K696" s="74"/>
      <c r="L696" s="73"/>
      <c r="M696" s="74"/>
      <c r="N696" s="73"/>
      <c r="O696" s="74">
        <f>O694/0.43</f>
        <v>29767441.860465117</v>
      </c>
    </row>
    <row r="697" spans="1:15">
      <c r="A697" s="107"/>
      <c r="B697" s="107"/>
      <c r="C697" s="107"/>
      <c r="D697" s="68" t="s">
        <v>424</v>
      </c>
      <c r="H697" s="67"/>
      <c r="J697" s="73"/>
      <c r="K697" s="74"/>
      <c r="L697" s="73"/>
      <c r="M697" s="74"/>
      <c r="N697" s="73"/>
      <c r="O697" s="74" t="s">
        <v>467</v>
      </c>
    </row>
    <row r="698" spans="1:15">
      <c r="A698" s="107" t="s">
        <v>209</v>
      </c>
      <c r="B698" s="107" t="s">
        <v>210</v>
      </c>
      <c r="C698" s="107" t="s">
        <v>211</v>
      </c>
      <c r="D698" s="68" t="s">
        <v>417</v>
      </c>
      <c r="G698" t="s">
        <v>434</v>
      </c>
      <c r="H698" s="67">
        <v>44561</v>
      </c>
      <c r="J698" s="73">
        <v>26596742</v>
      </c>
      <c r="K698" s="74">
        <v>29995758</v>
      </c>
      <c r="L698" s="73">
        <v>29344948</v>
      </c>
      <c r="M698" s="74">
        <v>24205850</v>
      </c>
      <c r="N698" s="73">
        <v>25759240</v>
      </c>
      <c r="O698" s="74"/>
    </row>
    <row r="699" spans="1:15">
      <c r="A699" s="107"/>
      <c r="B699" s="107"/>
      <c r="C699" s="107"/>
      <c r="D699" s="68" t="s">
        <v>418</v>
      </c>
      <c r="E699" t="s">
        <v>419</v>
      </c>
      <c r="G699" t="s">
        <v>434</v>
      </c>
      <c r="H699" s="67">
        <v>44561</v>
      </c>
      <c r="J699" s="73">
        <v>6570582</v>
      </c>
      <c r="K699" s="74">
        <v>6366492</v>
      </c>
      <c r="L699" s="73">
        <v>6552023</v>
      </c>
      <c r="M699" s="74">
        <v>6121318</v>
      </c>
      <c r="N699" s="73">
        <v>6063090</v>
      </c>
      <c r="O699" s="74"/>
    </row>
    <row r="700" spans="1:15">
      <c r="A700" s="107"/>
      <c r="B700" s="107"/>
      <c r="C700" s="107"/>
      <c r="D700" s="68" t="s">
        <v>420</v>
      </c>
      <c r="E700" t="s">
        <v>419</v>
      </c>
      <c r="G700" t="s">
        <v>434</v>
      </c>
      <c r="H700" s="67">
        <v>44561</v>
      </c>
      <c r="J700" s="73">
        <v>33167324</v>
      </c>
      <c r="K700" s="74">
        <v>36362250</v>
      </c>
      <c r="L700" s="73">
        <v>35896971</v>
      </c>
      <c r="M700" s="74">
        <v>30327168</v>
      </c>
      <c r="N700" s="73">
        <v>31822330</v>
      </c>
      <c r="O700" s="74"/>
    </row>
    <row r="701" spans="1:15">
      <c r="A701" s="107"/>
      <c r="B701" s="107"/>
      <c r="C701" s="107"/>
      <c r="D701" s="68" t="s">
        <v>421</v>
      </c>
      <c r="E701" t="s">
        <v>422</v>
      </c>
      <c r="G701" t="s">
        <v>434</v>
      </c>
      <c r="H701" s="67">
        <v>44561</v>
      </c>
      <c r="J701" s="73"/>
      <c r="K701" s="74"/>
      <c r="L701" s="73"/>
      <c r="M701" s="74"/>
      <c r="N701" s="73"/>
      <c r="O701" s="74"/>
    </row>
    <row r="702" spans="1:15">
      <c r="A702" s="107"/>
      <c r="B702" s="107"/>
      <c r="C702" s="107"/>
      <c r="D702" s="68" t="s">
        <v>423</v>
      </c>
      <c r="G702" t="s">
        <v>82</v>
      </c>
      <c r="H702" s="67">
        <v>44561</v>
      </c>
      <c r="J702" s="73">
        <v>50505515</v>
      </c>
      <c r="K702" s="74">
        <v>52757428</v>
      </c>
      <c r="L702" s="73">
        <v>54463960</v>
      </c>
      <c r="M702" s="74">
        <v>48518459</v>
      </c>
      <c r="N702" s="73">
        <v>48413215</v>
      </c>
      <c r="O702" s="74"/>
    </row>
    <row r="703" spans="1:15">
      <c r="A703" s="107"/>
      <c r="B703" s="107"/>
      <c r="C703" s="107"/>
      <c r="D703" s="68" t="s">
        <v>424</v>
      </c>
      <c r="H703" s="67"/>
      <c r="J703" s="73"/>
      <c r="K703" s="74"/>
      <c r="L703" s="73"/>
      <c r="M703" s="74"/>
      <c r="N703" s="73"/>
      <c r="O703" s="74"/>
    </row>
    <row r="704" spans="1:15">
      <c r="A704" s="107" t="s">
        <v>212</v>
      </c>
      <c r="B704" s="107" t="s">
        <v>213</v>
      </c>
      <c r="C704" s="107" t="s">
        <v>214</v>
      </c>
      <c r="D704" s="68" t="s">
        <v>417</v>
      </c>
      <c r="G704" t="s">
        <v>435</v>
      </c>
      <c r="H704" s="67">
        <v>44561</v>
      </c>
      <c r="J704" s="73">
        <v>66</v>
      </c>
      <c r="K704" s="74">
        <v>66.599999999999994</v>
      </c>
      <c r="L704" s="73">
        <v>61.4</v>
      </c>
      <c r="M704" s="74">
        <v>58.8</v>
      </c>
      <c r="N704" s="73">
        <v>55.5</v>
      </c>
      <c r="O704" s="74">
        <v>61.4</v>
      </c>
    </row>
    <row r="705" spans="1:15">
      <c r="A705" s="107"/>
      <c r="B705" s="107"/>
      <c r="C705" s="107"/>
      <c r="D705" s="68" t="s">
        <v>418</v>
      </c>
      <c r="E705" t="s">
        <v>419</v>
      </c>
      <c r="G705" t="s">
        <v>435</v>
      </c>
      <c r="H705" s="67">
        <v>44561</v>
      </c>
      <c r="J705" s="73">
        <v>0.5</v>
      </c>
      <c r="K705" s="74">
        <v>0.4</v>
      </c>
      <c r="L705" s="73">
        <v>0.4</v>
      </c>
      <c r="M705" s="74">
        <v>0.3</v>
      </c>
      <c r="N705" s="73">
        <v>0.2</v>
      </c>
      <c r="O705" s="74">
        <v>0.4</v>
      </c>
    </row>
    <row r="706" spans="1:15">
      <c r="A706" s="107"/>
      <c r="B706" s="107"/>
      <c r="C706" s="107"/>
      <c r="D706" s="68" t="s">
        <v>420</v>
      </c>
      <c r="E706" t="s">
        <v>419</v>
      </c>
      <c r="G706" t="s">
        <v>435</v>
      </c>
      <c r="H706" s="67">
        <v>44561</v>
      </c>
      <c r="J706" s="73">
        <v>66.5</v>
      </c>
      <c r="K706" s="74">
        <v>67</v>
      </c>
      <c r="L706" s="73">
        <v>61.8</v>
      </c>
      <c r="M706" s="74">
        <v>59.099999999999987</v>
      </c>
      <c r="N706" s="73">
        <v>55.7</v>
      </c>
      <c r="O706" s="74">
        <v>61.8</v>
      </c>
    </row>
    <row r="707" spans="1:15">
      <c r="A707" s="107"/>
      <c r="B707" s="107"/>
      <c r="C707" s="107"/>
      <c r="D707" s="68" t="s">
        <v>421</v>
      </c>
      <c r="E707" t="s">
        <v>422</v>
      </c>
      <c r="G707" t="s">
        <v>435</v>
      </c>
      <c r="H707" s="67">
        <v>44561</v>
      </c>
      <c r="J707" s="73">
        <v>459.9</v>
      </c>
      <c r="K707" s="74">
        <v>437.2</v>
      </c>
      <c r="L707" s="73">
        <v>412.3</v>
      </c>
      <c r="M707" s="74">
        <v>400.2</v>
      </c>
      <c r="N707" s="73">
        <v>410.5</v>
      </c>
      <c r="O707" s="74">
        <v>420.4</v>
      </c>
    </row>
    <row r="708" spans="1:15">
      <c r="A708" s="107"/>
      <c r="B708" s="107"/>
      <c r="C708" s="107"/>
      <c r="D708" s="68" t="s">
        <v>423</v>
      </c>
      <c r="G708" t="s">
        <v>185</v>
      </c>
      <c r="H708" s="67">
        <v>44561</v>
      </c>
      <c r="J708" s="73">
        <v>996.6600000000002</v>
      </c>
      <c r="K708" s="74">
        <v>996.6600000000002</v>
      </c>
      <c r="L708" s="73">
        <v>996.6600000000002</v>
      </c>
      <c r="M708" s="74">
        <v>996.6600000000002</v>
      </c>
      <c r="N708" s="73">
        <v>1021.05</v>
      </c>
      <c r="O708" s="74">
        <v>749.7</v>
      </c>
    </row>
    <row r="709" spans="1:15">
      <c r="A709" s="107"/>
      <c r="B709" s="107"/>
      <c r="C709" s="107"/>
      <c r="D709" s="68" t="s">
        <v>424</v>
      </c>
      <c r="H709" s="67"/>
      <c r="J709" s="73"/>
      <c r="K709" s="74"/>
      <c r="L709" s="73"/>
      <c r="M709" s="74"/>
      <c r="N709" s="73"/>
      <c r="O709" s="74"/>
    </row>
    <row r="710" spans="1:15">
      <c r="A710" s="107" t="s">
        <v>215</v>
      </c>
      <c r="B710" s="107" t="s">
        <v>216</v>
      </c>
      <c r="C710" s="107" t="s">
        <v>217</v>
      </c>
      <c r="D710" s="68" t="s">
        <v>417</v>
      </c>
      <c r="G710" t="s">
        <v>435</v>
      </c>
      <c r="H710" s="67">
        <v>44561</v>
      </c>
      <c r="J710" s="73"/>
      <c r="K710" s="74"/>
      <c r="L710" s="73"/>
      <c r="M710" s="74"/>
      <c r="N710" s="73"/>
      <c r="O710" s="74"/>
    </row>
    <row r="711" spans="1:15">
      <c r="A711" s="107"/>
      <c r="B711" s="107"/>
      <c r="C711" s="107"/>
      <c r="D711" s="68" t="s">
        <v>418</v>
      </c>
      <c r="E711" t="s">
        <v>419</v>
      </c>
      <c r="G711" t="s">
        <v>435</v>
      </c>
      <c r="H711" s="67">
        <v>44561</v>
      </c>
      <c r="J711" s="73"/>
      <c r="K711" s="74"/>
      <c r="L711" s="73"/>
      <c r="M711" s="74"/>
      <c r="N711" s="73"/>
      <c r="O711" s="74"/>
    </row>
    <row r="712" spans="1:15">
      <c r="A712" s="107"/>
      <c r="B712" s="107"/>
      <c r="C712" s="107"/>
      <c r="D712" s="68" t="s">
        <v>420</v>
      </c>
      <c r="E712" t="s">
        <v>419</v>
      </c>
      <c r="G712" t="s">
        <v>435</v>
      </c>
      <c r="H712" s="67">
        <v>44561</v>
      </c>
      <c r="J712" s="73"/>
      <c r="K712" s="74">
        <v>56.5</v>
      </c>
      <c r="L712" s="73">
        <v>50.1</v>
      </c>
      <c r="M712" s="74">
        <v>53.8</v>
      </c>
      <c r="N712" s="73">
        <v>48.3</v>
      </c>
      <c r="O712" s="74">
        <v>45.2</v>
      </c>
    </row>
    <row r="713" spans="1:15">
      <c r="A713" s="107"/>
      <c r="B713" s="107"/>
      <c r="C713" s="107"/>
      <c r="D713" s="68" t="s">
        <v>421</v>
      </c>
      <c r="E713" t="s">
        <v>422</v>
      </c>
      <c r="G713" t="s">
        <v>435</v>
      </c>
      <c r="H713" s="67">
        <v>44561</v>
      </c>
      <c r="J713" s="73"/>
      <c r="K713" s="74"/>
      <c r="L713" s="73"/>
      <c r="M713" s="74"/>
      <c r="N713" s="73"/>
      <c r="O713" s="74"/>
    </row>
    <row r="714" spans="1:15">
      <c r="A714" s="107"/>
      <c r="B714" s="107"/>
      <c r="C714" s="107"/>
      <c r="D714" s="68" t="s">
        <v>423</v>
      </c>
      <c r="G714" t="s">
        <v>219</v>
      </c>
      <c r="H714" s="67">
        <v>44561</v>
      </c>
      <c r="J714" s="73"/>
      <c r="K714" s="74">
        <v>636978.57948139799</v>
      </c>
      <c r="L714" s="73">
        <v>675202.15633423172</v>
      </c>
      <c r="M714" s="74">
        <v>832817.33746130043</v>
      </c>
      <c r="N714" s="73">
        <v>732928.67981790588</v>
      </c>
      <c r="O714" s="74">
        <v>943632.56784968683</v>
      </c>
    </row>
    <row r="715" spans="1:15">
      <c r="A715" s="107"/>
      <c r="B715" s="107"/>
      <c r="C715" s="107"/>
      <c r="D715" s="68" t="s">
        <v>424</v>
      </c>
      <c r="H715" s="67"/>
      <c r="J715" s="73"/>
      <c r="K715" s="74"/>
      <c r="L715" s="73"/>
      <c r="M715" s="74"/>
      <c r="N715" s="73"/>
      <c r="O715" s="74"/>
    </row>
    <row r="716" spans="1:15">
      <c r="A716" s="107" t="s">
        <v>220</v>
      </c>
      <c r="B716" s="107" t="s">
        <v>221</v>
      </c>
      <c r="C716" s="107" t="s">
        <v>222</v>
      </c>
      <c r="D716" s="68" t="s">
        <v>417</v>
      </c>
      <c r="G716" t="s">
        <v>435</v>
      </c>
      <c r="H716" s="67">
        <v>44561</v>
      </c>
      <c r="J716" s="73">
        <v>2.21654399278684</v>
      </c>
      <c r="K716" s="74">
        <v>2.25119156640157</v>
      </c>
      <c r="L716" s="73">
        <v>2.4511497723448499</v>
      </c>
      <c r="M716" s="74">
        <v>2.4417731948327601</v>
      </c>
      <c r="N716" s="73">
        <v>2.4929495902512899</v>
      </c>
      <c r="O716" s="74"/>
    </row>
    <row r="717" spans="1:15">
      <c r="A717" s="107"/>
      <c r="B717" s="107"/>
      <c r="C717" s="107"/>
      <c r="D717" s="68" t="s">
        <v>418</v>
      </c>
      <c r="E717" t="s">
        <v>419</v>
      </c>
      <c r="G717" t="s">
        <v>435</v>
      </c>
      <c r="H717" s="67">
        <v>44561</v>
      </c>
      <c r="J717" s="73">
        <v>0</v>
      </c>
      <c r="K717" s="74">
        <v>0</v>
      </c>
      <c r="L717" s="73">
        <v>0</v>
      </c>
      <c r="M717" s="74">
        <v>0</v>
      </c>
      <c r="N717" s="73">
        <v>0</v>
      </c>
      <c r="O717" s="74"/>
    </row>
    <row r="718" spans="1:15">
      <c r="A718" s="107"/>
      <c r="B718" s="107"/>
      <c r="C718" s="107"/>
      <c r="D718" s="68" t="s">
        <v>420</v>
      </c>
      <c r="E718" t="s">
        <v>419</v>
      </c>
      <c r="G718" t="s">
        <v>435</v>
      </c>
      <c r="H718" s="67">
        <v>44561</v>
      </c>
      <c r="J718" s="73">
        <v>2.21654399278684</v>
      </c>
      <c r="K718" s="74">
        <v>2.25119156640157</v>
      </c>
      <c r="L718" s="73">
        <v>2.4511497723448499</v>
      </c>
      <c r="M718" s="74">
        <v>2.4417731948327601</v>
      </c>
      <c r="N718" s="73">
        <v>2.4929495902512899</v>
      </c>
      <c r="O718" s="74"/>
    </row>
    <row r="719" spans="1:15">
      <c r="A719" s="107"/>
      <c r="B719" s="107"/>
      <c r="C719" s="107"/>
      <c r="D719" s="68" t="s">
        <v>421</v>
      </c>
      <c r="E719" t="s">
        <v>422</v>
      </c>
      <c r="G719" t="s">
        <v>435</v>
      </c>
      <c r="H719" s="67">
        <v>44561</v>
      </c>
      <c r="J719" s="73"/>
      <c r="K719" s="74"/>
      <c r="L719" s="73"/>
      <c r="M719" s="74"/>
      <c r="N719" s="73"/>
      <c r="O719" s="74"/>
    </row>
    <row r="720" spans="1:15">
      <c r="A720" s="107"/>
      <c r="B720" s="107"/>
      <c r="C720" s="107"/>
      <c r="D720" s="68" t="s">
        <v>423</v>
      </c>
      <c r="G720" t="s">
        <v>63</v>
      </c>
      <c r="H720" s="67">
        <v>44561</v>
      </c>
      <c r="J720" s="73">
        <v>32.993291999999997</v>
      </c>
      <c r="K720" s="74">
        <v>34.490223999999998</v>
      </c>
      <c r="L720" s="73">
        <v>32.281219999999998</v>
      </c>
      <c r="M720" s="74">
        <v>33.513361000000003</v>
      </c>
      <c r="N720" s="73">
        <v>28.915493999999999</v>
      </c>
      <c r="O720" s="74"/>
    </row>
    <row r="721" spans="1:15">
      <c r="A721" s="107"/>
      <c r="B721" s="107"/>
      <c r="C721" s="107"/>
      <c r="D721" s="68" t="s">
        <v>424</v>
      </c>
      <c r="H721" s="67"/>
      <c r="J721" s="73"/>
      <c r="K721" s="74"/>
      <c r="L721" s="73"/>
      <c r="M721" s="74"/>
      <c r="N721" s="73"/>
      <c r="O721" s="74"/>
    </row>
    <row r="722" spans="1:15">
      <c r="A722" s="107" t="s">
        <v>220</v>
      </c>
      <c r="B722" s="107" t="s">
        <v>221</v>
      </c>
      <c r="C722" s="107" t="s">
        <v>222</v>
      </c>
      <c r="D722" s="68" t="s">
        <v>417</v>
      </c>
      <c r="F722" t="s">
        <v>588</v>
      </c>
      <c r="G722" t="s">
        <v>434</v>
      </c>
      <c r="H722" s="67">
        <v>44743</v>
      </c>
      <c r="J722" s="73"/>
      <c r="K722" s="74">
        <f>2292218</f>
        <v>2292218</v>
      </c>
      <c r="L722" s="73">
        <f>2512130</f>
        <v>2512130</v>
      </c>
      <c r="M722" s="74">
        <f>2484127</f>
        <v>2484127</v>
      </c>
      <c r="N722" s="73">
        <f>2551853</f>
        <v>2551853</v>
      </c>
      <c r="O722" s="74">
        <f>2485379</f>
        <v>2485379</v>
      </c>
    </row>
    <row r="723" spans="1:15">
      <c r="A723" s="107"/>
      <c r="B723" s="107"/>
      <c r="C723" s="107"/>
      <c r="D723" s="68" t="s">
        <v>503</v>
      </c>
      <c r="F723" t="s">
        <v>607</v>
      </c>
      <c r="G723" t="s">
        <v>434</v>
      </c>
      <c r="H723" s="67">
        <v>44743</v>
      </c>
      <c r="J723" s="73"/>
      <c r="K723" s="74">
        <f>6520676</f>
        <v>6520676</v>
      </c>
      <c r="L723" s="73">
        <f>4889538</f>
        <v>4889538</v>
      </c>
      <c r="M723" s="74">
        <f>43665</f>
        <v>43665</v>
      </c>
      <c r="N723" s="73">
        <f>2601009</f>
        <v>2601009</v>
      </c>
      <c r="O723" s="74">
        <f>1477808</f>
        <v>1477808</v>
      </c>
    </row>
    <row r="724" spans="1:15">
      <c r="A724" s="107"/>
      <c r="B724" s="107"/>
      <c r="C724" s="107"/>
      <c r="D724" s="68" t="s">
        <v>421</v>
      </c>
      <c r="E724" t="s">
        <v>422</v>
      </c>
      <c r="G724" t="s">
        <v>434</v>
      </c>
      <c r="H724" s="67">
        <v>44743</v>
      </c>
      <c r="J724" s="73"/>
      <c r="K724" s="74"/>
      <c r="L724" s="73"/>
      <c r="M724" s="74"/>
      <c r="N724" s="73"/>
      <c r="O724" s="74"/>
    </row>
    <row r="725" spans="1:15">
      <c r="A725" s="107"/>
      <c r="B725" s="107"/>
      <c r="C725" s="107"/>
      <c r="D725" s="68" t="s">
        <v>423</v>
      </c>
      <c r="E725" t="s">
        <v>456</v>
      </c>
      <c r="G725" t="s">
        <v>82</v>
      </c>
      <c r="H725" s="67">
        <v>44743</v>
      </c>
      <c r="J725" s="73"/>
      <c r="K725" s="74">
        <f>34861494</f>
        <v>34861494</v>
      </c>
      <c r="L725" s="73">
        <f>32723899</f>
        <v>32723899</v>
      </c>
      <c r="M725" s="74">
        <f>33849390</f>
        <v>33849390</v>
      </c>
      <c r="N725" s="73">
        <f>29325778</f>
        <v>29325778</v>
      </c>
      <c r="O725" s="74">
        <f>27286927</f>
        <v>27286927</v>
      </c>
    </row>
    <row r="726" spans="1:15">
      <c r="A726" s="107"/>
      <c r="B726" s="107"/>
      <c r="C726" s="107"/>
      <c r="D726" s="68" t="s">
        <v>456</v>
      </c>
      <c r="E726" t="s">
        <v>469</v>
      </c>
      <c r="G726" t="s">
        <v>82</v>
      </c>
      <c r="H726" s="67">
        <v>44743</v>
      </c>
      <c r="J726" s="73"/>
      <c r="K726" s="74">
        <v>0</v>
      </c>
      <c r="L726" s="73">
        <v>0</v>
      </c>
      <c r="M726" s="74">
        <v>0</v>
      </c>
      <c r="N726" s="73">
        <v>0</v>
      </c>
      <c r="O726" s="74">
        <v>0</v>
      </c>
    </row>
    <row r="727" spans="1:15">
      <c r="A727" s="107"/>
      <c r="B727" s="107"/>
      <c r="C727" s="107"/>
      <c r="D727" s="68" t="s">
        <v>456</v>
      </c>
      <c r="E727" t="s">
        <v>470</v>
      </c>
      <c r="G727" t="s">
        <v>82</v>
      </c>
      <c r="H727" s="67">
        <v>44743</v>
      </c>
      <c r="J727" s="73"/>
      <c r="K727" s="74">
        <f>5712489</f>
        <v>5712489</v>
      </c>
      <c r="L727" s="73">
        <f>6332313</f>
        <v>6332313</v>
      </c>
      <c r="M727" s="74">
        <f>6320299</f>
        <v>6320299</v>
      </c>
      <c r="N727" s="73">
        <f>6393192</f>
        <v>6393192</v>
      </c>
      <c r="O727" s="74">
        <f>6171690</f>
        <v>6171690</v>
      </c>
    </row>
    <row r="728" spans="1:15">
      <c r="A728" s="107"/>
      <c r="B728" s="107"/>
      <c r="C728" s="107"/>
      <c r="D728" s="68" t="s">
        <v>456</v>
      </c>
      <c r="E728" t="s">
        <v>471</v>
      </c>
      <c r="G728" t="s">
        <v>82</v>
      </c>
      <c r="H728" s="67">
        <v>44743</v>
      </c>
      <c r="J728" s="73"/>
      <c r="K728" s="74">
        <f>17951387</f>
        <v>17951387</v>
      </c>
      <c r="L728" s="73">
        <f>18267795</f>
        <v>18267795</v>
      </c>
      <c r="M728" s="74">
        <f>16195079</f>
        <v>16195079</v>
      </c>
      <c r="N728" s="73">
        <f>16310328</f>
        <v>16310328</v>
      </c>
      <c r="O728" s="74">
        <f>16474378</f>
        <v>16474378</v>
      </c>
    </row>
    <row r="729" spans="1:15">
      <c r="A729" s="107"/>
      <c r="B729" s="107"/>
      <c r="C729" s="107"/>
      <c r="D729" s="68" t="s">
        <v>456</v>
      </c>
      <c r="E729" t="s">
        <v>497</v>
      </c>
      <c r="G729" t="s">
        <v>82</v>
      </c>
      <c r="H729" s="67">
        <v>44743</v>
      </c>
      <c r="J729" s="73"/>
      <c r="K729" s="74">
        <v>0</v>
      </c>
      <c r="L729" s="73">
        <v>0</v>
      </c>
      <c r="M729" s="74">
        <v>0</v>
      </c>
      <c r="N729" s="73">
        <v>0</v>
      </c>
      <c r="O729" s="74">
        <v>0</v>
      </c>
    </row>
    <row r="730" spans="1:15">
      <c r="A730" s="107"/>
      <c r="B730" s="107"/>
      <c r="C730" s="107"/>
      <c r="D730" s="68" t="s">
        <v>456</v>
      </c>
      <c r="E730" t="s">
        <v>478</v>
      </c>
      <c r="G730" t="s">
        <v>82</v>
      </c>
      <c r="H730" s="67">
        <v>44743</v>
      </c>
      <c r="J730" s="73"/>
      <c r="K730" s="74">
        <f>11197618</f>
        <v>11197618</v>
      </c>
      <c r="L730" s="73">
        <f>8123791</f>
        <v>8123791</v>
      </c>
      <c r="M730" s="74">
        <f>11334012</f>
        <v>11334012</v>
      </c>
      <c r="N730" s="73">
        <f>6622259</f>
        <v>6622259</v>
      </c>
      <c r="O730" s="74">
        <f>4640859</f>
        <v>4640859</v>
      </c>
    </row>
    <row r="731" spans="1:15">
      <c r="A731" s="107"/>
      <c r="B731" s="107"/>
      <c r="C731" s="107"/>
      <c r="D731" s="68" t="s">
        <v>456</v>
      </c>
      <c r="E731" t="s">
        <v>498</v>
      </c>
      <c r="G731" t="s">
        <v>82</v>
      </c>
      <c r="H731" s="67">
        <v>44743</v>
      </c>
      <c r="J731" s="73"/>
      <c r="K731" s="74">
        <v>0</v>
      </c>
      <c r="L731" s="73">
        <v>0</v>
      </c>
      <c r="M731" s="74">
        <v>0</v>
      </c>
      <c r="N731" s="73">
        <v>0</v>
      </c>
      <c r="O731" s="74">
        <v>0</v>
      </c>
    </row>
    <row r="732" spans="1:15">
      <c r="A732" s="107"/>
      <c r="B732" s="107"/>
      <c r="C732" s="107"/>
      <c r="D732" s="68" t="s">
        <v>456</v>
      </c>
      <c r="E732" t="s">
        <v>499</v>
      </c>
      <c r="G732" t="s">
        <v>82</v>
      </c>
      <c r="H732" s="67">
        <v>44743</v>
      </c>
      <c r="J732" s="73"/>
      <c r="K732" s="74">
        <v>0</v>
      </c>
      <c r="L732" s="73">
        <v>0</v>
      </c>
      <c r="M732" s="74">
        <v>0</v>
      </c>
      <c r="N732" s="73">
        <v>0</v>
      </c>
      <c r="O732" s="74">
        <v>0</v>
      </c>
    </row>
    <row r="733" spans="1:15">
      <c r="A733" s="107"/>
      <c r="B733" s="107"/>
      <c r="C733" s="107"/>
      <c r="D733" s="68" t="s">
        <v>456</v>
      </c>
      <c r="E733" t="s">
        <v>473</v>
      </c>
      <c r="G733" t="s">
        <v>82</v>
      </c>
      <c r="H733" s="67">
        <v>44743</v>
      </c>
      <c r="J733" s="73"/>
      <c r="K733" s="74">
        <f>10899671</f>
        <v>10899671</v>
      </c>
      <c r="L733" s="73">
        <v>7813589</v>
      </c>
      <c r="M733" s="74">
        <v>11051282</v>
      </c>
      <c r="N733" s="73">
        <v>6345383</v>
      </c>
      <c r="O733" s="74">
        <v>4394891</v>
      </c>
    </row>
    <row r="734" spans="1:15">
      <c r="A734" s="107"/>
      <c r="B734" s="107"/>
      <c r="C734" s="107"/>
      <c r="D734" s="68" t="s">
        <v>456</v>
      </c>
      <c r="E734" t="s">
        <v>475</v>
      </c>
      <c r="G734" t="s">
        <v>82</v>
      </c>
      <c r="H734" s="67">
        <v>44743</v>
      </c>
      <c r="J734" s="73"/>
      <c r="K734" s="74">
        <f>297947</f>
        <v>297947</v>
      </c>
      <c r="L734" s="73">
        <f>310202</f>
        <v>310202</v>
      </c>
      <c r="M734" s="74">
        <f>282730</f>
        <v>282730</v>
      </c>
      <c r="N734" s="73">
        <f>276876</f>
        <v>276876</v>
      </c>
      <c r="O734" s="74">
        <f>245968</f>
        <v>245968</v>
      </c>
    </row>
    <row r="735" spans="1:15">
      <c r="A735" s="107"/>
      <c r="B735" s="107"/>
      <c r="C735" s="107"/>
      <c r="D735" s="68" t="s">
        <v>456</v>
      </c>
      <c r="E735" t="s">
        <v>476</v>
      </c>
      <c r="G735" t="s">
        <v>82</v>
      </c>
      <c r="H735" s="67">
        <v>44743</v>
      </c>
      <c r="J735" s="73"/>
      <c r="K735" s="74">
        <v>0</v>
      </c>
      <c r="L735" s="73">
        <v>0</v>
      </c>
      <c r="M735" s="74">
        <v>0</v>
      </c>
      <c r="N735" s="73">
        <v>0</v>
      </c>
      <c r="O735" s="74">
        <v>0</v>
      </c>
    </row>
    <row r="736" spans="1:15">
      <c r="A736" s="107"/>
      <c r="B736" s="107"/>
      <c r="C736" s="107"/>
      <c r="D736" s="68" t="s">
        <v>456</v>
      </c>
      <c r="E736" t="s">
        <v>477</v>
      </c>
      <c r="G736" t="s">
        <v>82</v>
      </c>
      <c r="H736" s="67">
        <v>44743</v>
      </c>
      <c r="J736" s="73"/>
      <c r="K736" s="74" t="s">
        <v>504</v>
      </c>
      <c r="L736" s="74" t="s">
        <v>504</v>
      </c>
      <c r="M736" s="74" t="s">
        <v>504</v>
      </c>
      <c r="N736" s="74" t="s">
        <v>504</v>
      </c>
      <c r="O736" s="74" t="s">
        <v>504</v>
      </c>
    </row>
    <row r="737" spans="1:15">
      <c r="A737" s="107"/>
      <c r="B737" s="107"/>
      <c r="C737" s="107"/>
      <c r="D737" s="68" t="s">
        <v>424</v>
      </c>
      <c r="H737" s="67"/>
      <c r="J737" s="73"/>
      <c r="K737" s="74"/>
      <c r="L737" s="73"/>
      <c r="M737" s="74"/>
      <c r="N737" s="73"/>
      <c r="O737" s="74" t="s">
        <v>505</v>
      </c>
    </row>
    <row r="738" spans="1:15">
      <c r="A738" s="107" t="s">
        <v>223</v>
      </c>
      <c r="B738" s="107" t="s">
        <v>224</v>
      </c>
      <c r="C738" s="107" t="s">
        <v>225</v>
      </c>
      <c r="D738" s="68" t="s">
        <v>417</v>
      </c>
      <c r="G738" t="s">
        <v>435</v>
      </c>
      <c r="H738" s="67">
        <v>44561</v>
      </c>
      <c r="J738" s="73">
        <v>6.3372507858173801</v>
      </c>
      <c r="K738" s="74">
        <v>6.4887687018882199</v>
      </c>
      <c r="L738" s="73">
        <v>5.2178957581488197</v>
      </c>
      <c r="M738" s="74">
        <v>5.3678279888909604</v>
      </c>
      <c r="N738" s="73">
        <v>5.2994389016205004</v>
      </c>
      <c r="O738" s="74"/>
    </row>
    <row r="739" spans="1:15">
      <c r="A739" s="107"/>
      <c r="B739" s="107"/>
      <c r="C739" s="107"/>
      <c r="D739" s="68" t="s">
        <v>418</v>
      </c>
      <c r="E739" t="s">
        <v>419</v>
      </c>
      <c r="G739" t="s">
        <v>435</v>
      </c>
      <c r="H739" s="67">
        <v>44561</v>
      </c>
      <c r="J739" s="73">
        <v>0</v>
      </c>
      <c r="K739" s="74">
        <v>0</v>
      </c>
      <c r="L739" s="73">
        <v>0</v>
      </c>
      <c r="M739" s="74">
        <v>0</v>
      </c>
      <c r="N739" s="73">
        <v>0</v>
      </c>
      <c r="O739" s="74"/>
    </row>
    <row r="740" spans="1:15">
      <c r="A740" s="107"/>
      <c r="B740" s="107"/>
      <c r="C740" s="107"/>
      <c r="D740" s="68" t="s">
        <v>420</v>
      </c>
      <c r="E740" t="s">
        <v>419</v>
      </c>
      <c r="G740" t="s">
        <v>435</v>
      </c>
      <c r="H740" s="67">
        <v>44561</v>
      </c>
      <c r="J740" s="73">
        <v>6.3372507858173801</v>
      </c>
      <c r="K740" s="74">
        <v>6.4887687018882199</v>
      </c>
      <c r="L740" s="73">
        <v>5.2178957581488197</v>
      </c>
      <c r="M740" s="74">
        <v>5.3678279888909604</v>
      </c>
      <c r="N740" s="73">
        <v>5.2994389016205004</v>
      </c>
      <c r="O740" s="74"/>
    </row>
    <row r="741" spans="1:15">
      <c r="A741" s="107"/>
      <c r="B741" s="107"/>
      <c r="C741" s="107"/>
      <c r="D741" s="68" t="s">
        <v>421</v>
      </c>
      <c r="E741" t="s">
        <v>422</v>
      </c>
      <c r="G741" t="s">
        <v>435</v>
      </c>
      <c r="H741" s="67">
        <v>44561</v>
      </c>
      <c r="J741" s="73"/>
      <c r="K741" s="74"/>
      <c r="L741" s="73"/>
      <c r="M741" s="74"/>
      <c r="N741" s="73"/>
      <c r="O741" s="74"/>
    </row>
    <row r="742" spans="1:15">
      <c r="A742" s="107"/>
      <c r="B742" s="107"/>
      <c r="C742" s="107"/>
      <c r="D742" s="68" t="s">
        <v>423</v>
      </c>
      <c r="G742" t="s">
        <v>63</v>
      </c>
      <c r="H742" s="67">
        <v>44561</v>
      </c>
      <c r="J742" s="73">
        <v>10.2316756958</v>
      </c>
      <c r="K742" s="74">
        <v>10.1709745005</v>
      </c>
      <c r="L742" s="73">
        <v>9.3077880987999997</v>
      </c>
      <c r="M742" s="74">
        <v>9.9073846084999992</v>
      </c>
      <c r="N742" s="73">
        <v>9.7428489771999995</v>
      </c>
      <c r="O742" s="74"/>
    </row>
    <row r="743" spans="1:15">
      <c r="A743" s="107"/>
      <c r="B743" s="107"/>
      <c r="C743" s="107"/>
      <c r="D743" s="68" t="s">
        <v>424</v>
      </c>
      <c r="H743" s="67"/>
      <c r="J743" s="73"/>
      <c r="K743" s="74"/>
      <c r="L743" s="73"/>
      <c r="M743" s="74"/>
      <c r="N743" s="73"/>
      <c r="O743" s="74"/>
    </row>
    <row r="744" spans="1:15">
      <c r="A744" s="107" t="s">
        <v>226</v>
      </c>
      <c r="B744" s="107" t="s">
        <v>227</v>
      </c>
      <c r="C744" s="107" t="s">
        <v>228</v>
      </c>
      <c r="D744" s="68" t="s">
        <v>417</v>
      </c>
      <c r="G744" t="s">
        <v>434</v>
      </c>
      <c r="H744" s="67">
        <v>44561</v>
      </c>
      <c r="J744" s="73">
        <v>81309800</v>
      </c>
      <c r="K744" s="74">
        <v>75633360</v>
      </c>
      <c r="L744" s="73">
        <v>77391479</v>
      </c>
      <c r="M744" s="74">
        <v>79447924</v>
      </c>
      <c r="N744" s="73">
        <v>75069656</v>
      </c>
      <c r="O744" s="74"/>
    </row>
    <row r="745" spans="1:15">
      <c r="A745" s="107"/>
      <c r="B745" s="107"/>
      <c r="C745" s="107"/>
      <c r="D745" s="68" t="s">
        <v>418</v>
      </c>
      <c r="E745" t="s">
        <v>419</v>
      </c>
      <c r="G745" t="s">
        <v>434</v>
      </c>
      <c r="H745" s="67">
        <v>44561</v>
      </c>
      <c r="J745" s="73">
        <v>3715700</v>
      </c>
      <c r="K745" s="74">
        <v>1107681</v>
      </c>
      <c r="L745" s="73">
        <v>1106964</v>
      </c>
      <c r="M745" s="74">
        <v>815966</v>
      </c>
      <c r="N745" s="73">
        <v>580226</v>
      </c>
      <c r="O745" s="74"/>
    </row>
    <row r="746" spans="1:15">
      <c r="A746" s="107"/>
      <c r="B746" s="107"/>
      <c r="C746" s="107"/>
      <c r="D746" s="68" t="s">
        <v>420</v>
      </c>
      <c r="E746" t="s">
        <v>419</v>
      </c>
      <c r="G746" t="s">
        <v>434</v>
      </c>
      <c r="H746" s="67">
        <v>44561</v>
      </c>
      <c r="J746" s="73">
        <v>85025500</v>
      </c>
      <c r="K746" s="74">
        <v>76741041</v>
      </c>
      <c r="L746" s="73">
        <v>78498443</v>
      </c>
      <c r="M746" s="74">
        <v>80263890</v>
      </c>
      <c r="N746" s="73">
        <v>75649882</v>
      </c>
      <c r="O746" s="74"/>
    </row>
    <row r="747" spans="1:15">
      <c r="A747" s="107"/>
      <c r="B747" s="107"/>
      <c r="C747" s="107"/>
      <c r="D747" s="68" t="s">
        <v>421</v>
      </c>
      <c r="E747" t="s">
        <v>422</v>
      </c>
      <c r="G747" t="s">
        <v>434</v>
      </c>
      <c r="H747" s="67">
        <v>44561</v>
      </c>
      <c r="J747" s="73">
        <v>18044000</v>
      </c>
      <c r="K747" s="74">
        <v>18044000</v>
      </c>
      <c r="L747" s="73">
        <v>18903000</v>
      </c>
      <c r="M747" s="74">
        <v>13139000</v>
      </c>
      <c r="N747" s="73">
        <v>11951000</v>
      </c>
      <c r="O747" s="74"/>
    </row>
    <row r="748" spans="1:15">
      <c r="A748" s="107"/>
      <c r="B748" s="107"/>
      <c r="C748" s="107"/>
      <c r="D748" s="68" t="s">
        <v>423</v>
      </c>
      <c r="G748" t="s">
        <v>100</v>
      </c>
      <c r="H748" s="67">
        <v>44561</v>
      </c>
      <c r="J748" s="73">
        <v>42199000</v>
      </c>
      <c r="K748" s="74">
        <v>37207000</v>
      </c>
      <c r="L748" s="73">
        <v>37735000</v>
      </c>
      <c r="M748" s="74">
        <v>38007000</v>
      </c>
      <c r="N748" s="73">
        <v>35935000</v>
      </c>
      <c r="O748" s="74"/>
    </row>
    <row r="749" spans="1:15">
      <c r="A749" s="107"/>
      <c r="B749" s="107"/>
      <c r="C749" s="107"/>
      <c r="D749" s="68" t="s">
        <v>424</v>
      </c>
      <c r="H749" s="67"/>
      <c r="J749" s="73"/>
      <c r="K749" s="74"/>
      <c r="L749" s="73"/>
      <c r="M749" s="74"/>
      <c r="N749" s="73"/>
      <c r="O749" s="74"/>
    </row>
    <row r="750" spans="1:15">
      <c r="A750" s="107" t="s">
        <v>226</v>
      </c>
      <c r="B750" s="107" t="s">
        <v>227</v>
      </c>
      <c r="C750" s="107" t="s">
        <v>228</v>
      </c>
      <c r="D750" s="68" t="s">
        <v>417</v>
      </c>
      <c r="G750" t="s">
        <v>434</v>
      </c>
      <c r="H750" s="67">
        <v>44804</v>
      </c>
      <c r="J750" s="73"/>
      <c r="K750" s="74"/>
      <c r="L750" s="73">
        <v>78498443</v>
      </c>
      <c r="M750" s="74">
        <v>80263890</v>
      </c>
      <c r="N750" s="73">
        <v>75649882</v>
      </c>
      <c r="O750" s="74">
        <v>78490205</v>
      </c>
    </row>
    <row r="751" spans="1:15">
      <c r="A751" s="107"/>
      <c r="B751" s="107"/>
      <c r="C751" s="107"/>
      <c r="D751" s="68" t="s">
        <v>589</v>
      </c>
      <c r="G751" t="s">
        <v>620</v>
      </c>
      <c r="H751" s="67">
        <v>44804</v>
      </c>
      <c r="J751" s="73"/>
      <c r="K751" s="74"/>
      <c r="L751" s="73">
        <v>2.08</v>
      </c>
      <c r="M751" s="74">
        <v>2.11</v>
      </c>
      <c r="N751" s="73">
        <v>2.11</v>
      </c>
      <c r="O751" s="74">
        <v>2.0499999999999998</v>
      </c>
    </row>
    <row r="752" spans="1:15">
      <c r="A752" s="107"/>
      <c r="B752" s="107"/>
      <c r="C752" s="107"/>
      <c r="D752" s="68" t="s">
        <v>418</v>
      </c>
      <c r="E752" t="s">
        <v>419</v>
      </c>
      <c r="G752" t="s">
        <v>434</v>
      </c>
      <c r="H752" s="67">
        <v>44804</v>
      </c>
      <c r="J752" s="73"/>
      <c r="K752" s="74"/>
      <c r="L752" s="73">
        <v>1106964</v>
      </c>
      <c r="M752" s="74">
        <v>815966</v>
      </c>
      <c r="N752" s="73">
        <v>580226</v>
      </c>
      <c r="O752" s="74">
        <v>1389117</v>
      </c>
    </row>
    <row r="753" spans="1:15">
      <c r="A753" s="107"/>
      <c r="B753" s="107"/>
      <c r="C753" s="107"/>
      <c r="D753" s="68" t="s">
        <v>421</v>
      </c>
      <c r="E753" t="s">
        <v>422</v>
      </c>
      <c r="G753" t="s">
        <v>434</v>
      </c>
      <c r="H753" s="67">
        <v>44804</v>
      </c>
      <c r="J753" s="73"/>
      <c r="K753" s="74"/>
      <c r="L753" s="73">
        <v>18903000</v>
      </c>
      <c r="M753" s="74">
        <v>13139000</v>
      </c>
      <c r="N753" s="73">
        <v>11951000</v>
      </c>
      <c r="O753" s="74">
        <v>12872905</v>
      </c>
    </row>
    <row r="754" spans="1:15">
      <c r="A754" s="107"/>
      <c r="B754" s="107"/>
      <c r="C754" s="107"/>
      <c r="D754" s="68" t="s">
        <v>421</v>
      </c>
      <c r="E754" t="s">
        <v>509</v>
      </c>
      <c r="H754" s="67">
        <v>44804</v>
      </c>
      <c r="J754" s="73"/>
      <c r="K754" s="74"/>
      <c r="L754" s="73">
        <v>986</v>
      </c>
      <c r="M754" s="74">
        <v>936</v>
      </c>
      <c r="N754" s="73">
        <v>903</v>
      </c>
      <c r="O754" s="74">
        <v>1606</v>
      </c>
    </row>
    <row r="755" spans="1:15">
      <c r="A755" s="107"/>
      <c r="B755" s="107"/>
      <c r="C755" s="107"/>
      <c r="D755" s="68" t="s">
        <v>421</v>
      </c>
      <c r="E755" t="s">
        <v>465</v>
      </c>
      <c r="H755" s="67">
        <v>44804</v>
      </c>
      <c r="J755" s="73"/>
      <c r="K755" s="74"/>
      <c r="L755" s="73">
        <v>7</v>
      </c>
      <c r="M755" s="74">
        <v>5</v>
      </c>
      <c r="N755" s="73">
        <v>6</v>
      </c>
      <c r="O755" s="74">
        <v>9</v>
      </c>
    </row>
    <row r="756" spans="1:15">
      <c r="A756" s="107"/>
      <c r="B756" s="107"/>
      <c r="C756" s="107"/>
      <c r="D756" s="68" t="s">
        <v>421</v>
      </c>
      <c r="E756" t="s">
        <v>466</v>
      </c>
      <c r="H756" s="67">
        <v>44804</v>
      </c>
      <c r="J756" s="73"/>
      <c r="K756" s="74"/>
      <c r="L756" s="73">
        <v>0.6</v>
      </c>
      <c r="M756" s="74">
        <v>0.8</v>
      </c>
      <c r="N756" s="73">
        <v>0.4</v>
      </c>
      <c r="O756" s="74">
        <v>0.2</v>
      </c>
    </row>
    <row r="757" spans="1:15">
      <c r="A757" s="107"/>
      <c r="B757" s="107"/>
      <c r="C757" s="107"/>
      <c r="D757" s="68" t="s">
        <v>421</v>
      </c>
      <c r="E757" t="s">
        <v>506</v>
      </c>
      <c r="H757" s="67">
        <v>44804</v>
      </c>
      <c r="J757" s="73"/>
      <c r="K757" s="74"/>
      <c r="L757" s="73">
        <v>2997</v>
      </c>
      <c r="M757" s="74">
        <v>3287</v>
      </c>
      <c r="N757" s="73">
        <v>3332</v>
      </c>
      <c r="O757" s="74">
        <v>3423</v>
      </c>
    </row>
    <row r="758" spans="1:15">
      <c r="A758" s="107"/>
      <c r="B758" s="107"/>
      <c r="C758" s="107"/>
      <c r="D758" s="68" t="s">
        <v>421</v>
      </c>
      <c r="E758" t="s">
        <v>619</v>
      </c>
      <c r="H758" s="67">
        <v>44804</v>
      </c>
      <c r="J758" s="73"/>
      <c r="K758" s="74"/>
      <c r="L758" s="73">
        <v>2180</v>
      </c>
      <c r="M758" s="74">
        <v>2184</v>
      </c>
      <c r="N758" s="73">
        <v>2014</v>
      </c>
      <c r="O758" s="74">
        <v>2087</v>
      </c>
    </row>
    <row r="759" spans="1:15">
      <c r="A759" s="107"/>
      <c r="B759" s="107"/>
      <c r="C759" s="107"/>
      <c r="D759" s="68" t="s">
        <v>421</v>
      </c>
      <c r="E759" t="s">
        <v>511</v>
      </c>
      <c r="H759" s="67">
        <v>44804</v>
      </c>
      <c r="J759" s="73"/>
      <c r="K759" s="74"/>
      <c r="L759" s="73">
        <v>12733</v>
      </c>
      <c r="M759" s="74">
        <v>6725</v>
      </c>
      <c r="N759" s="73">
        <v>5696</v>
      </c>
      <c r="O759" s="74">
        <v>5748</v>
      </c>
    </row>
    <row r="760" spans="1:15">
      <c r="A760" s="107"/>
      <c r="B760" s="107"/>
      <c r="C760" s="107"/>
      <c r="D760" s="68" t="s">
        <v>423</v>
      </c>
      <c r="G760" t="s">
        <v>515</v>
      </c>
      <c r="H760" s="67">
        <v>44804</v>
      </c>
      <c r="J760" s="73"/>
      <c r="K760" s="74"/>
      <c r="L760" s="73">
        <v>37735</v>
      </c>
      <c r="M760" s="74">
        <v>38007</v>
      </c>
      <c r="N760" s="73">
        <v>35935</v>
      </c>
      <c r="O760" s="74">
        <v>38263</v>
      </c>
    </row>
    <row r="761" spans="1:15">
      <c r="A761" s="107"/>
      <c r="B761" s="107"/>
      <c r="C761" s="107"/>
      <c r="D761" s="68" t="s">
        <v>424</v>
      </c>
      <c r="H761" s="67">
        <v>44804</v>
      </c>
      <c r="J761" s="73"/>
      <c r="K761" s="74"/>
      <c r="L761" s="73"/>
      <c r="M761" s="74"/>
      <c r="N761" s="73"/>
      <c r="O761" s="76" t="s">
        <v>618</v>
      </c>
    </row>
    <row r="762" spans="1:15">
      <c r="A762" s="107" t="s">
        <v>230</v>
      </c>
      <c r="B762" s="107" t="s">
        <v>231</v>
      </c>
      <c r="C762" s="107" t="s">
        <v>232</v>
      </c>
      <c r="D762" s="68" t="s">
        <v>417</v>
      </c>
      <c r="G762" t="s">
        <v>435</v>
      </c>
      <c r="H762" s="67">
        <v>44561</v>
      </c>
      <c r="J762" s="73">
        <v>30.0884872251346</v>
      </c>
      <c r="K762" s="74">
        <v>30.248371457395901</v>
      </c>
      <c r="L762" s="73">
        <v>31.6114690424515</v>
      </c>
      <c r="M762" s="74">
        <v>28.7789153183409</v>
      </c>
      <c r="N762" s="73">
        <v>26.356336337583201</v>
      </c>
      <c r="O762" s="74"/>
    </row>
    <row r="763" spans="1:15">
      <c r="A763" s="107"/>
      <c r="B763" s="107"/>
      <c r="C763" s="107"/>
      <c r="D763" s="68" t="s">
        <v>418</v>
      </c>
      <c r="E763" t="s">
        <v>419</v>
      </c>
      <c r="G763" t="s">
        <v>435</v>
      </c>
      <c r="H763" s="67">
        <v>44561</v>
      </c>
      <c r="J763" s="73">
        <v>0</v>
      </c>
      <c r="K763" s="74">
        <v>0</v>
      </c>
      <c r="L763" s="73">
        <v>0</v>
      </c>
      <c r="M763" s="74">
        <v>0</v>
      </c>
      <c r="N763" s="73">
        <v>0</v>
      </c>
      <c r="O763" s="74"/>
    </row>
    <row r="764" spans="1:15">
      <c r="A764" s="107"/>
      <c r="B764" s="107"/>
      <c r="C764" s="107"/>
      <c r="D764" s="68" t="s">
        <v>420</v>
      </c>
      <c r="E764" t="s">
        <v>419</v>
      </c>
      <c r="G764" t="s">
        <v>435</v>
      </c>
      <c r="H764" s="67">
        <v>44561</v>
      </c>
      <c r="J764" s="73">
        <v>30.0884872251346</v>
      </c>
      <c r="K764" s="74">
        <v>30.248371457395901</v>
      </c>
      <c r="L764" s="73">
        <v>31.6114690424515</v>
      </c>
      <c r="M764" s="74">
        <v>28.7789153183409</v>
      </c>
      <c r="N764" s="73">
        <v>26.356336337583201</v>
      </c>
      <c r="O764" s="74"/>
    </row>
    <row r="765" spans="1:15">
      <c r="A765" s="107"/>
      <c r="B765" s="107"/>
      <c r="C765" s="107"/>
      <c r="D765" s="68" t="s">
        <v>421</v>
      </c>
      <c r="E765" t="s">
        <v>422</v>
      </c>
      <c r="G765" t="s">
        <v>435</v>
      </c>
      <c r="H765" s="67">
        <v>44561</v>
      </c>
      <c r="J765" s="73"/>
      <c r="K765" s="74"/>
      <c r="L765" s="73"/>
      <c r="M765" s="74"/>
      <c r="N765" s="73"/>
      <c r="O765" s="74"/>
    </row>
    <row r="766" spans="1:15">
      <c r="A766" s="107"/>
      <c r="B766" s="107"/>
      <c r="C766" s="107"/>
      <c r="D766" s="68" t="s">
        <v>423</v>
      </c>
      <c r="G766" t="s">
        <v>63</v>
      </c>
      <c r="H766" s="67">
        <v>44561</v>
      </c>
      <c r="J766" s="73">
        <v>34.6132211708955</v>
      </c>
      <c r="K766" s="74">
        <v>33.532868484328297</v>
      </c>
      <c r="L766" s="73">
        <v>35.571970040298503</v>
      </c>
      <c r="M766" s="74">
        <v>33.152931723134301</v>
      </c>
      <c r="N766" s="73">
        <v>30.552479561194001</v>
      </c>
      <c r="O766" s="74"/>
    </row>
    <row r="767" spans="1:15">
      <c r="A767" s="107"/>
      <c r="B767" s="107"/>
      <c r="C767" s="107"/>
      <c r="D767" s="68" t="s">
        <v>424</v>
      </c>
      <c r="H767" s="67"/>
      <c r="J767" s="73"/>
      <c r="K767" s="74"/>
      <c r="L767" s="73"/>
      <c r="M767" s="74"/>
      <c r="N767" s="73"/>
      <c r="O767" s="74"/>
    </row>
    <row r="768" spans="1:15">
      <c r="A768" s="107" t="s">
        <v>230</v>
      </c>
      <c r="B768" s="107" t="s">
        <v>231</v>
      </c>
      <c r="C768" s="107" t="s">
        <v>232</v>
      </c>
      <c r="D768" s="68" t="s">
        <v>587</v>
      </c>
      <c r="H768" s="67">
        <v>44561</v>
      </c>
      <c r="I768" s="92">
        <v>2010</v>
      </c>
      <c r="J768" s="73"/>
      <c r="K768" s="74"/>
      <c r="L768" s="73"/>
      <c r="M768" s="74"/>
      <c r="N768" s="73"/>
      <c r="O768" s="74"/>
    </row>
    <row r="769" spans="1:15">
      <c r="A769" s="107"/>
      <c r="B769" s="107"/>
      <c r="C769" s="107"/>
      <c r="D769" s="68" t="s">
        <v>417</v>
      </c>
      <c r="E769" t="s">
        <v>456</v>
      </c>
      <c r="G769" t="s">
        <v>434</v>
      </c>
      <c r="H769" s="67">
        <v>44561</v>
      </c>
      <c r="I769" s="92">
        <v>60736086</v>
      </c>
      <c r="J769" s="73"/>
      <c r="K769" s="74">
        <v>28407677</v>
      </c>
      <c r="L769" s="73">
        <v>29480129</v>
      </c>
      <c r="M769" s="74">
        <v>26740576</v>
      </c>
      <c r="N769" s="73">
        <v>24971324</v>
      </c>
      <c r="O769" s="74">
        <v>26369339</v>
      </c>
    </row>
    <row r="770" spans="1:15">
      <c r="A770" s="107"/>
      <c r="B770" s="107"/>
      <c r="C770" s="107"/>
      <c r="D770" s="68" t="s">
        <v>417</v>
      </c>
      <c r="E770" t="s">
        <v>457</v>
      </c>
      <c r="G770" t="s">
        <v>434</v>
      </c>
      <c r="H770" s="67">
        <v>44561</v>
      </c>
      <c r="I770" s="92">
        <v>48343</v>
      </c>
      <c r="J770" s="73"/>
      <c r="K770" s="74">
        <v>47630</v>
      </c>
      <c r="L770" s="73">
        <v>43256</v>
      </c>
      <c r="M770" s="74">
        <v>46646</v>
      </c>
      <c r="N770" s="73">
        <v>45524</v>
      </c>
      <c r="O770" s="74">
        <v>24982</v>
      </c>
    </row>
    <row r="771" spans="1:15">
      <c r="A771" s="107"/>
      <c r="B771" s="107"/>
      <c r="C771" s="107"/>
      <c r="D771" s="68" t="s">
        <v>417</v>
      </c>
      <c r="E771" t="s">
        <v>458</v>
      </c>
      <c r="G771" t="s">
        <v>434</v>
      </c>
      <c r="H771" s="67">
        <v>44561</v>
      </c>
      <c r="I771" s="92">
        <v>2515</v>
      </c>
      <c r="J771" s="73"/>
      <c r="K771" s="74">
        <v>8984</v>
      </c>
      <c r="L771" s="73">
        <v>1097</v>
      </c>
      <c r="M771" s="74">
        <v>4056</v>
      </c>
      <c r="N771" s="73">
        <v>2297</v>
      </c>
      <c r="O771" s="74">
        <v>4411</v>
      </c>
    </row>
    <row r="772" spans="1:15">
      <c r="A772" s="107"/>
      <c r="B772" s="107"/>
      <c r="C772" s="107"/>
      <c r="D772" s="68" t="s">
        <v>417</v>
      </c>
      <c r="E772" t="s">
        <v>459</v>
      </c>
      <c r="G772" t="s">
        <v>434</v>
      </c>
      <c r="H772" s="67">
        <v>44561</v>
      </c>
      <c r="I772" s="92">
        <v>4893</v>
      </c>
      <c r="J772" s="73"/>
      <c r="K772" s="74">
        <v>4893</v>
      </c>
      <c r="L772" s="73">
        <v>6459</v>
      </c>
      <c r="M772" s="74">
        <v>5898</v>
      </c>
      <c r="N772" s="73">
        <v>5157</v>
      </c>
      <c r="O772" s="74">
        <v>5696</v>
      </c>
    </row>
    <row r="773" spans="1:15">
      <c r="A773" s="107"/>
      <c r="B773" s="107"/>
      <c r="C773" s="107"/>
      <c r="D773" s="68" t="s">
        <v>417</v>
      </c>
      <c r="E773" t="s">
        <v>460</v>
      </c>
      <c r="G773" t="s">
        <v>434</v>
      </c>
      <c r="H773" s="67">
        <v>44561</v>
      </c>
      <c r="I773" s="92">
        <v>111727</v>
      </c>
      <c r="J773" s="73"/>
      <c r="K773" s="74">
        <v>90107</v>
      </c>
      <c r="L773" s="73">
        <v>49513</v>
      </c>
      <c r="M773" s="74">
        <v>88669</v>
      </c>
      <c r="N773" s="73">
        <v>43616</v>
      </c>
      <c r="O773" s="74">
        <v>10436</v>
      </c>
    </row>
    <row r="774" spans="1:15">
      <c r="A774" s="107"/>
      <c r="B774" s="107"/>
      <c r="C774" s="107"/>
      <c r="D774" s="68" t="s">
        <v>418</v>
      </c>
      <c r="E774" t="s">
        <v>461</v>
      </c>
      <c r="G774" t="s">
        <v>434</v>
      </c>
      <c r="H774" s="67">
        <v>44561</v>
      </c>
      <c r="I774" s="92">
        <v>89732</v>
      </c>
      <c r="J774" s="73"/>
      <c r="K774" s="74">
        <v>69781</v>
      </c>
      <c r="L774" s="73">
        <v>67813</v>
      </c>
      <c r="M774" s="74">
        <v>30646</v>
      </c>
      <c r="N774" s="73">
        <v>25712</v>
      </c>
      <c r="O774" s="74">
        <v>18626</v>
      </c>
    </row>
    <row r="775" spans="1:15">
      <c r="A775" s="107"/>
      <c r="B775" s="107"/>
      <c r="C775" s="107"/>
      <c r="D775" s="68" t="s">
        <v>418</v>
      </c>
      <c r="E775" t="s">
        <v>462</v>
      </c>
      <c r="G775" t="s">
        <v>434</v>
      </c>
      <c r="H775" s="67">
        <v>44561</v>
      </c>
      <c r="I775" s="92">
        <v>18250</v>
      </c>
      <c r="J775" s="73"/>
      <c r="K775" s="74">
        <v>18311</v>
      </c>
      <c r="L775" s="73">
        <v>20058</v>
      </c>
      <c r="M775" s="74">
        <v>17914</v>
      </c>
      <c r="N775" s="73">
        <v>16294</v>
      </c>
      <c r="O775" s="74">
        <v>13573</v>
      </c>
    </row>
    <row r="776" spans="1:15">
      <c r="A776" s="107"/>
      <c r="B776" s="107"/>
      <c r="C776" s="107"/>
      <c r="D776" s="68" t="s">
        <v>421</v>
      </c>
      <c r="E776">
        <v>3</v>
      </c>
      <c r="F776" t="s">
        <v>662</v>
      </c>
      <c r="G776" t="s">
        <v>434</v>
      </c>
      <c r="H776" s="67">
        <v>44561</v>
      </c>
      <c r="I776" s="92">
        <v>1597157</v>
      </c>
      <c r="J776" s="73"/>
      <c r="K776" s="74">
        <v>470010</v>
      </c>
      <c r="L776" s="73">
        <v>241199</v>
      </c>
      <c r="M776" s="74">
        <v>532952</v>
      </c>
      <c r="N776" s="73">
        <v>541242</v>
      </c>
      <c r="O776" s="74">
        <v>219132</v>
      </c>
    </row>
    <row r="777" spans="1:15">
      <c r="A777" s="107"/>
      <c r="B777" s="107"/>
      <c r="C777" s="107"/>
      <c r="D777" s="68" t="s">
        <v>417</v>
      </c>
      <c r="E777" t="s">
        <v>463</v>
      </c>
      <c r="G777" t="s">
        <v>434</v>
      </c>
      <c r="H777" s="67">
        <v>44561</v>
      </c>
      <c r="J777" s="73"/>
      <c r="K777" s="74">
        <v>28132</v>
      </c>
      <c r="L777" s="73">
        <v>29040</v>
      </c>
      <c r="M777" s="74">
        <v>27909</v>
      </c>
      <c r="N777" s="73">
        <v>22204</v>
      </c>
      <c r="O777" s="74">
        <v>22118</v>
      </c>
    </row>
    <row r="778" spans="1:15">
      <c r="A778" s="107"/>
      <c r="B778" s="107"/>
      <c r="C778" s="107"/>
      <c r="D778" s="68" t="s">
        <v>421</v>
      </c>
      <c r="E778">
        <v>3</v>
      </c>
      <c r="F778" t="s">
        <v>663</v>
      </c>
      <c r="G778" t="s">
        <v>434</v>
      </c>
      <c r="H778" s="67">
        <v>44561</v>
      </c>
      <c r="I778" s="92">
        <v>7263132</v>
      </c>
      <c r="J778" s="73"/>
      <c r="K778" s="74">
        <v>4110251</v>
      </c>
      <c r="L778" s="73">
        <v>4415253</v>
      </c>
      <c r="M778" s="74">
        <v>4383993</v>
      </c>
      <c r="N778" s="73">
        <v>4132207</v>
      </c>
      <c r="O778" s="74">
        <v>4056857</v>
      </c>
    </row>
    <row r="779" spans="1:15">
      <c r="A779" s="107"/>
      <c r="B779" s="107"/>
      <c r="C779" s="107"/>
      <c r="D779" s="68" t="s">
        <v>421</v>
      </c>
      <c r="E779" t="s">
        <v>464</v>
      </c>
      <c r="G779" t="s">
        <v>434</v>
      </c>
      <c r="H779" s="67">
        <v>44561</v>
      </c>
      <c r="I779" s="92">
        <v>2389400</v>
      </c>
      <c r="J779" s="73"/>
      <c r="K779" s="74">
        <v>2034408</v>
      </c>
      <c r="L779" s="73">
        <v>2267656</v>
      </c>
      <c r="M779" s="74">
        <v>2230727</v>
      </c>
      <c r="N779" s="73">
        <v>2002542</v>
      </c>
      <c r="O779" s="74">
        <v>2059996</v>
      </c>
    </row>
    <row r="780" spans="1:15">
      <c r="A780" s="107"/>
      <c r="B780" s="107"/>
      <c r="C780" s="107"/>
      <c r="D780" s="68" t="s">
        <v>421</v>
      </c>
      <c r="E780" t="s">
        <v>465</v>
      </c>
      <c r="G780" t="s">
        <v>434</v>
      </c>
      <c r="H780" s="67">
        <v>44561</v>
      </c>
      <c r="J780" s="73"/>
      <c r="K780" s="74"/>
      <c r="L780" s="73"/>
      <c r="M780" s="74">
        <v>15654</v>
      </c>
      <c r="N780" s="73">
        <v>11158</v>
      </c>
      <c r="O780" s="74">
        <v>9113</v>
      </c>
    </row>
    <row r="781" spans="1:15">
      <c r="A781" s="107"/>
      <c r="B781" s="107"/>
      <c r="C781" s="107"/>
      <c r="D781" s="68" t="s">
        <v>421</v>
      </c>
      <c r="E781" t="s">
        <v>466</v>
      </c>
      <c r="G781" t="s">
        <v>434</v>
      </c>
      <c r="H781" s="67">
        <v>44561</v>
      </c>
      <c r="J781" s="73"/>
      <c r="K781" s="74"/>
      <c r="L781" s="73"/>
      <c r="M781" s="74">
        <v>1824</v>
      </c>
      <c r="N781" s="73">
        <v>613</v>
      </c>
      <c r="O781" s="74">
        <v>623</v>
      </c>
    </row>
    <row r="782" spans="1:15">
      <c r="A782" s="107"/>
      <c r="B782" s="107"/>
      <c r="C782" s="107"/>
      <c r="D782" s="68" t="s">
        <v>423</v>
      </c>
      <c r="E782" t="s">
        <v>588</v>
      </c>
      <c r="F782" t="s">
        <v>588</v>
      </c>
      <c r="G782" t="s">
        <v>82</v>
      </c>
      <c r="H782" s="67">
        <v>44561</v>
      </c>
      <c r="I782" s="106">
        <v>35000000</v>
      </c>
      <c r="J782" s="73"/>
      <c r="K782" s="74">
        <v>32704089</v>
      </c>
      <c r="L782" s="73">
        <v>34546832</v>
      </c>
      <c r="M782" s="74">
        <v>32282872</v>
      </c>
      <c r="N782" s="73">
        <v>29916634</v>
      </c>
      <c r="O782" s="74">
        <v>31336074</v>
      </c>
    </row>
    <row r="783" spans="1:15">
      <c r="A783" s="107"/>
      <c r="B783" s="107"/>
      <c r="C783" s="107"/>
      <c r="D783" s="68" t="s">
        <v>423</v>
      </c>
      <c r="E783" t="s">
        <v>493</v>
      </c>
      <c r="F783" t="s">
        <v>662</v>
      </c>
      <c r="G783" t="s">
        <v>82</v>
      </c>
      <c r="H783" s="67">
        <v>44561</v>
      </c>
      <c r="I783" s="92">
        <v>1906442</v>
      </c>
      <c r="J783" s="73"/>
      <c r="K783" s="74">
        <v>530829</v>
      </c>
      <c r="L783" s="73">
        <v>273821</v>
      </c>
      <c r="M783" s="74">
        <v>594506</v>
      </c>
      <c r="N783" s="73">
        <v>624561</v>
      </c>
      <c r="O783" s="74">
        <v>243132</v>
      </c>
    </row>
    <row r="784" spans="1:15">
      <c r="A784" s="107"/>
      <c r="B784" s="107"/>
      <c r="C784" s="107"/>
      <c r="D784" s="68" t="s">
        <v>423</v>
      </c>
      <c r="E784" t="s">
        <v>493</v>
      </c>
      <c r="F784" t="s">
        <v>663</v>
      </c>
      <c r="G784" t="s">
        <v>82</v>
      </c>
      <c r="H784" s="67">
        <v>44561</v>
      </c>
      <c r="I784" s="92">
        <v>15980340</v>
      </c>
      <c r="J784" s="73"/>
      <c r="K784" s="74">
        <v>9134536</v>
      </c>
      <c r="L784" s="73">
        <v>10263461</v>
      </c>
      <c r="M784" s="74">
        <v>10884062</v>
      </c>
      <c r="N784" s="73">
        <v>10705000</v>
      </c>
      <c r="O784" s="74">
        <v>11307000</v>
      </c>
    </row>
    <row r="785" spans="1:15">
      <c r="A785" s="107"/>
      <c r="B785" s="107"/>
      <c r="C785" s="107"/>
      <c r="D785" s="68" t="s">
        <v>599</v>
      </c>
      <c r="G785" t="s">
        <v>629</v>
      </c>
      <c r="H785" s="67">
        <v>44561</v>
      </c>
      <c r="I785" s="92">
        <v>44546</v>
      </c>
      <c r="J785" s="73"/>
      <c r="K785" s="74">
        <v>40658</v>
      </c>
      <c r="L785" s="73">
        <v>46474</v>
      </c>
      <c r="M785" s="74">
        <v>45182</v>
      </c>
      <c r="N785" s="73">
        <v>41589</v>
      </c>
      <c r="O785" s="74">
        <v>43273</v>
      </c>
    </row>
    <row r="786" spans="1:15">
      <c r="A786" s="107"/>
      <c r="B786" s="107"/>
      <c r="C786" s="107"/>
      <c r="D786" s="68" t="s">
        <v>424</v>
      </c>
      <c r="H786" s="67"/>
      <c r="J786" s="73"/>
      <c r="K786" s="74"/>
      <c r="L786" s="73"/>
      <c r="M786" s="74"/>
      <c r="N786" s="73"/>
      <c r="O786" s="95" t="s">
        <v>664</v>
      </c>
    </row>
    <row r="787" spans="1:15">
      <c r="A787" s="107" t="s">
        <v>233</v>
      </c>
      <c r="B787" s="107" t="s">
        <v>234</v>
      </c>
      <c r="C787" s="107" t="s">
        <v>235</v>
      </c>
      <c r="D787" s="68" t="s">
        <v>417</v>
      </c>
      <c r="G787" t="s">
        <v>435</v>
      </c>
      <c r="H787" s="67">
        <v>44561</v>
      </c>
      <c r="J787" s="73">
        <v>10.1264200928455</v>
      </c>
      <c r="K787" s="74">
        <v>11.1203926606529</v>
      </c>
      <c r="L787" s="73">
        <v>11.1870425101908</v>
      </c>
      <c r="M787" s="74">
        <v>10.549571530444201</v>
      </c>
      <c r="N787" s="73">
        <v>10.831472549502299</v>
      </c>
      <c r="O787" s="74"/>
    </row>
    <row r="788" spans="1:15">
      <c r="A788" s="107"/>
      <c r="B788" s="107"/>
      <c r="C788" s="107"/>
      <c r="D788" s="68" t="s">
        <v>418</v>
      </c>
      <c r="E788" t="s">
        <v>419</v>
      </c>
      <c r="G788" t="s">
        <v>435</v>
      </c>
      <c r="H788" s="67">
        <v>44561</v>
      </c>
      <c r="J788" s="73">
        <v>0</v>
      </c>
      <c r="K788" s="74">
        <v>0</v>
      </c>
      <c r="L788" s="73">
        <v>0</v>
      </c>
      <c r="M788" s="74">
        <v>0</v>
      </c>
      <c r="N788" s="73">
        <v>0</v>
      </c>
      <c r="O788" s="74"/>
    </row>
    <row r="789" spans="1:15">
      <c r="A789" s="107"/>
      <c r="B789" s="107"/>
      <c r="C789" s="107"/>
      <c r="D789" s="68" t="s">
        <v>420</v>
      </c>
      <c r="E789" t="s">
        <v>419</v>
      </c>
      <c r="G789" t="s">
        <v>435</v>
      </c>
      <c r="H789" s="67">
        <v>44561</v>
      </c>
      <c r="J789" s="73">
        <v>10.1264200928455</v>
      </c>
      <c r="K789" s="74">
        <v>11.1203926606529</v>
      </c>
      <c r="L789" s="73">
        <v>11.1870425101908</v>
      </c>
      <c r="M789" s="74">
        <v>10.549571530444201</v>
      </c>
      <c r="N789" s="73">
        <v>10.831472549502299</v>
      </c>
      <c r="O789" s="74"/>
    </row>
    <row r="790" spans="1:15">
      <c r="A790" s="107"/>
      <c r="B790" s="107"/>
      <c r="C790" s="107"/>
      <c r="D790" s="68" t="s">
        <v>421</v>
      </c>
      <c r="E790" t="s">
        <v>422</v>
      </c>
      <c r="G790" t="s">
        <v>435</v>
      </c>
      <c r="H790" s="67">
        <v>44561</v>
      </c>
      <c r="J790" s="73"/>
      <c r="K790" s="74"/>
      <c r="L790" s="73"/>
      <c r="M790" s="74"/>
      <c r="N790" s="73"/>
      <c r="O790" s="74"/>
    </row>
    <row r="791" spans="1:15">
      <c r="A791" s="107"/>
      <c r="B791" s="107"/>
      <c r="C791" s="107"/>
      <c r="D791" s="68" t="s">
        <v>423</v>
      </c>
      <c r="G791" t="s">
        <v>63</v>
      </c>
      <c r="H791" s="67">
        <v>44561</v>
      </c>
      <c r="J791" s="73">
        <v>24.816709093617501</v>
      </c>
      <c r="K791" s="74">
        <v>25.543286224276802</v>
      </c>
      <c r="L791" s="73">
        <v>25.3295254644724</v>
      </c>
      <c r="M791" s="74">
        <v>25.6144668764736</v>
      </c>
      <c r="N791" s="73">
        <v>26.617025473167001</v>
      </c>
      <c r="O791" s="74"/>
    </row>
    <row r="792" spans="1:15">
      <c r="A792" s="107"/>
      <c r="B792" s="107"/>
      <c r="C792" s="107"/>
      <c r="D792" s="68" t="s">
        <v>424</v>
      </c>
      <c r="H792" s="67"/>
      <c r="J792" s="73"/>
      <c r="K792" s="74"/>
      <c r="L792" s="73"/>
      <c r="M792" s="74"/>
      <c r="N792" s="73"/>
      <c r="O792" s="74"/>
    </row>
    <row r="793" spans="1:15">
      <c r="A793" s="107" t="s">
        <v>236</v>
      </c>
      <c r="B793" s="107" t="s">
        <v>237</v>
      </c>
      <c r="C793" s="107" t="s">
        <v>238</v>
      </c>
      <c r="D793" s="68" t="s">
        <v>417</v>
      </c>
      <c r="G793" t="s">
        <v>435</v>
      </c>
      <c r="H793" s="67">
        <v>44561</v>
      </c>
      <c r="J793" s="73">
        <v>5.9896601061833996</v>
      </c>
      <c r="K793" s="74">
        <v>5.9839268728476602</v>
      </c>
      <c r="L793" s="73">
        <v>6.0355401320321702</v>
      </c>
      <c r="M793" s="74">
        <v>7.6219275866474101</v>
      </c>
      <c r="N793" s="73">
        <v>6.2495578398509801</v>
      </c>
      <c r="O793" s="74"/>
    </row>
    <row r="794" spans="1:15">
      <c r="A794" s="107"/>
      <c r="B794" s="107"/>
      <c r="C794" s="107"/>
      <c r="D794" s="68" t="s">
        <v>418</v>
      </c>
      <c r="E794" t="s">
        <v>419</v>
      </c>
      <c r="G794" t="s">
        <v>435</v>
      </c>
      <c r="H794" s="67">
        <v>44561</v>
      </c>
      <c r="J794" s="73">
        <v>0</v>
      </c>
      <c r="K794" s="74">
        <v>0</v>
      </c>
      <c r="L794" s="73">
        <v>0</v>
      </c>
      <c r="M794" s="74">
        <v>0</v>
      </c>
      <c r="N794" s="73">
        <v>0</v>
      </c>
      <c r="O794" s="74"/>
    </row>
    <row r="795" spans="1:15">
      <c r="A795" s="107"/>
      <c r="B795" s="107"/>
      <c r="C795" s="107"/>
      <c r="D795" s="68" t="s">
        <v>420</v>
      </c>
      <c r="E795" t="s">
        <v>419</v>
      </c>
      <c r="G795" t="s">
        <v>435</v>
      </c>
      <c r="H795" s="67">
        <v>44561</v>
      </c>
      <c r="J795" s="73">
        <v>5.9896601061833996</v>
      </c>
      <c r="K795" s="74">
        <v>5.9839268728476602</v>
      </c>
      <c r="L795" s="73">
        <v>6.0355401320321702</v>
      </c>
      <c r="M795" s="74">
        <v>7.6219275866474101</v>
      </c>
      <c r="N795" s="73">
        <v>6.2495578398509801</v>
      </c>
      <c r="O795" s="74"/>
    </row>
    <row r="796" spans="1:15">
      <c r="A796" s="107"/>
      <c r="B796" s="107"/>
      <c r="C796" s="107"/>
      <c r="D796" s="68" t="s">
        <v>421</v>
      </c>
      <c r="E796" t="s">
        <v>422</v>
      </c>
      <c r="G796" t="s">
        <v>435</v>
      </c>
      <c r="H796" s="67">
        <v>44561</v>
      </c>
      <c r="J796" s="73"/>
      <c r="K796" s="74"/>
      <c r="L796" s="73"/>
      <c r="M796" s="74"/>
      <c r="N796" s="73"/>
      <c r="O796" s="74"/>
    </row>
    <row r="797" spans="1:15">
      <c r="A797" s="107"/>
      <c r="B797" s="107"/>
      <c r="C797" s="107"/>
      <c r="D797" s="68" t="s">
        <v>423</v>
      </c>
      <c r="G797" t="s">
        <v>63</v>
      </c>
      <c r="H797" s="67">
        <v>44561</v>
      </c>
      <c r="J797" s="73">
        <v>13.0388771586</v>
      </c>
      <c r="K797" s="74">
        <v>13.1581340554</v>
      </c>
      <c r="L797" s="73">
        <v>13.925387108697</v>
      </c>
      <c r="M797" s="74">
        <v>15.800690788500001</v>
      </c>
      <c r="N797" s="73">
        <v>14.4241320008</v>
      </c>
      <c r="O797" s="74"/>
    </row>
    <row r="798" spans="1:15">
      <c r="A798" s="107"/>
      <c r="B798" s="107"/>
      <c r="C798" s="107"/>
      <c r="D798" s="68" t="s">
        <v>424</v>
      </c>
      <c r="H798" s="67"/>
      <c r="J798" s="73"/>
      <c r="K798" s="74"/>
      <c r="L798" s="73"/>
      <c r="M798" s="74"/>
      <c r="N798" s="73"/>
      <c r="O798" s="74"/>
    </row>
    <row r="799" spans="1:15">
      <c r="A799" s="107" t="s">
        <v>239</v>
      </c>
      <c r="B799" s="107" t="s">
        <v>240</v>
      </c>
      <c r="C799" s="107" t="s">
        <v>241</v>
      </c>
      <c r="D799" s="68" t="s">
        <v>417</v>
      </c>
      <c r="G799" t="s">
        <v>435</v>
      </c>
      <c r="H799" s="67">
        <v>44561</v>
      </c>
      <c r="J799" s="73">
        <v>11.7569055157382</v>
      </c>
      <c r="K799" s="74">
        <v>10.497003363215899</v>
      </c>
      <c r="L799" s="73">
        <v>11.8664996455886</v>
      </c>
      <c r="M799" s="74">
        <v>11.5717537423113</v>
      </c>
      <c r="N799" s="73">
        <v>8.2013432159027992</v>
      </c>
      <c r="O799" s="74"/>
    </row>
    <row r="800" spans="1:15">
      <c r="A800" s="107"/>
      <c r="B800" s="107"/>
      <c r="C800" s="107"/>
      <c r="D800" s="68" t="s">
        <v>418</v>
      </c>
      <c r="E800" t="s">
        <v>419</v>
      </c>
      <c r="G800" t="s">
        <v>435</v>
      </c>
      <c r="H800" s="67">
        <v>44561</v>
      </c>
      <c r="J800" s="73">
        <v>0</v>
      </c>
      <c r="K800" s="74">
        <v>0</v>
      </c>
      <c r="L800" s="73">
        <v>0</v>
      </c>
      <c r="M800" s="74">
        <v>0</v>
      </c>
      <c r="N800" s="73">
        <v>0</v>
      </c>
      <c r="O800" s="74"/>
    </row>
    <row r="801" spans="1:15">
      <c r="A801" s="107"/>
      <c r="B801" s="107"/>
      <c r="C801" s="107"/>
      <c r="D801" s="68" t="s">
        <v>420</v>
      </c>
      <c r="E801" t="s">
        <v>419</v>
      </c>
      <c r="G801" t="s">
        <v>435</v>
      </c>
      <c r="H801" s="67">
        <v>44561</v>
      </c>
      <c r="J801" s="73">
        <v>11.7569055157382</v>
      </c>
      <c r="K801" s="74">
        <v>10.497003363215899</v>
      </c>
      <c r="L801" s="73">
        <v>11.8664996455886</v>
      </c>
      <c r="M801" s="74">
        <v>11.5717537423113</v>
      </c>
      <c r="N801" s="73">
        <v>8.2013432159027992</v>
      </c>
      <c r="O801" s="74"/>
    </row>
    <row r="802" spans="1:15">
      <c r="A802" s="107"/>
      <c r="B802" s="107"/>
      <c r="C802" s="107"/>
      <c r="D802" s="68" t="s">
        <v>421</v>
      </c>
      <c r="E802" t="s">
        <v>422</v>
      </c>
      <c r="G802" t="s">
        <v>435</v>
      </c>
      <c r="H802" s="67">
        <v>44561</v>
      </c>
      <c r="J802" s="73"/>
      <c r="K802" s="74"/>
      <c r="L802" s="73"/>
      <c r="M802" s="74"/>
      <c r="N802" s="73"/>
      <c r="O802" s="74"/>
    </row>
    <row r="803" spans="1:15">
      <c r="A803" s="107"/>
      <c r="B803" s="107"/>
      <c r="C803" s="107"/>
      <c r="D803" s="68" t="s">
        <v>423</v>
      </c>
      <c r="G803" t="s">
        <v>63</v>
      </c>
      <c r="H803" s="67">
        <v>44561</v>
      </c>
      <c r="J803" s="73">
        <v>51.638514609600001</v>
      </c>
      <c r="K803" s="74">
        <v>51.196017137600002</v>
      </c>
      <c r="L803" s="73">
        <v>53.823207085</v>
      </c>
      <c r="M803" s="74">
        <v>53.4572160069999</v>
      </c>
      <c r="N803" s="73">
        <v>49.809330486083802</v>
      </c>
      <c r="O803" s="74"/>
    </row>
    <row r="804" spans="1:15">
      <c r="A804" s="107"/>
      <c r="B804" s="107"/>
      <c r="C804" s="107"/>
      <c r="D804" s="68" t="s">
        <v>424</v>
      </c>
      <c r="H804" s="67"/>
      <c r="J804" s="73"/>
      <c r="K804" s="74"/>
      <c r="L804" s="73"/>
      <c r="M804" s="74"/>
      <c r="N804" s="73"/>
      <c r="O804" s="74"/>
    </row>
    <row r="805" spans="1:15">
      <c r="A805" s="107" t="s">
        <v>242</v>
      </c>
      <c r="B805" s="107" t="s">
        <v>243</v>
      </c>
      <c r="C805" s="107" t="s">
        <v>244</v>
      </c>
      <c r="D805" s="68" t="s">
        <v>417</v>
      </c>
      <c r="G805" t="s">
        <v>435</v>
      </c>
      <c r="H805" s="67">
        <v>44561</v>
      </c>
      <c r="J805" s="73"/>
      <c r="K805" s="74"/>
      <c r="L805" s="73">
        <v>54.210290827740486</v>
      </c>
      <c r="M805" s="74">
        <v>52</v>
      </c>
      <c r="N805" s="73">
        <v>50.2</v>
      </c>
      <c r="O805" s="74">
        <v>52.3</v>
      </c>
    </row>
    <row r="806" spans="1:15">
      <c r="A806" s="107"/>
      <c r="B806" s="107"/>
      <c r="C806" s="107"/>
      <c r="D806" s="68" t="s">
        <v>418</v>
      </c>
      <c r="E806" t="s">
        <v>419</v>
      </c>
      <c r="G806" t="s">
        <v>435</v>
      </c>
      <c r="H806" s="67">
        <v>44561</v>
      </c>
      <c r="J806" s="73"/>
      <c r="K806" s="74"/>
      <c r="L806" s="73">
        <v>19</v>
      </c>
      <c r="M806" s="74">
        <v>19</v>
      </c>
      <c r="N806" s="73">
        <v>18.100000000000001</v>
      </c>
      <c r="O806" s="74">
        <v>15.5</v>
      </c>
    </row>
    <row r="807" spans="1:15">
      <c r="A807" s="107"/>
      <c r="B807" s="107"/>
      <c r="C807" s="107"/>
      <c r="D807" s="68" t="s">
        <v>420</v>
      </c>
      <c r="E807" t="s">
        <v>419</v>
      </c>
      <c r="G807" t="s">
        <v>435</v>
      </c>
      <c r="H807" s="67">
        <v>44561</v>
      </c>
      <c r="J807" s="73"/>
      <c r="K807" s="74"/>
      <c r="L807" s="73">
        <v>73.210290827740494</v>
      </c>
      <c r="M807" s="74">
        <v>71</v>
      </c>
      <c r="N807" s="73">
        <v>68.300000000000011</v>
      </c>
      <c r="O807" s="74">
        <v>67.8</v>
      </c>
    </row>
    <row r="808" spans="1:15">
      <c r="A808" s="107"/>
      <c r="B808" s="107"/>
      <c r="C808" s="107"/>
      <c r="D808" s="68" t="s">
        <v>421</v>
      </c>
      <c r="E808" t="s">
        <v>422</v>
      </c>
      <c r="G808" t="s">
        <v>435</v>
      </c>
      <c r="H808" s="67">
        <v>44561</v>
      </c>
      <c r="J808" s="73"/>
      <c r="K808" s="74"/>
      <c r="L808" s="73">
        <v>2134.52</v>
      </c>
      <c r="M808" s="74">
        <v>2071.7399999999998</v>
      </c>
      <c r="N808" s="73">
        <v>1946.18</v>
      </c>
      <c r="O808" s="74">
        <v>1930.4849999999999</v>
      </c>
    </row>
    <row r="809" spans="1:15">
      <c r="A809" s="107"/>
      <c r="B809" s="107"/>
      <c r="C809" s="107"/>
      <c r="D809" s="68" t="s">
        <v>423</v>
      </c>
      <c r="G809" t="s">
        <v>185</v>
      </c>
      <c r="H809" s="67">
        <v>44561</v>
      </c>
      <c r="J809" s="73"/>
      <c r="K809" s="74"/>
      <c r="L809" s="73">
        <v>4964</v>
      </c>
      <c r="M809" s="74">
        <v>4818</v>
      </c>
      <c r="N809" s="73">
        <v>4526</v>
      </c>
      <c r="O809" s="74">
        <v>4489.5</v>
      </c>
    </row>
    <row r="810" spans="1:15">
      <c r="A810" s="107"/>
      <c r="B810" s="107"/>
      <c r="C810" s="107"/>
      <c r="D810" s="68" t="s">
        <v>424</v>
      </c>
      <c r="H810" s="67"/>
      <c r="J810" s="73"/>
      <c r="K810" s="74"/>
      <c r="L810" s="73"/>
      <c r="M810" s="74"/>
      <c r="N810" s="73"/>
      <c r="O810" s="74"/>
    </row>
    <row r="811" spans="1:15">
      <c r="A811" s="107" t="s">
        <v>246</v>
      </c>
      <c r="B811" s="107" t="s">
        <v>247</v>
      </c>
      <c r="C811" s="107" t="s">
        <v>248</v>
      </c>
      <c r="D811" s="68" t="s">
        <v>417</v>
      </c>
      <c r="G811" t="s">
        <v>435</v>
      </c>
      <c r="H811" s="67">
        <v>44561</v>
      </c>
      <c r="J811" s="73">
        <v>0.93325631030505496</v>
      </c>
      <c r="K811" s="74">
        <v>1.0145733542115101</v>
      </c>
      <c r="L811" s="73">
        <v>0.78712423475055404</v>
      </c>
      <c r="M811" s="74">
        <v>0.49535753618873202</v>
      </c>
      <c r="N811" s="73">
        <v>0.81038145236854997</v>
      </c>
      <c r="O811" s="74"/>
    </row>
    <row r="812" spans="1:15">
      <c r="A812" s="107"/>
      <c r="B812" s="107"/>
      <c r="C812" s="107"/>
      <c r="D812" s="68" t="s">
        <v>418</v>
      </c>
      <c r="E812" t="s">
        <v>419</v>
      </c>
      <c r="G812" t="s">
        <v>435</v>
      </c>
      <c r="H812" s="67">
        <v>44561</v>
      </c>
      <c r="J812" s="73">
        <v>0</v>
      </c>
      <c r="K812" s="74">
        <v>0</v>
      </c>
      <c r="L812" s="73">
        <v>0</v>
      </c>
      <c r="M812" s="74">
        <v>0</v>
      </c>
      <c r="N812" s="73">
        <v>0</v>
      </c>
      <c r="O812" s="74"/>
    </row>
    <row r="813" spans="1:15">
      <c r="A813" s="107"/>
      <c r="B813" s="107"/>
      <c r="C813" s="107"/>
      <c r="D813" s="68" t="s">
        <v>420</v>
      </c>
      <c r="E813" t="s">
        <v>419</v>
      </c>
      <c r="G813" t="s">
        <v>435</v>
      </c>
      <c r="H813" s="67">
        <v>44561</v>
      </c>
      <c r="J813" s="73">
        <v>0.93325631030505496</v>
      </c>
      <c r="K813" s="74">
        <v>1.0145733542115101</v>
      </c>
      <c r="L813" s="73">
        <v>0.78712423475055404</v>
      </c>
      <c r="M813" s="74">
        <v>0.49535753618873202</v>
      </c>
      <c r="N813" s="73">
        <v>0.81038145236854997</v>
      </c>
      <c r="O813" s="74"/>
    </row>
    <row r="814" spans="1:15">
      <c r="A814" s="107"/>
      <c r="B814" s="107"/>
      <c r="C814" s="107"/>
      <c r="D814" s="68" t="s">
        <v>421</v>
      </c>
      <c r="E814" t="s">
        <v>422</v>
      </c>
      <c r="G814" t="s">
        <v>435</v>
      </c>
      <c r="H814" s="67">
        <v>44561</v>
      </c>
      <c r="J814" s="73"/>
      <c r="K814" s="74"/>
      <c r="L814" s="73"/>
      <c r="M814" s="74"/>
      <c r="N814" s="73"/>
      <c r="O814" s="74"/>
    </row>
    <row r="815" spans="1:15">
      <c r="A815" s="107"/>
      <c r="B815" s="107"/>
      <c r="C815" s="107"/>
      <c r="D815" s="68" t="s">
        <v>423</v>
      </c>
      <c r="G815" t="s">
        <v>63</v>
      </c>
      <c r="H815" s="67">
        <v>44561</v>
      </c>
      <c r="J815" s="73">
        <v>2.4300410000000001</v>
      </c>
      <c r="K815" s="74">
        <v>2.6489569999999998</v>
      </c>
      <c r="L815" s="73">
        <v>2.03335</v>
      </c>
      <c r="M815" s="74">
        <v>1.263015</v>
      </c>
      <c r="N815" s="73">
        <v>2.1170110000000002</v>
      </c>
      <c r="O815" s="74"/>
    </row>
    <row r="816" spans="1:15">
      <c r="A816" s="107"/>
      <c r="B816" s="107"/>
      <c r="C816" s="107"/>
      <c r="D816" s="68" t="s">
        <v>424</v>
      </c>
      <c r="H816" s="67"/>
      <c r="J816" s="73"/>
      <c r="K816" s="74"/>
      <c r="L816" s="73"/>
      <c r="M816" s="74"/>
      <c r="N816" s="73"/>
      <c r="O816" s="74"/>
    </row>
    <row r="817" spans="1:15">
      <c r="A817" s="107" t="s">
        <v>246</v>
      </c>
      <c r="B817" s="107" t="s">
        <v>247</v>
      </c>
      <c r="C817" s="107" t="s">
        <v>248</v>
      </c>
      <c r="D817" s="68" t="s">
        <v>417</v>
      </c>
      <c r="G817" t="s">
        <v>435</v>
      </c>
      <c r="H817" s="67">
        <v>44561</v>
      </c>
      <c r="J817" s="73">
        <v>0.93325631030505496</v>
      </c>
      <c r="K817" s="74">
        <v>1.0145733542115101</v>
      </c>
      <c r="L817" s="73">
        <v>0.78712423475055404</v>
      </c>
      <c r="M817" s="74"/>
      <c r="N817" s="73"/>
      <c r="O817" s="74">
        <v>6.8</v>
      </c>
    </row>
    <row r="818" spans="1:15">
      <c r="A818" s="107"/>
      <c r="B818" s="107"/>
      <c r="C818" s="107"/>
      <c r="D818" s="68" t="s">
        <v>418</v>
      </c>
      <c r="E818" t="s">
        <v>419</v>
      </c>
      <c r="G818" t="s">
        <v>435</v>
      </c>
      <c r="H818" s="67">
        <v>44561</v>
      </c>
      <c r="J818" s="73">
        <v>0</v>
      </c>
      <c r="K818" s="74">
        <v>0</v>
      </c>
      <c r="L818" s="73">
        <v>0</v>
      </c>
      <c r="M818" s="74"/>
      <c r="N818" s="73"/>
      <c r="O818" s="74">
        <v>0.376</v>
      </c>
    </row>
    <row r="819" spans="1:15">
      <c r="A819" s="107"/>
      <c r="B819" s="107"/>
      <c r="C819" s="107"/>
      <c r="D819" s="68" t="s">
        <v>420</v>
      </c>
      <c r="E819" t="s">
        <v>419</v>
      </c>
      <c r="G819" t="s">
        <v>435</v>
      </c>
      <c r="H819" s="67">
        <v>44561</v>
      </c>
      <c r="J819" s="73">
        <v>0.93325631030505496</v>
      </c>
      <c r="K819" s="74">
        <v>1.0145733542115101</v>
      </c>
      <c r="L819" s="73">
        <v>0.78712423475055404</v>
      </c>
      <c r="M819" s="74"/>
      <c r="N819" s="73"/>
      <c r="O819" s="74"/>
    </row>
    <row r="820" spans="1:15">
      <c r="A820" s="107"/>
      <c r="B820" s="107"/>
      <c r="C820" s="107"/>
      <c r="D820" s="68" t="s">
        <v>421</v>
      </c>
      <c r="E820" t="s">
        <v>422</v>
      </c>
      <c r="G820" t="s">
        <v>435</v>
      </c>
      <c r="H820" s="67">
        <v>44561</v>
      </c>
      <c r="J820" s="73"/>
      <c r="K820" s="74"/>
      <c r="L820" s="73"/>
      <c r="M820" s="74"/>
      <c r="N820" s="73"/>
      <c r="O820" s="74">
        <v>66.2</v>
      </c>
    </row>
    <row r="821" spans="1:15">
      <c r="A821" s="107"/>
      <c r="B821" s="107"/>
      <c r="C821" s="107"/>
      <c r="D821" s="68" t="s">
        <v>423</v>
      </c>
      <c r="G821" t="s">
        <v>63</v>
      </c>
      <c r="H821" s="67">
        <v>44561</v>
      </c>
      <c r="J821" s="73">
        <v>2.4300410000000001</v>
      </c>
      <c r="K821" s="74">
        <v>2.6489569999999998</v>
      </c>
      <c r="L821" s="73">
        <v>2.03335</v>
      </c>
      <c r="M821" s="74"/>
      <c r="N821" s="73"/>
      <c r="O821" s="74">
        <f>5.66+4.13+1.4+0.115+5.91</f>
        <v>17.215</v>
      </c>
    </row>
    <row r="822" spans="1:15">
      <c r="A822" s="107"/>
      <c r="B822" s="107"/>
      <c r="C822" s="107"/>
      <c r="D822" s="68" t="s">
        <v>424</v>
      </c>
      <c r="H822" s="67"/>
      <c r="J822" s="73"/>
      <c r="K822" s="74"/>
      <c r="L822" s="73"/>
      <c r="M822" s="74"/>
      <c r="N822" s="73"/>
      <c r="O822" s="74" t="s">
        <v>542</v>
      </c>
    </row>
    <row r="823" spans="1:15">
      <c r="A823" s="107" t="s">
        <v>249</v>
      </c>
      <c r="B823" s="107" t="s">
        <v>250</v>
      </c>
      <c r="C823" s="107" t="s">
        <v>251</v>
      </c>
      <c r="D823" s="68" t="s">
        <v>417</v>
      </c>
      <c r="G823" t="s">
        <v>435</v>
      </c>
      <c r="H823" s="67">
        <v>44561</v>
      </c>
      <c r="J823" s="73">
        <v>68</v>
      </c>
      <c r="K823" s="74">
        <v>73</v>
      </c>
      <c r="L823" s="73">
        <v>71</v>
      </c>
      <c r="M823" s="74">
        <v>70</v>
      </c>
      <c r="N823" s="73">
        <v>63</v>
      </c>
      <c r="O823" s="74">
        <v>60</v>
      </c>
    </row>
    <row r="824" spans="1:15">
      <c r="A824" s="107"/>
      <c r="B824" s="107"/>
      <c r="C824" s="107"/>
      <c r="D824" s="68" t="s">
        <v>418</v>
      </c>
      <c r="E824" t="s">
        <v>419</v>
      </c>
      <c r="G824" t="s">
        <v>435</v>
      </c>
      <c r="H824" s="67">
        <v>44561</v>
      </c>
      <c r="J824" s="73"/>
      <c r="K824" s="74">
        <v>12</v>
      </c>
      <c r="L824" s="73">
        <v>11</v>
      </c>
      <c r="M824" s="74">
        <v>10</v>
      </c>
      <c r="N824" s="73">
        <v>8</v>
      </c>
      <c r="O824" s="74">
        <v>8</v>
      </c>
    </row>
    <row r="825" spans="1:15">
      <c r="A825" s="107"/>
      <c r="B825" s="107"/>
      <c r="C825" s="107"/>
      <c r="D825" s="68" t="s">
        <v>420</v>
      </c>
      <c r="E825" t="s">
        <v>419</v>
      </c>
      <c r="G825" t="s">
        <v>435</v>
      </c>
      <c r="H825" s="67">
        <v>44561</v>
      </c>
      <c r="J825" s="73">
        <v>68</v>
      </c>
      <c r="K825" s="74">
        <v>85</v>
      </c>
      <c r="L825" s="73">
        <v>82</v>
      </c>
      <c r="M825" s="74">
        <v>80</v>
      </c>
      <c r="N825" s="73">
        <v>71</v>
      </c>
      <c r="O825" s="74">
        <v>68</v>
      </c>
    </row>
    <row r="826" spans="1:15">
      <c r="A826" s="107"/>
      <c r="B826" s="107"/>
      <c r="C826" s="107"/>
      <c r="D826" s="68" t="s">
        <v>421</v>
      </c>
      <c r="E826" t="s">
        <v>422</v>
      </c>
      <c r="G826" t="s">
        <v>435</v>
      </c>
      <c r="H826" s="67">
        <v>44561</v>
      </c>
      <c r="J826" s="73">
        <v>2909</v>
      </c>
      <c r="K826" s="74">
        <v>2909</v>
      </c>
      <c r="L826" s="73">
        <v>2988</v>
      </c>
      <c r="M826" s="74">
        <v>2823</v>
      </c>
      <c r="N826" s="73">
        <v>2358</v>
      </c>
      <c r="O826" s="74">
        <v>2309</v>
      </c>
    </row>
    <row r="827" spans="1:15">
      <c r="A827" s="107"/>
      <c r="B827" s="107"/>
      <c r="C827" s="107"/>
      <c r="D827" s="68" t="s">
        <v>423</v>
      </c>
      <c r="G827" t="s">
        <v>252</v>
      </c>
      <c r="H827" s="67">
        <v>44561</v>
      </c>
      <c r="J827" s="73">
        <v>21.44</v>
      </c>
      <c r="K827" s="74">
        <v>21.44</v>
      </c>
      <c r="L827" s="73">
        <v>22</v>
      </c>
      <c r="M827" s="74">
        <v>21.05</v>
      </c>
      <c r="N827" s="73">
        <v>18.399999999999999</v>
      </c>
      <c r="O827" s="74">
        <v>17.89</v>
      </c>
    </row>
    <row r="828" spans="1:15">
      <c r="A828" s="107"/>
      <c r="B828" s="107"/>
      <c r="C828" s="107"/>
      <c r="D828" s="68" t="s">
        <v>424</v>
      </c>
      <c r="H828" s="67"/>
      <c r="J828" s="73"/>
      <c r="K828" s="74"/>
      <c r="L828" s="73"/>
      <c r="M828" s="74"/>
      <c r="N828" s="73"/>
      <c r="O828" s="74"/>
    </row>
    <row r="829" spans="1:15">
      <c r="A829" s="107" t="s">
        <v>253</v>
      </c>
      <c r="B829" s="107" t="s">
        <v>254</v>
      </c>
      <c r="C829" s="107" t="s">
        <v>255</v>
      </c>
      <c r="D829" s="68" t="s">
        <v>417</v>
      </c>
      <c r="G829" t="s">
        <v>435</v>
      </c>
      <c r="H829" s="67">
        <v>44561</v>
      </c>
      <c r="J829" s="73"/>
      <c r="K829" s="74"/>
      <c r="L829" s="73"/>
      <c r="M829" s="74">
        <v>125.68</v>
      </c>
      <c r="N829" s="73">
        <v>128.58000000000001</v>
      </c>
      <c r="O829" s="74">
        <v>148.38</v>
      </c>
    </row>
    <row r="830" spans="1:15">
      <c r="A830" s="107"/>
      <c r="B830" s="107"/>
      <c r="C830" s="107"/>
      <c r="D830" s="68" t="s">
        <v>418</v>
      </c>
      <c r="E830" t="s">
        <v>419</v>
      </c>
      <c r="G830" t="s">
        <v>435</v>
      </c>
      <c r="H830" s="67">
        <v>44561</v>
      </c>
      <c r="J830" s="73"/>
      <c r="K830" s="74"/>
      <c r="L830" s="73"/>
      <c r="M830" s="74">
        <v>45.01</v>
      </c>
      <c r="N830" s="73">
        <v>42.36</v>
      </c>
      <c r="O830" s="74">
        <v>24.18</v>
      </c>
    </row>
    <row r="831" spans="1:15">
      <c r="A831" s="107"/>
      <c r="B831" s="107"/>
      <c r="C831" s="107"/>
      <c r="D831" s="68" t="s">
        <v>420</v>
      </c>
      <c r="E831" t="s">
        <v>419</v>
      </c>
      <c r="G831" t="s">
        <v>435</v>
      </c>
      <c r="H831" s="67">
        <v>44561</v>
      </c>
      <c r="J831" s="73"/>
      <c r="K831" s="74"/>
      <c r="L831" s="73"/>
      <c r="M831" s="74">
        <v>170.69</v>
      </c>
      <c r="N831" s="73">
        <v>170.94</v>
      </c>
      <c r="O831" s="74">
        <v>172.56</v>
      </c>
    </row>
    <row r="832" spans="1:15">
      <c r="A832" s="107"/>
      <c r="B832" s="107"/>
      <c r="C832" s="107"/>
      <c r="D832" s="68" t="s">
        <v>421</v>
      </c>
      <c r="E832" t="s">
        <v>422</v>
      </c>
      <c r="G832" t="s">
        <v>435</v>
      </c>
      <c r="H832" s="67">
        <v>44561</v>
      </c>
      <c r="J832" s="73"/>
      <c r="K832" s="74"/>
      <c r="L832" s="73"/>
      <c r="M832" s="74">
        <v>197.3356</v>
      </c>
      <c r="N832" s="73">
        <v>197.37860000000001</v>
      </c>
      <c r="O832" s="74">
        <v>206.28819999999999</v>
      </c>
    </row>
    <row r="833" spans="1:15">
      <c r="A833" s="107"/>
      <c r="B833" s="107"/>
      <c r="C833" s="107"/>
      <c r="D833" s="68" t="s">
        <v>423</v>
      </c>
      <c r="G833" t="s">
        <v>185</v>
      </c>
      <c r="H833" s="67">
        <v>44561</v>
      </c>
      <c r="J833" s="73"/>
      <c r="K833" s="74"/>
      <c r="L833" s="73"/>
      <c r="M833" s="74">
        <v>458.92</v>
      </c>
      <c r="N833" s="73">
        <v>459.02</v>
      </c>
      <c r="O833" s="74">
        <v>479.74</v>
      </c>
    </row>
    <row r="834" spans="1:15">
      <c r="A834" s="107"/>
      <c r="B834" s="107"/>
      <c r="C834" s="107"/>
      <c r="D834" s="68" t="s">
        <v>424</v>
      </c>
      <c r="H834" s="67"/>
      <c r="J834" s="73"/>
      <c r="K834" s="74"/>
      <c r="L834" s="73"/>
      <c r="M834" s="74"/>
      <c r="N834" s="73"/>
      <c r="O834" s="74"/>
    </row>
    <row r="835" spans="1:15">
      <c r="A835" s="107" t="s">
        <v>257</v>
      </c>
      <c r="B835" s="107" t="s">
        <v>258</v>
      </c>
      <c r="C835" s="107" t="s">
        <v>259</v>
      </c>
      <c r="D835" s="68" t="s">
        <v>417</v>
      </c>
      <c r="G835" t="s">
        <v>434</v>
      </c>
      <c r="H835" s="67">
        <v>44561</v>
      </c>
      <c r="J835" s="73"/>
      <c r="K835" s="74">
        <v>10515907</v>
      </c>
      <c r="L835" s="73">
        <v>10484559</v>
      </c>
      <c r="M835" s="74">
        <v>10117596</v>
      </c>
      <c r="N835" s="73">
        <v>9703851</v>
      </c>
      <c r="O835" s="74">
        <v>8521728.0528707132</v>
      </c>
    </row>
    <row r="836" spans="1:15">
      <c r="A836" s="107"/>
      <c r="B836" s="107"/>
      <c r="C836" s="107"/>
      <c r="D836" s="68" t="s">
        <v>418</v>
      </c>
      <c r="E836" t="s">
        <v>419</v>
      </c>
      <c r="G836" t="s">
        <v>434</v>
      </c>
      <c r="H836" s="67">
        <v>44561</v>
      </c>
      <c r="J836" s="73"/>
      <c r="K836" s="74">
        <v>2387301</v>
      </c>
      <c r="L836" s="73">
        <v>2480244</v>
      </c>
      <c r="M836" s="74">
        <v>2400554</v>
      </c>
      <c r="N836" s="73">
        <v>2389387</v>
      </c>
      <c r="O836" s="74">
        <v>2378271.9471292882</v>
      </c>
    </row>
    <row r="837" spans="1:15">
      <c r="A837" s="107"/>
      <c r="B837" s="107"/>
      <c r="C837" s="107"/>
      <c r="D837" s="68" t="s">
        <v>420</v>
      </c>
      <c r="E837" t="s">
        <v>419</v>
      </c>
      <c r="G837" t="s">
        <v>434</v>
      </c>
      <c r="H837" s="67">
        <v>44561</v>
      </c>
      <c r="J837" s="73"/>
      <c r="K837" s="74">
        <v>12903208</v>
      </c>
      <c r="L837" s="73">
        <v>12964803</v>
      </c>
      <c r="M837" s="74">
        <v>12518150</v>
      </c>
      <c r="N837" s="73">
        <v>12093238</v>
      </c>
      <c r="O837" s="74">
        <v>10900000</v>
      </c>
    </row>
    <row r="838" spans="1:15">
      <c r="A838" s="107"/>
      <c r="B838" s="107"/>
      <c r="C838" s="107"/>
      <c r="D838" s="68" t="s">
        <v>421</v>
      </c>
      <c r="E838" t="s">
        <v>422</v>
      </c>
      <c r="G838" t="s">
        <v>434</v>
      </c>
      <c r="H838" s="67">
        <v>44561</v>
      </c>
      <c r="J838" s="73"/>
      <c r="K838" s="74">
        <v>151800000</v>
      </c>
      <c r="L838" s="73">
        <v>151800000</v>
      </c>
      <c r="M838" s="74">
        <v>151800000</v>
      </c>
      <c r="N838" s="73">
        <v>131470000</v>
      </c>
      <c r="O838" s="74">
        <v>118350000</v>
      </c>
    </row>
    <row r="839" spans="1:15">
      <c r="A839" s="107"/>
      <c r="B839" s="107"/>
      <c r="C839" s="107"/>
      <c r="D839" s="68" t="s">
        <v>423</v>
      </c>
      <c r="G839" t="s">
        <v>260</v>
      </c>
      <c r="H839" s="67">
        <v>44561</v>
      </c>
      <c r="J839" s="73"/>
      <c r="K839" s="74">
        <v>353023255.81395352</v>
      </c>
      <c r="L839" s="73">
        <v>353023255.81395352</v>
      </c>
      <c r="M839" s="74">
        <v>353023255.81395352</v>
      </c>
      <c r="N839" s="73">
        <v>305744186.04651171</v>
      </c>
      <c r="O839" s="74">
        <v>329383720.93023258</v>
      </c>
    </row>
    <row r="840" spans="1:15">
      <c r="A840" s="107"/>
      <c r="B840" s="107"/>
      <c r="C840" s="107"/>
      <c r="D840" s="68" t="s">
        <v>424</v>
      </c>
      <c r="H840" s="67"/>
      <c r="J840" s="73"/>
      <c r="K840" s="74"/>
      <c r="L840" s="73"/>
      <c r="M840" s="74"/>
      <c r="N840" s="73"/>
      <c r="O840" s="74"/>
    </row>
    <row r="841" spans="1:15">
      <c r="A841" s="107" t="s">
        <v>261</v>
      </c>
      <c r="B841" s="107" t="s">
        <v>262</v>
      </c>
      <c r="C841" s="107" t="s">
        <v>263</v>
      </c>
      <c r="D841" s="68" t="s">
        <v>417</v>
      </c>
      <c r="G841" t="s">
        <v>435</v>
      </c>
      <c r="H841" s="67">
        <v>44561</v>
      </c>
      <c r="J841" s="73">
        <v>73.158060139100499</v>
      </c>
      <c r="K841" s="74">
        <v>68.701762309261795</v>
      </c>
      <c r="L841" s="73">
        <v>70.065115266754603</v>
      </c>
      <c r="M841" s="74">
        <v>63.436734029678099</v>
      </c>
      <c r="N841" s="73">
        <v>55.268400132395499</v>
      </c>
      <c r="O841" s="74"/>
    </row>
    <row r="842" spans="1:15">
      <c r="A842" s="107"/>
      <c r="B842" s="107"/>
      <c r="C842" s="107"/>
      <c r="D842" s="68" t="s">
        <v>418</v>
      </c>
      <c r="E842" t="s">
        <v>419</v>
      </c>
      <c r="G842" t="s">
        <v>435</v>
      </c>
      <c r="H842" s="67">
        <v>44561</v>
      </c>
      <c r="J842" s="73">
        <v>0</v>
      </c>
      <c r="K842" s="74">
        <v>0</v>
      </c>
      <c r="L842" s="73">
        <v>0</v>
      </c>
      <c r="M842" s="74">
        <v>0</v>
      </c>
      <c r="N842" s="73">
        <v>0</v>
      </c>
      <c r="O842" s="74"/>
    </row>
    <row r="843" spans="1:15">
      <c r="A843" s="107"/>
      <c r="B843" s="107"/>
      <c r="C843" s="107"/>
      <c r="D843" s="68" t="s">
        <v>420</v>
      </c>
      <c r="E843" t="s">
        <v>419</v>
      </c>
      <c r="G843" t="s">
        <v>435</v>
      </c>
      <c r="H843" s="67">
        <v>44561</v>
      </c>
      <c r="J843" s="73">
        <v>73.158060139100499</v>
      </c>
      <c r="K843" s="74">
        <v>68.701762309261795</v>
      </c>
      <c r="L843" s="73">
        <v>70.065115266754603</v>
      </c>
      <c r="M843" s="74">
        <v>63.436734029678099</v>
      </c>
      <c r="N843" s="73">
        <v>55.268400132395499</v>
      </c>
      <c r="O843" s="74"/>
    </row>
    <row r="844" spans="1:15">
      <c r="A844" s="107"/>
      <c r="B844" s="107"/>
      <c r="C844" s="107"/>
      <c r="D844" s="68" t="s">
        <v>421</v>
      </c>
      <c r="E844" t="s">
        <v>422</v>
      </c>
      <c r="G844" t="s">
        <v>435</v>
      </c>
      <c r="H844" s="67">
        <v>44561</v>
      </c>
      <c r="J844" s="73"/>
      <c r="K844" s="74"/>
      <c r="L844" s="73"/>
      <c r="M844" s="74"/>
      <c r="N844" s="73"/>
      <c r="O844" s="74"/>
    </row>
    <row r="845" spans="1:15">
      <c r="A845" s="107"/>
      <c r="B845" s="107"/>
      <c r="C845" s="107"/>
      <c r="D845" s="68" t="s">
        <v>423</v>
      </c>
      <c r="G845" t="s">
        <v>63</v>
      </c>
      <c r="H845" s="67">
        <v>44561</v>
      </c>
      <c r="J845" s="73">
        <v>142.170798416672</v>
      </c>
      <c r="K845" s="74">
        <v>139.134164092411</v>
      </c>
      <c r="L845" s="73">
        <v>143.25452060572201</v>
      </c>
      <c r="M845" s="74">
        <v>139.142471613559</v>
      </c>
      <c r="N845" s="73">
        <v>133.66992427778101</v>
      </c>
      <c r="O845" s="74"/>
    </row>
    <row r="846" spans="1:15">
      <c r="A846" s="107"/>
      <c r="B846" s="107"/>
      <c r="C846" s="107"/>
      <c r="D846" s="68" t="s">
        <v>424</v>
      </c>
      <c r="H846" s="67"/>
      <c r="J846" s="73"/>
      <c r="K846" s="74"/>
      <c r="L846" s="73"/>
      <c r="M846" s="74"/>
      <c r="N846" s="73"/>
      <c r="O846" s="74"/>
    </row>
    <row r="847" spans="1:15">
      <c r="A847" s="107" t="s">
        <v>261</v>
      </c>
      <c r="B847" s="107" t="s">
        <v>262</v>
      </c>
      <c r="C847" s="107" t="s">
        <v>263</v>
      </c>
      <c r="D847" s="68" t="s">
        <v>417</v>
      </c>
      <c r="E847" t="s">
        <v>456</v>
      </c>
      <c r="G847" t="s">
        <v>435</v>
      </c>
      <c r="H847" s="67">
        <v>44462</v>
      </c>
      <c r="J847" s="73"/>
      <c r="K847" s="74">
        <v>96.6</v>
      </c>
      <c r="L847" s="73">
        <v>97.2</v>
      </c>
      <c r="M847" s="74">
        <v>83.1</v>
      </c>
      <c r="N847" s="73">
        <v>70.400000000000006</v>
      </c>
      <c r="O847" s="74"/>
    </row>
    <row r="848" spans="1:15">
      <c r="A848" s="107"/>
      <c r="B848" s="107"/>
      <c r="C848" s="107"/>
      <c r="D848" s="68" t="s">
        <v>589</v>
      </c>
      <c r="E848" t="s">
        <v>456</v>
      </c>
      <c r="G848" t="s">
        <v>443</v>
      </c>
      <c r="H848" s="67">
        <v>44462</v>
      </c>
      <c r="J848" s="73"/>
      <c r="K848" s="74">
        <v>1124</v>
      </c>
      <c r="L848" s="73">
        <v>1080</v>
      </c>
      <c r="M848" s="74">
        <v>983</v>
      </c>
      <c r="N848" s="73">
        <v>886</v>
      </c>
      <c r="O848" s="74"/>
    </row>
    <row r="849" spans="1:15">
      <c r="A849" s="107"/>
      <c r="B849" s="107"/>
      <c r="C849" s="107"/>
      <c r="D849" s="68" t="s">
        <v>418</v>
      </c>
      <c r="E849" t="s">
        <v>426</v>
      </c>
      <c r="G849" t="s">
        <v>435</v>
      </c>
      <c r="H849" s="67">
        <v>44462</v>
      </c>
      <c r="J849" s="73"/>
      <c r="K849" s="74"/>
      <c r="L849" s="73"/>
      <c r="M849" s="74">
        <v>0.2</v>
      </c>
      <c r="N849" s="73">
        <v>0.2</v>
      </c>
      <c r="O849" s="74"/>
    </row>
    <row r="850" spans="1:15">
      <c r="A850" s="107"/>
      <c r="B850" s="107"/>
      <c r="C850" s="107"/>
      <c r="D850" s="68" t="s">
        <v>420</v>
      </c>
      <c r="E850" t="s">
        <v>426</v>
      </c>
      <c r="G850" t="s">
        <v>435</v>
      </c>
      <c r="H850" s="67">
        <v>44462</v>
      </c>
      <c r="J850" s="73"/>
      <c r="K850" s="73">
        <f>K847+K849</f>
        <v>96.6</v>
      </c>
      <c r="L850" s="73">
        <f>L847+L849</f>
        <v>97.2</v>
      </c>
      <c r="M850" s="73">
        <f>M847+M849</f>
        <v>83.3</v>
      </c>
      <c r="N850" s="73">
        <f>N847+N849</f>
        <v>70.600000000000009</v>
      </c>
      <c r="O850" s="74"/>
    </row>
    <row r="851" spans="1:15">
      <c r="A851" s="107"/>
      <c r="B851" s="107"/>
      <c r="C851" s="107"/>
      <c r="D851" s="68" t="s">
        <v>421</v>
      </c>
      <c r="E851" t="s">
        <v>422</v>
      </c>
      <c r="G851" t="s">
        <v>435</v>
      </c>
      <c r="H851" s="67">
        <v>44462</v>
      </c>
      <c r="J851" s="73"/>
      <c r="K851" s="74">
        <v>30</v>
      </c>
      <c r="L851" s="73">
        <v>39.4</v>
      </c>
      <c r="M851" s="74">
        <v>38.799999999999997</v>
      </c>
      <c r="N851" s="73">
        <v>36.6</v>
      </c>
      <c r="O851" s="74"/>
    </row>
    <row r="852" spans="1:15">
      <c r="A852" s="107"/>
      <c r="B852" s="107"/>
      <c r="C852" s="107"/>
      <c r="D852" s="68" t="s">
        <v>423</v>
      </c>
      <c r="G852" t="s">
        <v>63</v>
      </c>
      <c r="H852" s="67">
        <v>44462</v>
      </c>
      <c r="J852" s="73"/>
      <c r="K852" s="74">
        <f>2204.62*K847/K848</f>
        <v>189.47179003558719</v>
      </c>
      <c r="L852" s="74">
        <f t="shared" ref="L852:N852" si="8">2204.62*L847/L848</f>
        <v>198.41579999999999</v>
      </c>
      <c r="M852" s="74">
        <f t="shared" si="8"/>
        <v>186.37225025432349</v>
      </c>
      <c r="N852" s="74">
        <f t="shared" si="8"/>
        <v>175.17522347629796</v>
      </c>
      <c r="O852" s="74"/>
    </row>
    <row r="853" spans="1:15">
      <c r="A853" s="107"/>
      <c r="B853" s="107"/>
      <c r="C853" s="107"/>
      <c r="D853" s="68" t="s">
        <v>424</v>
      </c>
      <c r="H853" s="67"/>
      <c r="J853" s="73"/>
      <c r="K853" s="74"/>
      <c r="L853" s="73"/>
      <c r="M853" s="74"/>
      <c r="N853" s="73" t="s">
        <v>455</v>
      </c>
      <c r="O853" s="74"/>
    </row>
    <row r="854" spans="1:15">
      <c r="A854" s="107" t="s">
        <v>264</v>
      </c>
      <c r="B854" s="107" t="s">
        <v>265</v>
      </c>
      <c r="C854" s="107" t="s">
        <v>266</v>
      </c>
      <c r="D854" s="68" t="s">
        <v>417</v>
      </c>
      <c r="G854" t="s">
        <v>434</v>
      </c>
      <c r="H854" s="67">
        <v>44561</v>
      </c>
      <c r="J854" s="73">
        <v>3215942</v>
      </c>
      <c r="K854" s="74">
        <v>3215942</v>
      </c>
      <c r="L854" s="73">
        <v>3299883</v>
      </c>
      <c r="M854" s="74">
        <v>3145097</v>
      </c>
      <c r="N854" s="73">
        <v>3063829.9454545402</v>
      </c>
      <c r="O854" s="74"/>
    </row>
    <row r="855" spans="1:15">
      <c r="A855" s="107"/>
      <c r="B855" s="107"/>
      <c r="C855" s="107"/>
      <c r="D855" s="68" t="s">
        <v>418</v>
      </c>
      <c r="E855" t="s">
        <v>419</v>
      </c>
      <c r="G855" t="s">
        <v>434</v>
      </c>
      <c r="H855" s="67">
        <v>44561</v>
      </c>
      <c r="J855" s="73">
        <v>1700245</v>
      </c>
      <c r="K855" s="74">
        <v>1700245</v>
      </c>
      <c r="L855" s="73">
        <v>1863045</v>
      </c>
      <c r="M855" s="74">
        <v>1744669</v>
      </c>
      <c r="N855" s="73">
        <v>1694260.13636364</v>
      </c>
      <c r="O855" s="74"/>
    </row>
    <row r="856" spans="1:15">
      <c r="A856" s="107"/>
      <c r="B856" s="107"/>
      <c r="C856" s="107"/>
      <c r="D856" s="68" t="s">
        <v>420</v>
      </c>
      <c r="E856" t="s">
        <v>419</v>
      </c>
      <c r="G856" t="s">
        <v>434</v>
      </c>
      <c r="H856" s="67">
        <v>44561</v>
      </c>
      <c r="J856" s="73">
        <v>4916187</v>
      </c>
      <c r="K856" s="74">
        <v>4916187</v>
      </c>
      <c r="L856" s="73">
        <v>5162928</v>
      </c>
      <c r="M856" s="74">
        <v>4889766</v>
      </c>
      <c r="N856" s="73">
        <v>4758090.0818181802</v>
      </c>
      <c r="O856" s="74"/>
    </row>
    <row r="857" spans="1:15">
      <c r="A857" s="107"/>
      <c r="B857" s="107"/>
      <c r="C857" s="107"/>
      <c r="D857" s="68" t="s">
        <v>421</v>
      </c>
      <c r="E857" t="s">
        <v>422</v>
      </c>
      <c r="G857" t="s">
        <v>434</v>
      </c>
      <c r="H857" s="67">
        <v>44561</v>
      </c>
      <c r="J857" s="73"/>
      <c r="K857" s="74"/>
      <c r="L857" s="73"/>
      <c r="M857" s="74"/>
      <c r="N857" s="73"/>
      <c r="O857" s="74"/>
    </row>
    <row r="858" spans="1:15">
      <c r="A858" s="107"/>
      <c r="B858" s="107"/>
      <c r="C858" s="107"/>
      <c r="D858" s="68" t="s">
        <v>423</v>
      </c>
      <c r="G858" t="s">
        <v>100</v>
      </c>
      <c r="H858" s="67">
        <v>44561</v>
      </c>
      <c r="J858" s="73">
        <v>8529969</v>
      </c>
      <c r="K858" s="74">
        <v>8529969</v>
      </c>
      <c r="L858" s="73">
        <v>9074135</v>
      </c>
      <c r="M858" s="74">
        <v>8793160</v>
      </c>
      <c r="N858" s="73">
        <v>8925057.4000000004</v>
      </c>
      <c r="O858" s="74"/>
    </row>
    <row r="859" spans="1:15">
      <c r="A859" s="107"/>
      <c r="B859" s="107"/>
      <c r="C859" s="107"/>
      <c r="D859" s="68" t="s">
        <v>424</v>
      </c>
      <c r="H859" s="67"/>
      <c r="J859" s="73"/>
      <c r="K859" s="74"/>
      <c r="L859" s="73"/>
      <c r="M859" s="74"/>
      <c r="N859" s="73"/>
      <c r="O859" s="74"/>
    </row>
    <row r="860" spans="1:15">
      <c r="A860" s="107" t="s">
        <v>267</v>
      </c>
      <c r="B860" s="107" t="s">
        <v>268</v>
      </c>
      <c r="C860" s="107" t="s">
        <v>269</v>
      </c>
      <c r="D860" s="68" t="s">
        <v>417</v>
      </c>
      <c r="G860" t="s">
        <v>435</v>
      </c>
      <c r="H860" s="67">
        <v>44561</v>
      </c>
      <c r="J860" s="73">
        <v>0.376086646397781</v>
      </c>
      <c r="K860" s="74">
        <v>0.47113547279974</v>
      </c>
      <c r="L860" s="73">
        <v>0.71664363849399704</v>
      </c>
      <c r="M860" s="74">
        <v>0.58371024316223097</v>
      </c>
      <c r="N860" s="73">
        <v>0.54203648477180599</v>
      </c>
      <c r="O860" s="74"/>
    </row>
    <row r="861" spans="1:15">
      <c r="A861" s="107"/>
      <c r="B861" s="107"/>
      <c r="C861" s="107"/>
      <c r="D861" s="68" t="s">
        <v>418</v>
      </c>
      <c r="E861" t="s">
        <v>419</v>
      </c>
      <c r="G861" t="s">
        <v>435</v>
      </c>
      <c r="H861" s="67">
        <v>44561</v>
      </c>
      <c r="J861" s="73">
        <v>0</v>
      </c>
      <c r="K861" s="74">
        <v>0</v>
      </c>
      <c r="L861" s="73">
        <v>0</v>
      </c>
      <c r="M861" s="74">
        <v>0</v>
      </c>
      <c r="N861" s="73">
        <v>0</v>
      </c>
      <c r="O861" s="74"/>
    </row>
    <row r="862" spans="1:15">
      <c r="A862" s="107"/>
      <c r="B862" s="107"/>
      <c r="C862" s="107"/>
      <c r="D862" s="68" t="s">
        <v>420</v>
      </c>
      <c r="E862" t="s">
        <v>419</v>
      </c>
      <c r="G862" t="s">
        <v>435</v>
      </c>
      <c r="H862" s="67">
        <v>44561</v>
      </c>
      <c r="J862" s="73">
        <v>0.376086646397781</v>
      </c>
      <c r="K862" s="74">
        <v>0.47113547279974</v>
      </c>
      <c r="L862" s="73">
        <v>0.71664363849399704</v>
      </c>
      <c r="M862" s="74">
        <v>0.58371024316223097</v>
      </c>
      <c r="N862" s="73">
        <v>0.54203648477180599</v>
      </c>
      <c r="O862" s="74"/>
    </row>
    <row r="863" spans="1:15">
      <c r="A863" s="107"/>
      <c r="B863" s="107"/>
      <c r="C863" s="107"/>
      <c r="D863" s="68" t="s">
        <v>421</v>
      </c>
      <c r="E863" t="s">
        <v>422</v>
      </c>
      <c r="G863" t="s">
        <v>435</v>
      </c>
      <c r="H863" s="67">
        <v>44561</v>
      </c>
      <c r="J863" s="73"/>
      <c r="K863" s="74"/>
      <c r="L863" s="73"/>
      <c r="M863" s="74"/>
      <c r="N863" s="73"/>
      <c r="O863" s="74"/>
    </row>
    <row r="864" spans="1:15">
      <c r="A864" s="107"/>
      <c r="B864" s="107"/>
      <c r="C864" s="107"/>
      <c r="D864" s="68" t="s">
        <v>423</v>
      </c>
      <c r="G864" t="s">
        <v>63</v>
      </c>
      <c r="H864" s="67">
        <v>44561</v>
      </c>
      <c r="J864" s="73">
        <v>2.0033089999999998</v>
      </c>
      <c r="K864" s="74">
        <v>1.0567139999999999</v>
      </c>
      <c r="L864" s="73">
        <v>1.51502</v>
      </c>
      <c r="M864" s="74">
        <v>1.2483029999999999</v>
      </c>
      <c r="N864" s="73">
        <v>1.2963249999999999</v>
      </c>
      <c r="O864" s="74"/>
    </row>
    <row r="865" spans="1:15">
      <c r="A865" s="107"/>
      <c r="B865" s="107"/>
      <c r="C865" s="107"/>
      <c r="D865" s="68" t="s">
        <v>424</v>
      </c>
      <c r="H865" s="67"/>
      <c r="J865" s="73"/>
      <c r="K865" s="74"/>
      <c r="L865" s="73"/>
      <c r="M865" s="74"/>
      <c r="N865" s="73"/>
      <c r="O865" s="74"/>
    </row>
    <row r="866" spans="1:15">
      <c r="A866" s="107" t="s">
        <v>270</v>
      </c>
      <c r="B866" s="107" t="s">
        <v>271</v>
      </c>
      <c r="C866" s="107" t="s">
        <v>272</v>
      </c>
      <c r="D866" s="68" t="s">
        <v>417</v>
      </c>
      <c r="G866" t="s">
        <v>434</v>
      </c>
      <c r="H866" s="67">
        <v>44561</v>
      </c>
      <c r="J866" s="73">
        <v>2000000</v>
      </c>
      <c r="K866" s="74">
        <v>2000000</v>
      </c>
      <c r="L866" s="73">
        <v>2000000</v>
      </c>
      <c r="M866" s="74">
        <v>1800000</v>
      </c>
      <c r="N866" s="73">
        <v>1100000</v>
      </c>
      <c r="O866" s="74"/>
    </row>
    <row r="867" spans="1:15">
      <c r="A867" s="107"/>
      <c r="B867" s="107"/>
      <c r="C867" s="107"/>
      <c r="D867" s="68" t="s">
        <v>418</v>
      </c>
      <c r="E867" t="s">
        <v>419</v>
      </c>
      <c r="G867" t="s">
        <v>434</v>
      </c>
      <c r="H867" s="67">
        <v>44561</v>
      </c>
      <c r="J867" s="73">
        <v>1000000</v>
      </c>
      <c r="K867" s="74">
        <v>1000000</v>
      </c>
      <c r="L867" s="73">
        <v>1000000</v>
      </c>
      <c r="M867" s="74">
        <v>800000</v>
      </c>
      <c r="N867" s="73">
        <v>400000</v>
      </c>
      <c r="O867" s="74"/>
    </row>
    <row r="868" spans="1:15">
      <c r="A868" s="107"/>
      <c r="B868" s="107"/>
      <c r="C868" s="107"/>
      <c r="D868" s="68" t="s">
        <v>420</v>
      </c>
      <c r="E868" t="s">
        <v>419</v>
      </c>
      <c r="G868" t="s">
        <v>434</v>
      </c>
      <c r="H868" s="67">
        <v>44561</v>
      </c>
      <c r="J868" s="73">
        <v>3000000</v>
      </c>
      <c r="K868" s="74">
        <v>3000000</v>
      </c>
      <c r="L868" s="73">
        <v>3000000</v>
      </c>
      <c r="M868" s="74">
        <v>2600000</v>
      </c>
      <c r="N868" s="73">
        <v>1500000</v>
      </c>
      <c r="O868" s="74"/>
    </row>
    <row r="869" spans="1:15">
      <c r="A869" s="107"/>
      <c r="B869" s="107"/>
      <c r="C869" s="107"/>
      <c r="D869" s="68" t="s">
        <v>421</v>
      </c>
      <c r="E869" t="s">
        <v>422</v>
      </c>
      <c r="G869" t="s">
        <v>434</v>
      </c>
      <c r="H869" s="67">
        <v>44561</v>
      </c>
      <c r="J869" s="73">
        <v>3200000</v>
      </c>
      <c r="K869" s="74">
        <v>3200000</v>
      </c>
      <c r="L869" s="73">
        <v>3200000</v>
      </c>
      <c r="M869" s="74">
        <v>2300000</v>
      </c>
      <c r="N869" s="73">
        <v>1300000</v>
      </c>
      <c r="O869" s="74"/>
    </row>
    <row r="870" spans="1:15">
      <c r="A870" s="107"/>
      <c r="B870" s="107"/>
      <c r="C870" s="107"/>
      <c r="D870" s="68" t="s">
        <v>423</v>
      </c>
      <c r="G870" t="s">
        <v>100</v>
      </c>
      <c r="H870" s="67">
        <v>44561</v>
      </c>
      <c r="J870" s="73">
        <v>2900000</v>
      </c>
      <c r="K870" s="74">
        <v>2900000</v>
      </c>
      <c r="L870" s="73">
        <v>2900000</v>
      </c>
      <c r="M870" s="74">
        <v>2900000</v>
      </c>
      <c r="N870" s="73">
        <v>1800000</v>
      </c>
      <c r="O870" s="74"/>
    </row>
    <row r="871" spans="1:15">
      <c r="A871" s="107"/>
      <c r="B871" s="107"/>
      <c r="C871" s="107"/>
      <c r="D871" s="68" t="s">
        <v>424</v>
      </c>
      <c r="H871" s="67"/>
      <c r="J871" s="73"/>
      <c r="K871" s="74"/>
      <c r="L871" s="73"/>
      <c r="M871" s="74"/>
      <c r="N871" s="73"/>
      <c r="O871" s="74"/>
    </row>
    <row r="872" spans="1:15">
      <c r="A872" s="107" t="s">
        <v>274</v>
      </c>
      <c r="B872" s="107" t="s">
        <v>275</v>
      </c>
      <c r="C872" s="107" t="s">
        <v>276</v>
      </c>
      <c r="D872" s="68" t="s">
        <v>417</v>
      </c>
      <c r="G872" t="s">
        <v>433</v>
      </c>
      <c r="H872" s="67">
        <v>44561</v>
      </c>
      <c r="J872" s="73"/>
      <c r="K872" s="74"/>
      <c r="L872" s="73">
        <v>81604</v>
      </c>
      <c r="M872" s="74">
        <v>191</v>
      </c>
      <c r="N872" s="73">
        <v>190</v>
      </c>
      <c r="O872" s="74">
        <v>192</v>
      </c>
    </row>
    <row r="873" spans="1:15">
      <c r="A873" s="107"/>
      <c r="B873" s="107"/>
      <c r="C873" s="107"/>
      <c r="D873" s="68" t="s">
        <v>418</v>
      </c>
      <c r="E873" t="s">
        <v>419</v>
      </c>
      <c r="G873" t="s">
        <v>433</v>
      </c>
      <c r="H873" s="67">
        <v>44561</v>
      </c>
      <c r="J873" s="73"/>
      <c r="K873" s="74"/>
      <c r="L873" s="73">
        <v>532</v>
      </c>
      <c r="M873" s="74">
        <v>5886</v>
      </c>
      <c r="N873" s="73">
        <v>5205</v>
      </c>
      <c r="O873" s="74">
        <v>6108</v>
      </c>
    </row>
    <row r="874" spans="1:15">
      <c r="A874" s="107"/>
      <c r="B874" s="107"/>
      <c r="C874" s="107"/>
      <c r="D874" s="68" t="s">
        <v>420</v>
      </c>
      <c r="E874" t="s">
        <v>419</v>
      </c>
      <c r="G874" t="s">
        <v>433</v>
      </c>
      <c r="H874" s="67">
        <v>44561</v>
      </c>
      <c r="J874" s="73"/>
      <c r="K874" s="74"/>
      <c r="L874" s="73">
        <v>82136</v>
      </c>
      <c r="M874" s="74">
        <v>6077</v>
      </c>
      <c r="N874" s="73">
        <v>5395</v>
      </c>
      <c r="O874" s="74">
        <v>6300</v>
      </c>
    </row>
    <row r="875" spans="1:15">
      <c r="A875" s="107"/>
      <c r="B875" s="107"/>
      <c r="C875" s="107"/>
      <c r="D875" s="68" t="s">
        <v>421</v>
      </c>
      <c r="E875" t="s">
        <v>422</v>
      </c>
      <c r="G875" t="s">
        <v>433</v>
      </c>
      <c r="H875" s="67">
        <v>44561</v>
      </c>
      <c r="J875" s="73"/>
      <c r="K875" s="74"/>
      <c r="L875" s="73">
        <v>42355</v>
      </c>
      <c r="M875" s="74">
        <v>121446</v>
      </c>
      <c r="N875" s="73">
        <v>110119</v>
      </c>
      <c r="O875" s="74">
        <v>102137</v>
      </c>
    </row>
    <row r="876" spans="1:15">
      <c r="A876" s="107"/>
      <c r="B876" s="107"/>
      <c r="C876" s="107"/>
      <c r="D876" s="68" t="s">
        <v>423</v>
      </c>
      <c r="G876" t="s">
        <v>57</v>
      </c>
      <c r="H876" s="67">
        <v>44561</v>
      </c>
      <c r="J876" s="73"/>
      <c r="K876" s="74"/>
      <c r="L876" s="73">
        <v>230306</v>
      </c>
      <c r="M876" s="74">
        <v>222277</v>
      </c>
      <c r="N876" s="73">
        <v>204484</v>
      </c>
      <c r="O876" s="74">
        <v>233812</v>
      </c>
    </row>
    <row r="877" spans="1:15">
      <c r="A877" s="107"/>
      <c r="B877" s="107"/>
      <c r="C877" s="107"/>
      <c r="D877" s="68" t="s">
        <v>424</v>
      </c>
      <c r="H877" s="67"/>
      <c r="J877" s="73"/>
      <c r="K877" s="74"/>
      <c r="L877" s="73"/>
      <c r="M877" s="74"/>
      <c r="N877" s="73"/>
      <c r="O877" s="74"/>
    </row>
    <row r="878" spans="1:15">
      <c r="A878" s="107" t="s">
        <v>277</v>
      </c>
      <c r="B878" s="107" t="s">
        <v>278</v>
      </c>
      <c r="C878" s="107" t="s">
        <v>279</v>
      </c>
      <c r="D878" s="68" t="s">
        <v>417</v>
      </c>
      <c r="G878" t="s">
        <v>434</v>
      </c>
      <c r="H878" s="67">
        <v>44561</v>
      </c>
      <c r="J878" s="73">
        <v>17744560</v>
      </c>
      <c r="K878" s="74">
        <v>17744560</v>
      </c>
      <c r="L878" s="73">
        <v>17744560</v>
      </c>
      <c r="M878" s="74">
        <v>16682357</v>
      </c>
      <c r="N878" s="73">
        <v>15257923</v>
      </c>
      <c r="O878" s="74"/>
    </row>
    <row r="879" spans="1:15">
      <c r="A879" s="107"/>
      <c r="B879" s="107"/>
      <c r="C879" s="107"/>
      <c r="D879" s="68" t="s">
        <v>418</v>
      </c>
      <c r="E879" t="s">
        <v>419</v>
      </c>
      <c r="G879" t="s">
        <v>434</v>
      </c>
      <c r="H879" s="67">
        <v>44561</v>
      </c>
      <c r="J879" s="73">
        <v>858941</v>
      </c>
      <c r="K879" s="74">
        <v>858941</v>
      </c>
      <c r="L879" s="73">
        <v>858941</v>
      </c>
      <c r="M879" s="74">
        <v>1141024</v>
      </c>
      <c r="N879" s="73">
        <v>1154111</v>
      </c>
      <c r="O879" s="74"/>
    </row>
    <row r="880" spans="1:15">
      <c r="A880" s="107"/>
      <c r="B880" s="107"/>
      <c r="C880" s="107"/>
      <c r="D880" s="68" t="s">
        <v>420</v>
      </c>
      <c r="E880" t="s">
        <v>419</v>
      </c>
      <c r="G880" t="s">
        <v>434</v>
      </c>
      <c r="H880" s="67">
        <v>44561</v>
      </c>
      <c r="J880" s="73">
        <v>18603501</v>
      </c>
      <c r="K880" s="74">
        <v>18603501</v>
      </c>
      <c r="L880" s="73">
        <v>18603501</v>
      </c>
      <c r="M880" s="74">
        <v>17823381</v>
      </c>
      <c r="N880" s="73">
        <v>16412034</v>
      </c>
      <c r="O880" s="74"/>
    </row>
    <row r="881" spans="1:15">
      <c r="A881" s="107"/>
      <c r="B881" s="107"/>
      <c r="C881" s="107"/>
      <c r="D881" s="68" t="s">
        <v>421</v>
      </c>
      <c r="E881" t="s">
        <v>422</v>
      </c>
      <c r="G881" t="s">
        <v>434</v>
      </c>
      <c r="H881" s="67">
        <v>44561</v>
      </c>
      <c r="J881" s="73">
        <v>1056210</v>
      </c>
      <c r="K881" s="74">
        <v>1056210</v>
      </c>
      <c r="L881" s="73">
        <v>1056210</v>
      </c>
      <c r="M881" s="74">
        <v>910292</v>
      </c>
      <c r="N881" s="73">
        <v>767666</v>
      </c>
      <c r="O881" s="74"/>
    </row>
    <row r="882" spans="1:15">
      <c r="A882" s="107"/>
      <c r="B882" s="107"/>
      <c r="C882" s="107"/>
      <c r="D882" s="68" t="s">
        <v>423</v>
      </c>
      <c r="G882" t="s">
        <v>100</v>
      </c>
      <c r="H882" s="67">
        <v>44561</v>
      </c>
      <c r="J882" s="73">
        <v>10953432.098765399</v>
      </c>
      <c r="K882" s="74">
        <v>10953432.098765399</v>
      </c>
      <c r="L882" s="73">
        <v>10953432.098765399</v>
      </c>
      <c r="M882" s="74">
        <v>10297751.234567899</v>
      </c>
      <c r="N882" s="73">
        <v>9418470.9876543209</v>
      </c>
      <c r="O882" s="74"/>
    </row>
    <row r="883" spans="1:15">
      <c r="A883" s="107"/>
      <c r="B883" s="107"/>
      <c r="C883" s="107"/>
      <c r="D883" s="68" t="s">
        <v>424</v>
      </c>
      <c r="H883" s="67"/>
      <c r="J883" s="73"/>
      <c r="K883" s="74"/>
      <c r="L883" s="73"/>
      <c r="M883" s="74"/>
      <c r="N883" s="73"/>
      <c r="O883" s="74"/>
    </row>
    <row r="884" spans="1:15">
      <c r="A884" s="107" t="s">
        <v>280</v>
      </c>
      <c r="B884" s="107" t="s">
        <v>281</v>
      </c>
      <c r="C884" s="107" t="s">
        <v>282</v>
      </c>
      <c r="D884" s="68" t="s">
        <v>417</v>
      </c>
      <c r="G884" t="s">
        <v>433</v>
      </c>
      <c r="H884" s="67">
        <v>44561</v>
      </c>
      <c r="J884" s="73"/>
      <c r="K884" s="74">
        <v>20.555555555555561</v>
      </c>
      <c r="L884" s="73">
        <v>51.388888888888893</v>
      </c>
      <c r="M884" s="74">
        <v>71.944444444444443</v>
      </c>
      <c r="N884" s="73">
        <v>102.7777777777778</v>
      </c>
      <c r="O884" s="74">
        <v>185</v>
      </c>
    </row>
    <row r="885" spans="1:15">
      <c r="A885" s="107"/>
      <c r="B885" s="107"/>
      <c r="C885" s="107"/>
      <c r="D885" s="68" t="s">
        <v>418</v>
      </c>
      <c r="E885" t="s">
        <v>419</v>
      </c>
      <c r="G885" t="s">
        <v>433</v>
      </c>
      <c r="H885" s="67">
        <v>44561</v>
      </c>
      <c r="J885" s="73"/>
      <c r="K885" s="74">
        <v>44.777777777777779</v>
      </c>
      <c r="L885" s="73">
        <v>111.9444444444444</v>
      </c>
      <c r="M885" s="74">
        <v>156.7222222222222</v>
      </c>
      <c r="N885" s="73">
        <v>223.88888888888891</v>
      </c>
      <c r="O885" s="74">
        <v>403</v>
      </c>
    </row>
    <row r="886" spans="1:15">
      <c r="A886" s="107"/>
      <c r="B886" s="107"/>
      <c r="C886" s="107"/>
      <c r="D886" s="68" t="s">
        <v>420</v>
      </c>
      <c r="E886" t="s">
        <v>419</v>
      </c>
      <c r="G886" t="s">
        <v>433</v>
      </c>
      <c r="H886" s="67">
        <v>44561</v>
      </c>
      <c r="J886" s="73"/>
      <c r="K886" s="74">
        <v>65.333333333333343</v>
      </c>
      <c r="L886" s="73">
        <v>163.33333333333329</v>
      </c>
      <c r="M886" s="74">
        <v>228.66666666666671</v>
      </c>
      <c r="N886" s="73">
        <v>326.66666666666657</v>
      </c>
      <c r="O886" s="74">
        <v>588</v>
      </c>
    </row>
    <row r="887" spans="1:15">
      <c r="A887" s="107"/>
      <c r="B887" s="107"/>
      <c r="C887" s="107"/>
      <c r="D887" s="68" t="s">
        <v>421</v>
      </c>
      <c r="E887" t="s">
        <v>422</v>
      </c>
      <c r="G887" t="s">
        <v>433</v>
      </c>
      <c r="H887" s="67">
        <v>44561</v>
      </c>
      <c r="J887" s="73"/>
      <c r="K887" s="74">
        <v>217.11111111111109</v>
      </c>
      <c r="L887" s="73">
        <v>542.77777777777783</v>
      </c>
      <c r="M887" s="74">
        <v>759.88888888888891</v>
      </c>
      <c r="N887" s="73">
        <v>1085.5555555555561</v>
      </c>
      <c r="O887" s="74">
        <v>1954</v>
      </c>
    </row>
    <row r="888" spans="1:15">
      <c r="A888" s="107"/>
      <c r="B888" s="107"/>
      <c r="C888" s="107"/>
      <c r="D888" s="68" t="s">
        <v>423</v>
      </c>
      <c r="G888" t="s">
        <v>88</v>
      </c>
      <c r="H888" s="67">
        <v>44561</v>
      </c>
      <c r="J888" s="73"/>
      <c r="K888" s="74">
        <v>1200</v>
      </c>
      <c r="L888" s="73">
        <v>4200</v>
      </c>
      <c r="M888" s="74">
        <v>8400</v>
      </c>
      <c r="N888" s="73">
        <v>14400</v>
      </c>
      <c r="O888" s="74">
        <v>25200</v>
      </c>
    </row>
    <row r="889" spans="1:15">
      <c r="A889" s="107"/>
      <c r="B889" s="107"/>
      <c r="C889" s="107"/>
      <c r="D889" s="68" t="s">
        <v>424</v>
      </c>
      <c r="H889" s="67"/>
      <c r="J889" s="73"/>
      <c r="K889" s="74"/>
      <c r="L889" s="73"/>
      <c r="M889" s="74"/>
      <c r="N889" s="73"/>
      <c r="O889" s="74"/>
    </row>
    <row r="890" spans="1:15">
      <c r="A890" s="107" t="s">
        <v>283</v>
      </c>
      <c r="B890" s="107" t="s">
        <v>284</v>
      </c>
      <c r="C890" s="107" t="s">
        <v>285</v>
      </c>
      <c r="D890" s="68" t="s">
        <v>417</v>
      </c>
      <c r="G890" t="s">
        <v>434</v>
      </c>
      <c r="H890" s="67">
        <v>44561</v>
      </c>
      <c r="J890" s="73">
        <v>99660</v>
      </c>
      <c r="K890" s="74">
        <v>99660</v>
      </c>
      <c r="L890" s="73">
        <v>99660</v>
      </c>
      <c r="M890" s="74">
        <v>94460</v>
      </c>
      <c r="N890" s="73">
        <v>91490</v>
      </c>
      <c r="O890" s="74"/>
    </row>
    <row r="891" spans="1:15">
      <c r="A891" s="107"/>
      <c r="B891" s="107"/>
      <c r="C891" s="107"/>
      <c r="D891" s="68" t="s">
        <v>418</v>
      </c>
      <c r="E891" t="s">
        <v>419</v>
      </c>
      <c r="G891" t="s">
        <v>434</v>
      </c>
      <c r="H891" s="67">
        <v>44561</v>
      </c>
      <c r="J891" s="73">
        <v>371530</v>
      </c>
      <c r="K891" s="74">
        <v>371530</v>
      </c>
      <c r="L891" s="73">
        <v>371530</v>
      </c>
      <c r="M891" s="74">
        <v>336550</v>
      </c>
      <c r="N891" s="73">
        <v>316640</v>
      </c>
      <c r="O891" s="74"/>
    </row>
    <row r="892" spans="1:15">
      <c r="A892" s="107"/>
      <c r="B892" s="107"/>
      <c r="C892" s="107"/>
      <c r="D892" s="68" t="s">
        <v>420</v>
      </c>
      <c r="E892" t="s">
        <v>419</v>
      </c>
      <c r="G892" t="s">
        <v>434</v>
      </c>
      <c r="H892" s="67">
        <v>44561</v>
      </c>
      <c r="J892" s="73">
        <v>471190</v>
      </c>
      <c r="K892" s="74">
        <v>471190</v>
      </c>
      <c r="L892" s="73">
        <v>471190</v>
      </c>
      <c r="M892" s="74">
        <v>431010</v>
      </c>
      <c r="N892" s="73">
        <v>408130</v>
      </c>
      <c r="O892" s="74"/>
    </row>
    <row r="893" spans="1:15">
      <c r="A893" s="107"/>
      <c r="B893" s="107"/>
      <c r="C893" s="107"/>
      <c r="D893" s="68" t="s">
        <v>421</v>
      </c>
      <c r="E893" t="s">
        <v>422</v>
      </c>
      <c r="G893" t="s">
        <v>434</v>
      </c>
      <c r="H893" s="67">
        <v>44561</v>
      </c>
      <c r="J893" s="73">
        <v>421722</v>
      </c>
      <c r="K893" s="74">
        <v>421722</v>
      </c>
      <c r="L893" s="73">
        <v>421722</v>
      </c>
      <c r="M893" s="74">
        <v>298526</v>
      </c>
      <c r="N893" s="73">
        <v>197605</v>
      </c>
      <c r="O893" s="74"/>
    </row>
    <row r="894" spans="1:15">
      <c r="A894" s="107"/>
      <c r="B894" s="107"/>
      <c r="C894" s="107"/>
      <c r="D894" s="68" t="s">
        <v>423</v>
      </c>
      <c r="G894" t="s">
        <v>100</v>
      </c>
      <c r="H894" s="67">
        <v>44561</v>
      </c>
      <c r="J894" s="73">
        <v>1472468.75</v>
      </c>
      <c r="K894" s="74">
        <v>1472468.75</v>
      </c>
      <c r="L894" s="73">
        <v>1472468.75</v>
      </c>
      <c r="M894" s="74">
        <v>1346906.25</v>
      </c>
      <c r="N894" s="73">
        <v>1360433.33333333</v>
      </c>
      <c r="O894" s="74"/>
    </row>
    <row r="895" spans="1:15">
      <c r="A895" s="107"/>
      <c r="B895" s="107"/>
      <c r="C895" s="107"/>
      <c r="D895" s="68" t="s">
        <v>424</v>
      </c>
      <c r="H895" s="67"/>
      <c r="J895" s="73"/>
      <c r="K895" s="74"/>
      <c r="L895" s="73"/>
      <c r="M895" s="74"/>
      <c r="N895" s="73"/>
      <c r="O895" s="74"/>
    </row>
    <row r="896" spans="1:15">
      <c r="A896" s="107" t="s">
        <v>286</v>
      </c>
      <c r="B896" s="107" t="s">
        <v>287</v>
      </c>
      <c r="C896" s="107" t="s">
        <v>288</v>
      </c>
      <c r="D896" s="68" t="s">
        <v>417</v>
      </c>
      <c r="G896" t="s">
        <v>435</v>
      </c>
      <c r="H896" s="67">
        <v>44561</v>
      </c>
      <c r="J896" s="73"/>
      <c r="K896" s="74"/>
      <c r="L896" s="73">
        <v>1.92</v>
      </c>
      <c r="M896" s="74">
        <v>1.9</v>
      </c>
      <c r="N896" s="73">
        <v>1.64</v>
      </c>
      <c r="O896" s="74">
        <v>1.69</v>
      </c>
    </row>
    <row r="897" spans="1:15">
      <c r="A897" s="107"/>
      <c r="B897" s="107"/>
      <c r="C897" s="107"/>
      <c r="D897" s="68" t="s">
        <v>418</v>
      </c>
      <c r="E897" t="s">
        <v>419</v>
      </c>
      <c r="G897" t="s">
        <v>435</v>
      </c>
      <c r="H897" s="67">
        <v>44561</v>
      </c>
      <c r="J897" s="73"/>
      <c r="K897" s="74"/>
      <c r="L897" s="73">
        <v>4.08</v>
      </c>
      <c r="M897" s="74">
        <v>3.78</v>
      </c>
      <c r="N897" s="73">
        <v>3.26</v>
      </c>
      <c r="O897" s="74">
        <v>3.46</v>
      </c>
    </row>
    <row r="898" spans="1:15">
      <c r="A898" s="107"/>
      <c r="B898" s="107"/>
      <c r="C898" s="107"/>
      <c r="D898" s="68" t="s">
        <v>420</v>
      </c>
      <c r="E898" t="s">
        <v>419</v>
      </c>
      <c r="G898" t="s">
        <v>435</v>
      </c>
      <c r="H898" s="67">
        <v>44561</v>
      </c>
      <c r="J898" s="73"/>
      <c r="K898" s="74"/>
      <c r="L898" s="73">
        <v>6</v>
      </c>
      <c r="M898" s="74">
        <v>5.68</v>
      </c>
      <c r="N898" s="73">
        <v>4.8999999999999986</v>
      </c>
      <c r="O898" s="74">
        <v>5.15</v>
      </c>
    </row>
    <row r="899" spans="1:15">
      <c r="A899" s="107"/>
      <c r="B899" s="107"/>
      <c r="C899" s="107"/>
      <c r="D899" s="68" t="s">
        <v>421</v>
      </c>
      <c r="E899" t="s">
        <v>422</v>
      </c>
      <c r="G899" t="s">
        <v>435</v>
      </c>
      <c r="H899" s="67">
        <v>44561</v>
      </c>
      <c r="J899" s="73"/>
      <c r="K899" s="74"/>
      <c r="L899" s="73">
        <v>414.91</v>
      </c>
      <c r="M899" s="74">
        <v>397.94</v>
      </c>
      <c r="N899" s="73">
        <v>341.35</v>
      </c>
      <c r="O899" s="74">
        <v>292.80751495200292</v>
      </c>
    </row>
    <row r="900" spans="1:15">
      <c r="A900" s="107"/>
      <c r="B900" s="107"/>
      <c r="C900" s="107"/>
      <c r="D900" s="68" t="s">
        <v>423</v>
      </c>
      <c r="G900" t="s">
        <v>289</v>
      </c>
      <c r="H900" s="67">
        <v>44561</v>
      </c>
      <c r="J900" s="73"/>
      <c r="K900" s="74"/>
      <c r="L900" s="73">
        <v>2.2128533333333338</v>
      </c>
      <c r="M900" s="74">
        <v>2.273942857142857</v>
      </c>
      <c r="N900" s="73">
        <v>2.1006153846153852</v>
      </c>
      <c r="O900" s="74">
        <v>1.952050099680019</v>
      </c>
    </row>
    <row r="901" spans="1:15">
      <c r="A901" s="107"/>
      <c r="B901" s="107"/>
      <c r="C901" s="107"/>
      <c r="D901" s="68" t="s">
        <v>424</v>
      </c>
      <c r="H901" s="67"/>
      <c r="J901" s="73"/>
      <c r="K901" s="74"/>
      <c r="L901" s="73"/>
      <c r="M901" s="74"/>
      <c r="N901" s="73"/>
      <c r="O901" s="74"/>
    </row>
    <row r="902" spans="1:15">
      <c r="A902" s="107" t="s">
        <v>290</v>
      </c>
      <c r="B902" s="107" t="s">
        <v>291</v>
      </c>
      <c r="C902" s="107" t="s">
        <v>292</v>
      </c>
      <c r="D902" s="68" t="s">
        <v>417</v>
      </c>
      <c r="G902" t="s">
        <v>434</v>
      </c>
      <c r="H902" s="67">
        <v>44561</v>
      </c>
      <c r="J902" s="73">
        <v>29000000</v>
      </c>
      <c r="K902" s="74">
        <v>30000000</v>
      </c>
      <c r="L902" s="73">
        <v>32500000</v>
      </c>
      <c r="M902" s="74">
        <v>29500000</v>
      </c>
      <c r="N902" s="73">
        <v>24500000</v>
      </c>
      <c r="O902" s="74"/>
    </row>
    <row r="903" spans="1:15">
      <c r="A903" s="107"/>
      <c r="B903" s="107"/>
      <c r="C903" s="107"/>
      <c r="D903" s="68" t="s">
        <v>418</v>
      </c>
      <c r="E903" t="s">
        <v>419</v>
      </c>
      <c r="G903" t="s">
        <v>434</v>
      </c>
      <c r="H903" s="67">
        <v>44561</v>
      </c>
      <c r="J903" s="73">
        <v>3200000</v>
      </c>
      <c r="K903" s="74">
        <v>3300000</v>
      </c>
      <c r="L903" s="73">
        <v>3300000</v>
      </c>
      <c r="M903" s="74">
        <v>3200000</v>
      </c>
      <c r="N903" s="73">
        <v>2000000</v>
      </c>
      <c r="O903" s="74"/>
    </row>
    <row r="904" spans="1:15">
      <c r="A904" s="107"/>
      <c r="B904" s="107"/>
      <c r="C904" s="107"/>
      <c r="D904" s="68" t="s">
        <v>420</v>
      </c>
      <c r="E904" t="s">
        <v>419</v>
      </c>
      <c r="G904" t="s">
        <v>434</v>
      </c>
      <c r="H904" s="67">
        <v>44561</v>
      </c>
      <c r="J904" s="73">
        <v>32200000</v>
      </c>
      <c r="K904" s="74">
        <v>33300000</v>
      </c>
      <c r="L904" s="73">
        <v>35800000</v>
      </c>
      <c r="M904" s="74">
        <v>32700000</v>
      </c>
      <c r="N904" s="73">
        <v>26500000</v>
      </c>
      <c r="O904" s="74"/>
    </row>
    <row r="905" spans="1:15">
      <c r="A905" s="107"/>
      <c r="B905" s="107"/>
      <c r="C905" s="107"/>
      <c r="D905" s="68" t="s">
        <v>421</v>
      </c>
      <c r="E905" t="s">
        <v>422</v>
      </c>
      <c r="G905" t="s">
        <v>434</v>
      </c>
      <c r="H905" s="67">
        <v>44561</v>
      </c>
      <c r="J905" s="73"/>
      <c r="K905" s="74"/>
      <c r="L905" s="73"/>
      <c r="M905" s="74"/>
      <c r="N905" s="73"/>
      <c r="O905" s="74"/>
    </row>
    <row r="906" spans="1:15">
      <c r="A906" s="107"/>
      <c r="B906" s="107"/>
      <c r="C906" s="107"/>
      <c r="D906" s="68" t="s">
        <v>423</v>
      </c>
      <c r="G906" t="s">
        <v>100</v>
      </c>
      <c r="H906" s="67">
        <v>44561</v>
      </c>
      <c r="J906" s="73">
        <v>14220000</v>
      </c>
      <c r="K906" s="74">
        <v>14440000</v>
      </c>
      <c r="L906" s="73">
        <v>15350000</v>
      </c>
      <c r="M906" s="74">
        <v>13890000</v>
      </c>
      <c r="N906" s="73">
        <v>11540000</v>
      </c>
      <c r="O906" s="74"/>
    </row>
    <row r="907" spans="1:15">
      <c r="A907" s="107"/>
      <c r="B907" s="107"/>
      <c r="C907" s="107"/>
      <c r="D907" s="68" t="s">
        <v>424</v>
      </c>
      <c r="H907" s="67"/>
      <c r="J907" s="73"/>
      <c r="K907" s="74"/>
      <c r="L907" s="73"/>
      <c r="M907" s="74"/>
      <c r="N907" s="73"/>
      <c r="O907" s="74"/>
    </row>
    <row r="908" spans="1:15">
      <c r="A908" s="107" t="s">
        <v>293</v>
      </c>
      <c r="B908" s="107" t="s">
        <v>294</v>
      </c>
      <c r="C908" s="107" t="s">
        <v>295</v>
      </c>
      <c r="D908" s="68" t="s">
        <v>417</v>
      </c>
      <c r="G908" t="s">
        <v>433</v>
      </c>
      <c r="H908" s="67">
        <v>44561</v>
      </c>
      <c r="J908" s="73"/>
      <c r="K908" s="74"/>
      <c r="L908" s="73"/>
      <c r="M908" s="74">
        <v>1073</v>
      </c>
      <c r="N908" s="73">
        <v>654</v>
      </c>
      <c r="O908" s="74">
        <v>454</v>
      </c>
    </row>
    <row r="909" spans="1:15">
      <c r="A909" s="107"/>
      <c r="B909" s="107"/>
      <c r="C909" s="107"/>
      <c r="D909" s="68" t="s">
        <v>418</v>
      </c>
      <c r="E909" t="s">
        <v>419</v>
      </c>
      <c r="G909" t="s">
        <v>433</v>
      </c>
      <c r="H909" s="67">
        <v>44561</v>
      </c>
      <c r="J909" s="73"/>
      <c r="K909" s="74"/>
      <c r="L909" s="73"/>
      <c r="M909" s="74">
        <v>272</v>
      </c>
      <c r="N909" s="73">
        <v>265</v>
      </c>
      <c r="O909" s="74">
        <v>255</v>
      </c>
    </row>
    <row r="910" spans="1:15">
      <c r="A910" s="107"/>
      <c r="B910" s="107"/>
      <c r="C910" s="107"/>
      <c r="D910" s="68" t="s">
        <v>420</v>
      </c>
      <c r="E910" t="s">
        <v>419</v>
      </c>
      <c r="G910" t="s">
        <v>433</v>
      </c>
      <c r="H910" s="67">
        <v>44561</v>
      </c>
      <c r="J910" s="73"/>
      <c r="K910" s="74"/>
      <c r="L910" s="73"/>
      <c r="M910" s="74">
        <v>1345</v>
      </c>
      <c r="N910" s="73">
        <v>919</v>
      </c>
      <c r="O910" s="74">
        <v>709</v>
      </c>
    </row>
    <row r="911" spans="1:15">
      <c r="A911" s="107"/>
      <c r="B911" s="107"/>
      <c r="C911" s="107"/>
      <c r="D911" s="68" t="s">
        <v>421</v>
      </c>
      <c r="E911" t="s">
        <v>422</v>
      </c>
      <c r="G911" t="s">
        <v>433</v>
      </c>
      <c r="H911" s="67">
        <v>44561</v>
      </c>
      <c r="J911" s="73"/>
      <c r="K911" s="74"/>
      <c r="L911" s="73"/>
      <c r="M911" s="74">
        <v>198</v>
      </c>
      <c r="N911" s="73">
        <v>221</v>
      </c>
      <c r="O911" s="74">
        <v>249</v>
      </c>
    </row>
    <row r="912" spans="1:15">
      <c r="A912" s="107"/>
      <c r="B912" s="107"/>
      <c r="C912" s="107"/>
      <c r="D912" s="68" t="s">
        <v>423</v>
      </c>
      <c r="G912" t="s">
        <v>57</v>
      </c>
      <c r="H912" s="67">
        <v>44561</v>
      </c>
      <c r="J912" s="73"/>
      <c r="K912" s="74"/>
      <c r="L912" s="73"/>
      <c r="M912" s="74">
        <v>62179</v>
      </c>
      <c r="N912" s="73">
        <v>62741</v>
      </c>
      <c r="O912" s="74">
        <v>58896</v>
      </c>
    </row>
    <row r="913" spans="1:15">
      <c r="A913" s="107"/>
      <c r="B913" s="107"/>
      <c r="C913" s="107"/>
      <c r="D913" s="68" t="s">
        <v>424</v>
      </c>
      <c r="H913" s="67"/>
      <c r="J913" s="73"/>
      <c r="K913" s="74"/>
      <c r="L913" s="73"/>
      <c r="M913" s="74"/>
      <c r="N913" s="73"/>
      <c r="O913" s="74"/>
    </row>
    <row r="914" spans="1:15">
      <c r="A914" s="107" t="s">
        <v>297</v>
      </c>
      <c r="B914" s="107" t="s">
        <v>298</v>
      </c>
      <c r="C914" s="107" t="s">
        <v>299</v>
      </c>
      <c r="D914" s="68" t="s">
        <v>417</v>
      </c>
      <c r="G914" t="s">
        <v>435</v>
      </c>
      <c r="H914" s="67">
        <v>44561</v>
      </c>
      <c r="J914" s="73">
        <v>11.6416389602593</v>
      </c>
      <c r="K914" s="74">
        <v>9.41263241795032</v>
      </c>
      <c r="L914" s="73">
        <v>10.1279024835251</v>
      </c>
      <c r="M914" s="74">
        <v>8.7046989666181105</v>
      </c>
      <c r="N914" s="73">
        <v>7.8127186930359001</v>
      </c>
      <c r="O914" s="74"/>
    </row>
    <row r="915" spans="1:15">
      <c r="A915" s="107"/>
      <c r="B915" s="107"/>
      <c r="C915" s="107"/>
      <c r="D915" s="68" t="s">
        <v>418</v>
      </c>
      <c r="E915" t="s">
        <v>419</v>
      </c>
      <c r="G915" t="s">
        <v>435</v>
      </c>
      <c r="H915" s="67">
        <v>44561</v>
      </c>
      <c r="J915" s="73">
        <v>0</v>
      </c>
      <c r="K915" s="74">
        <v>0</v>
      </c>
      <c r="L915" s="73">
        <v>0</v>
      </c>
      <c r="M915" s="74">
        <v>0</v>
      </c>
      <c r="N915" s="73">
        <v>0</v>
      </c>
      <c r="O915" s="74"/>
    </row>
    <row r="916" spans="1:15">
      <c r="A916" s="107"/>
      <c r="B916" s="107"/>
      <c r="C916" s="107"/>
      <c r="D916" s="68" t="s">
        <v>420</v>
      </c>
      <c r="E916" t="s">
        <v>419</v>
      </c>
      <c r="G916" t="s">
        <v>435</v>
      </c>
      <c r="H916" s="67">
        <v>44561</v>
      </c>
      <c r="J916" s="73">
        <v>11.6416389602593</v>
      </c>
      <c r="K916" s="74">
        <v>9.41263241795032</v>
      </c>
      <c r="L916" s="73">
        <v>10.1279024835251</v>
      </c>
      <c r="M916" s="74">
        <v>8.7046989666181105</v>
      </c>
      <c r="N916" s="73">
        <v>7.8127186930359001</v>
      </c>
      <c r="O916" s="74"/>
    </row>
    <row r="917" spans="1:15">
      <c r="A917" s="107"/>
      <c r="B917" s="107"/>
      <c r="C917" s="107"/>
      <c r="D917" s="68" t="s">
        <v>421</v>
      </c>
      <c r="E917" t="s">
        <v>422</v>
      </c>
      <c r="G917" t="s">
        <v>435</v>
      </c>
      <c r="H917" s="67">
        <v>44561</v>
      </c>
      <c r="J917" s="73"/>
      <c r="K917" s="74"/>
      <c r="L917" s="73"/>
      <c r="M917" s="74"/>
      <c r="N917" s="73"/>
      <c r="O917" s="74"/>
    </row>
    <row r="918" spans="1:15">
      <c r="A918" s="107"/>
      <c r="B918" s="107"/>
      <c r="C918" s="107"/>
      <c r="D918" s="68" t="s">
        <v>423</v>
      </c>
      <c r="G918" t="s">
        <v>63</v>
      </c>
      <c r="H918" s="67">
        <v>44561</v>
      </c>
      <c r="J918" s="73">
        <v>17.412890000000001</v>
      </c>
      <c r="K918" s="74">
        <v>13.2565779694781</v>
      </c>
      <c r="L918" s="73">
        <v>19.823205962022801</v>
      </c>
      <c r="M918" s="74">
        <v>19.4268650530346</v>
      </c>
      <c r="N918" s="73">
        <v>18.5517652927645</v>
      </c>
      <c r="O918" s="74"/>
    </row>
    <row r="919" spans="1:15">
      <c r="A919" s="107"/>
      <c r="B919" s="107"/>
      <c r="C919" s="107"/>
      <c r="D919" s="68" t="s">
        <v>424</v>
      </c>
      <c r="H919" s="67"/>
      <c r="J919" s="73"/>
      <c r="K919" s="74"/>
      <c r="L919" s="73"/>
      <c r="M919" s="74"/>
      <c r="N919" s="73"/>
      <c r="O919" s="74"/>
    </row>
    <row r="920" spans="1:15">
      <c r="A920" s="107" t="s">
        <v>300</v>
      </c>
      <c r="B920" s="107" t="s">
        <v>301</v>
      </c>
      <c r="C920" s="107" t="s">
        <v>302</v>
      </c>
      <c r="D920" s="68" t="s">
        <v>417</v>
      </c>
      <c r="G920" t="s">
        <v>435</v>
      </c>
      <c r="H920" s="67">
        <v>44561</v>
      </c>
      <c r="J920" s="73"/>
      <c r="K920" s="74"/>
      <c r="L920" s="73"/>
      <c r="M920" s="74">
        <v>105.523364</v>
      </c>
      <c r="N920" s="73">
        <v>94.290023000000005</v>
      </c>
      <c r="O920" s="74">
        <v>98.749588000000003</v>
      </c>
    </row>
    <row r="921" spans="1:15">
      <c r="A921" s="107"/>
      <c r="B921" s="107"/>
      <c r="C921" s="107"/>
      <c r="D921" s="68" t="s">
        <v>418</v>
      </c>
      <c r="E921" t="s">
        <v>419</v>
      </c>
      <c r="G921" t="s">
        <v>435</v>
      </c>
      <c r="H921" s="67">
        <v>44561</v>
      </c>
      <c r="J921" s="73"/>
      <c r="K921" s="74"/>
      <c r="L921" s="73"/>
      <c r="M921" s="74">
        <v>0.24906800000000001</v>
      </c>
      <c r="N921" s="73">
        <v>0.33377000000000001</v>
      </c>
      <c r="O921" s="74">
        <v>0.24296999999999999</v>
      </c>
    </row>
    <row r="922" spans="1:15">
      <c r="A922" s="107"/>
      <c r="B922" s="107"/>
      <c r="C922" s="107"/>
      <c r="D922" s="68" t="s">
        <v>420</v>
      </c>
      <c r="E922" t="s">
        <v>419</v>
      </c>
      <c r="G922" t="s">
        <v>435</v>
      </c>
      <c r="H922" s="67">
        <v>44561</v>
      </c>
      <c r="J922" s="73"/>
      <c r="K922" s="74"/>
      <c r="L922" s="73"/>
      <c r="M922" s="74">
        <v>105.77243199999999</v>
      </c>
      <c r="N922" s="73">
        <v>94.623793000000006</v>
      </c>
      <c r="O922" s="74">
        <v>98.992558000000002</v>
      </c>
    </row>
    <row r="923" spans="1:15">
      <c r="A923" s="107"/>
      <c r="B923" s="107"/>
      <c r="C923" s="107"/>
      <c r="D923" s="68" t="s">
        <v>421</v>
      </c>
      <c r="E923" t="s">
        <v>422</v>
      </c>
      <c r="G923" t="s">
        <v>435</v>
      </c>
      <c r="H923" s="67">
        <v>44561</v>
      </c>
      <c r="J923" s="73"/>
      <c r="K923" s="74"/>
      <c r="L923" s="73"/>
      <c r="M923" s="74">
        <v>2.7247889999999999</v>
      </c>
      <c r="N923" s="73">
        <v>2.7247889999999999</v>
      </c>
      <c r="O923" s="74">
        <v>2.386622</v>
      </c>
    </row>
    <row r="924" spans="1:15">
      <c r="A924" s="107"/>
      <c r="B924" s="107"/>
      <c r="C924" s="107"/>
      <c r="D924" s="68" t="s">
        <v>423</v>
      </c>
      <c r="G924" t="s">
        <v>63</v>
      </c>
      <c r="H924" s="67">
        <v>44561</v>
      </c>
      <c r="J924" s="73"/>
      <c r="K924" s="74"/>
      <c r="L924" s="73"/>
      <c r="M924" s="74">
        <v>186.428605</v>
      </c>
      <c r="N924" s="73">
        <v>172.24373800000001</v>
      </c>
      <c r="O924" s="74">
        <v>174</v>
      </c>
    </row>
    <row r="925" spans="1:15">
      <c r="A925" s="107"/>
      <c r="B925" s="107"/>
      <c r="C925" s="107"/>
      <c r="D925" s="68" t="s">
        <v>424</v>
      </c>
      <c r="H925" s="67"/>
      <c r="J925" s="73"/>
      <c r="K925" s="74"/>
      <c r="L925" s="73"/>
      <c r="M925" s="74"/>
      <c r="N925" s="73"/>
      <c r="O925" s="74"/>
    </row>
    <row r="926" spans="1:15">
      <c r="A926" s="107" t="s">
        <v>303</v>
      </c>
      <c r="B926" s="107" t="s">
        <v>304</v>
      </c>
      <c r="C926" s="107" t="s">
        <v>305</v>
      </c>
      <c r="D926" s="68" t="s">
        <v>417</v>
      </c>
      <c r="G926" t="s">
        <v>435</v>
      </c>
      <c r="H926" s="67">
        <v>44561</v>
      </c>
      <c r="J926" s="73">
        <v>19.0203714477306</v>
      </c>
      <c r="K926" s="74">
        <v>19.627231815165601</v>
      </c>
      <c r="L926" s="73">
        <v>16.478434173257199</v>
      </c>
      <c r="M926" s="74">
        <v>9.8745765849492209</v>
      </c>
      <c r="N926" s="73">
        <v>9.6672977881650493</v>
      </c>
      <c r="O926" s="74"/>
    </row>
    <row r="927" spans="1:15">
      <c r="A927" s="107"/>
      <c r="B927" s="107"/>
      <c r="C927" s="107"/>
      <c r="D927" s="68" t="s">
        <v>418</v>
      </c>
      <c r="E927" t="s">
        <v>419</v>
      </c>
      <c r="G927" t="s">
        <v>435</v>
      </c>
      <c r="H927" s="67">
        <v>44561</v>
      </c>
      <c r="J927" s="73">
        <v>0</v>
      </c>
      <c r="K927" s="74">
        <v>0</v>
      </c>
      <c r="L927" s="73">
        <v>0</v>
      </c>
      <c r="M927" s="74">
        <v>0</v>
      </c>
      <c r="N927" s="73">
        <v>0</v>
      </c>
      <c r="O927" s="74"/>
    </row>
    <row r="928" spans="1:15">
      <c r="A928" s="107"/>
      <c r="B928" s="107"/>
      <c r="C928" s="107"/>
      <c r="D928" s="68" t="s">
        <v>420</v>
      </c>
      <c r="E928" t="s">
        <v>419</v>
      </c>
      <c r="G928" t="s">
        <v>435</v>
      </c>
      <c r="H928" s="67">
        <v>44561</v>
      </c>
      <c r="J928" s="73">
        <v>19.0203714477306</v>
      </c>
      <c r="K928" s="74">
        <v>19.627231815165601</v>
      </c>
      <c r="L928" s="73">
        <v>16.478434173257199</v>
      </c>
      <c r="M928" s="74">
        <v>9.8745765849492209</v>
      </c>
      <c r="N928" s="73">
        <v>9.6672977881650493</v>
      </c>
      <c r="O928" s="74"/>
    </row>
    <row r="929" spans="1:16">
      <c r="A929" s="107"/>
      <c r="B929" s="107"/>
      <c r="C929" s="107"/>
      <c r="D929" s="68" t="s">
        <v>421</v>
      </c>
      <c r="E929" t="s">
        <v>422</v>
      </c>
      <c r="G929" t="s">
        <v>435</v>
      </c>
      <c r="H929" s="67">
        <v>44561</v>
      </c>
      <c r="J929" s="73"/>
      <c r="K929" s="74"/>
      <c r="L929" s="73"/>
      <c r="M929" s="74"/>
      <c r="N929" s="73"/>
      <c r="O929" s="74"/>
    </row>
    <row r="930" spans="1:16">
      <c r="A930" s="107"/>
      <c r="B930" s="107"/>
      <c r="C930" s="107"/>
      <c r="D930" s="68" t="s">
        <v>423</v>
      </c>
      <c r="G930" t="s">
        <v>63</v>
      </c>
      <c r="H930" s="67">
        <v>44561</v>
      </c>
      <c r="J930" s="73">
        <v>23.3673241056539</v>
      </c>
      <c r="K930" s="74">
        <v>23.864635428668901</v>
      </c>
      <c r="L930" s="73">
        <v>21.139317437999999</v>
      </c>
      <c r="M930" s="74">
        <v>15.874233994000001</v>
      </c>
      <c r="N930" s="73">
        <v>15.8652856885</v>
      </c>
      <c r="O930" s="74"/>
    </row>
    <row r="931" spans="1:16">
      <c r="A931" s="107"/>
      <c r="B931" s="107"/>
      <c r="C931" s="107"/>
      <c r="D931" s="68" t="s">
        <v>424</v>
      </c>
      <c r="H931" s="67"/>
      <c r="J931" s="73"/>
      <c r="K931" s="74"/>
      <c r="L931" s="73"/>
      <c r="M931" s="74"/>
      <c r="N931" s="73"/>
      <c r="O931" s="74"/>
    </row>
    <row r="932" spans="1:16">
      <c r="A932" s="107" t="s">
        <v>306</v>
      </c>
      <c r="B932" s="107" t="s">
        <v>307</v>
      </c>
      <c r="C932" s="107" t="s">
        <v>308</v>
      </c>
      <c r="D932" s="68" t="s">
        <v>417</v>
      </c>
      <c r="G932" t="s">
        <v>434</v>
      </c>
      <c r="H932" s="67">
        <v>44561</v>
      </c>
      <c r="J932" s="73">
        <v>126399</v>
      </c>
      <c r="K932" s="74">
        <v>132944</v>
      </c>
      <c r="L932" s="73">
        <v>139953</v>
      </c>
      <c r="M932" s="74">
        <v>134257</v>
      </c>
      <c r="N932" s="73">
        <v>130506</v>
      </c>
      <c r="O932" s="74"/>
    </row>
    <row r="933" spans="1:16">
      <c r="A933" s="107"/>
      <c r="B933" s="107"/>
      <c r="C933" s="107"/>
      <c r="D933" s="68" t="s">
        <v>418</v>
      </c>
      <c r="E933" t="s">
        <v>419</v>
      </c>
      <c r="G933" t="s">
        <v>434</v>
      </c>
      <c r="H933" s="67">
        <v>44561</v>
      </c>
      <c r="J933" s="73">
        <v>191840</v>
      </c>
      <c r="K933" s="74">
        <v>176617</v>
      </c>
      <c r="L933" s="73">
        <v>175958</v>
      </c>
      <c r="M933" s="74">
        <v>160799</v>
      </c>
      <c r="N933" s="73">
        <v>139201</v>
      </c>
      <c r="O933" s="74"/>
    </row>
    <row r="934" spans="1:16">
      <c r="A934" s="107"/>
      <c r="B934" s="107"/>
      <c r="C934" s="107"/>
      <c r="D934" s="68" t="s">
        <v>420</v>
      </c>
      <c r="E934" t="s">
        <v>419</v>
      </c>
      <c r="G934" t="s">
        <v>434</v>
      </c>
      <c r="H934" s="67">
        <v>44561</v>
      </c>
      <c r="J934" s="73">
        <v>318239</v>
      </c>
      <c r="K934" s="74">
        <v>309561</v>
      </c>
      <c r="L934" s="73">
        <v>315911</v>
      </c>
      <c r="M934" s="74">
        <v>295056</v>
      </c>
      <c r="N934" s="73">
        <v>269707</v>
      </c>
      <c r="O934" s="74"/>
    </row>
    <row r="935" spans="1:16">
      <c r="A935" s="107"/>
      <c r="B935" s="107"/>
      <c r="C935" s="107"/>
      <c r="D935" s="68" t="s">
        <v>421</v>
      </c>
      <c r="E935" t="s">
        <v>422</v>
      </c>
      <c r="G935" t="s">
        <v>434</v>
      </c>
      <c r="H935" s="67">
        <v>44561</v>
      </c>
      <c r="J935" s="73"/>
      <c r="K935" s="74"/>
      <c r="L935" s="73"/>
      <c r="M935" s="74"/>
      <c r="N935" s="73"/>
      <c r="O935" s="74"/>
    </row>
    <row r="936" spans="1:16">
      <c r="A936" s="107"/>
      <c r="B936" s="107"/>
      <c r="C936" s="107"/>
      <c r="D936" s="68" t="s">
        <v>423</v>
      </c>
      <c r="G936" t="s">
        <v>100</v>
      </c>
      <c r="H936" s="67">
        <v>44561</v>
      </c>
      <c r="J936" s="73">
        <v>3523000</v>
      </c>
      <c r="K936" s="74">
        <v>4070000</v>
      </c>
      <c r="L936" s="73">
        <v>3820000</v>
      </c>
      <c r="M936" s="74">
        <v>3715000</v>
      </c>
      <c r="N936" s="73">
        <v>3830000</v>
      </c>
      <c r="O936" s="74"/>
    </row>
    <row r="937" spans="1:16">
      <c r="A937" s="107"/>
      <c r="B937" s="107"/>
      <c r="C937" s="107"/>
      <c r="D937" s="68" t="s">
        <v>424</v>
      </c>
      <c r="H937" s="67"/>
      <c r="J937" s="73"/>
      <c r="K937" s="74"/>
      <c r="L937" s="73"/>
      <c r="M937" s="74"/>
      <c r="N937" s="73"/>
      <c r="O937" s="74"/>
    </row>
    <row r="938" spans="1:16">
      <c r="A938" s="107" t="s">
        <v>306</v>
      </c>
      <c r="B938" s="107" t="s">
        <v>307</v>
      </c>
      <c r="C938" s="107" t="s">
        <v>308</v>
      </c>
      <c r="D938" s="68" t="s">
        <v>417</v>
      </c>
      <c r="G938" t="s">
        <v>434</v>
      </c>
      <c r="H938" s="67">
        <v>44840</v>
      </c>
      <c r="J938" s="73"/>
      <c r="K938" s="74"/>
      <c r="L938" s="73"/>
      <c r="M938" s="74">
        <v>134257</v>
      </c>
      <c r="N938" s="73">
        <v>130506</v>
      </c>
      <c r="O938" s="74">
        <v>142989</v>
      </c>
    </row>
    <row r="939" spans="1:16">
      <c r="A939" s="107"/>
      <c r="B939" s="107"/>
      <c r="C939" s="107"/>
      <c r="D939" s="68" t="s">
        <v>418</v>
      </c>
      <c r="E939" t="s">
        <v>419</v>
      </c>
      <c r="G939" t="s">
        <v>434</v>
      </c>
      <c r="H939" s="67">
        <v>44840</v>
      </c>
      <c r="J939" s="73"/>
      <c r="K939" s="74"/>
      <c r="L939" s="73"/>
      <c r="M939" s="74">
        <v>160799</v>
      </c>
      <c r="N939" s="73">
        <v>139201</v>
      </c>
      <c r="O939" s="74">
        <v>147629</v>
      </c>
    </row>
    <row r="940" spans="1:16">
      <c r="A940" s="107"/>
      <c r="B940" s="107"/>
      <c r="C940" s="107"/>
      <c r="D940" s="68" t="s">
        <v>421</v>
      </c>
      <c r="E940" t="s">
        <v>422</v>
      </c>
      <c r="G940" t="s">
        <v>434</v>
      </c>
      <c r="H940" s="67">
        <v>44840</v>
      </c>
      <c r="J940" s="73"/>
      <c r="K940" s="74"/>
      <c r="L940" s="73"/>
      <c r="M940" s="74"/>
      <c r="N940" s="73"/>
      <c r="O940" s="74"/>
    </row>
    <row r="941" spans="1:16">
      <c r="A941" s="107"/>
      <c r="B941" s="107"/>
      <c r="C941" s="107"/>
      <c r="D941" s="68" t="s">
        <v>423</v>
      </c>
      <c r="G941" t="s">
        <v>100</v>
      </c>
      <c r="H941" s="67">
        <v>44840</v>
      </c>
      <c r="J941" s="73"/>
      <c r="K941" s="74"/>
      <c r="L941" s="73"/>
      <c r="M941" s="74"/>
      <c r="N941" s="73"/>
      <c r="O941" s="74">
        <v>4066773</v>
      </c>
      <c r="P941">
        <v>4170931</v>
      </c>
    </row>
    <row r="942" spans="1:16">
      <c r="A942" s="107"/>
      <c r="B942" s="107"/>
      <c r="C942" s="107"/>
      <c r="D942" s="68" t="s">
        <v>648</v>
      </c>
      <c r="H942" s="67">
        <v>44840</v>
      </c>
      <c r="J942" s="73"/>
      <c r="K942" s="74"/>
      <c r="L942" s="73"/>
      <c r="M942" s="74"/>
      <c r="N942" s="73"/>
      <c r="O942" s="76" t="s">
        <v>649</v>
      </c>
    </row>
    <row r="943" spans="1:16">
      <c r="A943" s="107"/>
      <c r="B943" s="107"/>
      <c r="C943" s="107"/>
      <c r="D943" s="68" t="s">
        <v>424</v>
      </c>
      <c r="H943" s="67">
        <v>44840</v>
      </c>
      <c r="J943" s="73"/>
      <c r="K943" s="74"/>
      <c r="L943" s="73"/>
      <c r="M943" s="74"/>
      <c r="N943" s="73"/>
      <c r="O943" s="76" t="s">
        <v>650</v>
      </c>
    </row>
    <row r="944" spans="1:16">
      <c r="A944" s="107" t="s">
        <v>309</v>
      </c>
      <c r="B944" s="107" t="s">
        <v>310</v>
      </c>
      <c r="C944" s="107" t="s">
        <v>311</v>
      </c>
      <c r="D944" s="68" t="s">
        <v>417</v>
      </c>
      <c r="E944" t="s">
        <v>449</v>
      </c>
      <c r="G944" t="s">
        <v>435</v>
      </c>
      <c r="H944" s="67">
        <v>44561</v>
      </c>
      <c r="J944" s="73">
        <v>46.128179096556003</v>
      </c>
      <c r="K944" s="74">
        <v>45.010998633485997</v>
      </c>
      <c r="L944" s="73">
        <v>45.358516394732497</v>
      </c>
      <c r="M944" s="74">
        <v>41.448404774063498</v>
      </c>
      <c r="N944" s="73">
        <v>34.8794800473854</v>
      </c>
      <c r="O944" s="74"/>
    </row>
    <row r="945" spans="1:15">
      <c r="A945" s="107"/>
      <c r="B945" s="107"/>
      <c r="C945" s="107"/>
      <c r="D945" s="68" t="s">
        <v>418</v>
      </c>
      <c r="E945" t="s">
        <v>449</v>
      </c>
      <c r="G945" t="s">
        <v>435</v>
      </c>
      <c r="H945" s="67">
        <v>44561</v>
      </c>
      <c r="J945" s="73">
        <v>0</v>
      </c>
      <c r="K945" s="74">
        <v>0</v>
      </c>
      <c r="L945" s="73">
        <v>0</v>
      </c>
      <c r="M945" s="74">
        <v>0</v>
      </c>
      <c r="N945" s="73">
        <v>0</v>
      </c>
      <c r="O945" s="74"/>
    </row>
    <row r="946" spans="1:15">
      <c r="A946" s="107"/>
      <c r="B946" s="107"/>
      <c r="C946" s="107"/>
      <c r="D946" s="68" t="s">
        <v>420</v>
      </c>
      <c r="E946" t="s">
        <v>419</v>
      </c>
      <c r="G946" t="s">
        <v>435</v>
      </c>
      <c r="H946" s="67">
        <v>44561</v>
      </c>
      <c r="J946" s="73">
        <v>46.128179096556003</v>
      </c>
      <c r="K946" s="74">
        <v>45.010998633485997</v>
      </c>
      <c r="L946" s="73">
        <v>45.358516394732497</v>
      </c>
      <c r="M946" s="74">
        <v>41.448404774063498</v>
      </c>
      <c r="N946" s="73">
        <v>34.8794800473854</v>
      </c>
      <c r="O946" s="74"/>
    </row>
    <row r="947" spans="1:15">
      <c r="A947" s="107"/>
      <c r="B947" s="107"/>
      <c r="C947" s="107"/>
      <c r="D947" s="68" t="s">
        <v>421</v>
      </c>
      <c r="E947" t="s">
        <v>449</v>
      </c>
      <c r="G947" t="s">
        <v>435</v>
      </c>
      <c r="H947" s="67">
        <v>44561</v>
      </c>
      <c r="J947" s="73"/>
      <c r="K947" s="74"/>
      <c r="L947" s="73"/>
      <c r="M947" s="74"/>
      <c r="N947" s="73"/>
      <c r="O947" s="74"/>
    </row>
    <row r="948" spans="1:15">
      <c r="A948" s="107"/>
      <c r="B948" s="107"/>
      <c r="C948" s="107"/>
      <c r="D948" s="68" t="s">
        <v>423</v>
      </c>
      <c r="E948" t="s">
        <v>449</v>
      </c>
      <c r="G948" t="s">
        <v>63</v>
      </c>
      <c r="H948" s="67">
        <v>44561</v>
      </c>
      <c r="J948" s="73">
        <v>73.830967827900906</v>
      </c>
      <c r="K948" s="74">
        <v>72.028542699037601</v>
      </c>
      <c r="L948" s="73">
        <v>76.006929525492396</v>
      </c>
      <c r="M948" s="74">
        <v>75.731406905347697</v>
      </c>
      <c r="N948" s="73">
        <v>69.493403520078303</v>
      </c>
      <c r="O948" s="74"/>
    </row>
    <row r="949" spans="1:15">
      <c r="A949" s="107"/>
      <c r="B949" s="107"/>
      <c r="C949" s="107"/>
      <c r="D949" s="68" t="s">
        <v>424</v>
      </c>
      <c r="H949" s="67"/>
      <c r="J949" s="73"/>
      <c r="K949" s="74"/>
      <c r="L949" s="73"/>
      <c r="M949" s="74"/>
      <c r="N949" s="73"/>
      <c r="O949" s="74"/>
    </row>
    <row r="950" spans="1:15">
      <c r="A950" s="107" t="s">
        <v>312</v>
      </c>
      <c r="B950" s="107" t="s">
        <v>313</v>
      </c>
      <c r="C950" s="107" t="s">
        <v>314</v>
      </c>
      <c r="D950" s="68" t="s">
        <v>417</v>
      </c>
      <c r="G950" t="s">
        <v>434</v>
      </c>
      <c r="H950" s="67">
        <v>44561</v>
      </c>
      <c r="J950" s="73"/>
      <c r="K950" s="74">
        <v>170937</v>
      </c>
      <c r="L950" s="73">
        <v>175065</v>
      </c>
      <c r="M950" s="74">
        <v>167071</v>
      </c>
      <c r="N950" s="73">
        <v>162816</v>
      </c>
      <c r="O950" s="74">
        <v>199002</v>
      </c>
    </row>
    <row r="951" spans="1:15">
      <c r="A951" s="107"/>
      <c r="B951" s="107"/>
      <c r="C951" s="107"/>
      <c r="D951" s="68" t="s">
        <v>418</v>
      </c>
      <c r="E951" t="s">
        <v>419</v>
      </c>
      <c r="G951" t="s">
        <v>434</v>
      </c>
      <c r="H951" s="67">
        <v>44561</v>
      </c>
      <c r="J951" s="73"/>
      <c r="K951" s="74">
        <v>71170</v>
      </c>
      <c r="L951" s="73">
        <v>49365</v>
      </c>
      <c r="M951" s="74">
        <v>43561</v>
      </c>
      <c r="N951" s="73">
        <v>42701</v>
      </c>
      <c r="O951" s="74">
        <v>41779</v>
      </c>
    </row>
    <row r="952" spans="1:15">
      <c r="A952" s="107"/>
      <c r="B952" s="107"/>
      <c r="C952" s="107"/>
      <c r="D952" s="68" t="s">
        <v>420</v>
      </c>
      <c r="E952" t="s">
        <v>419</v>
      </c>
      <c r="G952" t="s">
        <v>434</v>
      </c>
      <c r="H952" s="67">
        <v>44561</v>
      </c>
      <c r="J952" s="73"/>
      <c r="K952" s="74">
        <v>242107</v>
      </c>
      <c r="L952" s="73">
        <v>224430</v>
      </c>
      <c r="M952" s="74">
        <v>210632</v>
      </c>
      <c r="N952" s="73">
        <v>205517</v>
      </c>
      <c r="O952" s="74">
        <v>240781</v>
      </c>
    </row>
    <row r="953" spans="1:15">
      <c r="A953" s="107"/>
      <c r="B953" s="107"/>
      <c r="C953" s="107"/>
      <c r="D953" s="68" t="s">
        <v>421</v>
      </c>
      <c r="E953" t="s">
        <v>422</v>
      </c>
      <c r="G953" t="s">
        <v>434</v>
      </c>
      <c r="H953" s="67">
        <v>44561</v>
      </c>
      <c r="J953" s="73"/>
      <c r="K953" s="74"/>
      <c r="L953" s="73"/>
      <c r="M953" s="74"/>
      <c r="N953" s="73"/>
      <c r="O953" s="74"/>
    </row>
    <row r="954" spans="1:15">
      <c r="A954" s="107"/>
      <c r="B954" s="107"/>
      <c r="C954" s="107"/>
      <c r="D954" s="68" t="s">
        <v>423</v>
      </c>
      <c r="G954" t="s">
        <v>55</v>
      </c>
      <c r="H954" s="67">
        <v>44561</v>
      </c>
      <c r="J954" s="73"/>
      <c r="K954" s="74">
        <v>8234000000</v>
      </c>
      <c r="L954" s="73">
        <v>7802000000</v>
      </c>
      <c r="M954" s="74">
        <v>8405000000</v>
      </c>
      <c r="N954" s="73">
        <v>8587000000</v>
      </c>
      <c r="O954" s="74">
        <v>8280000000</v>
      </c>
    </row>
    <row r="955" spans="1:15">
      <c r="A955" s="107"/>
      <c r="B955" s="107"/>
      <c r="C955" s="107"/>
      <c r="D955" s="68" t="s">
        <v>424</v>
      </c>
      <c r="H955" s="67"/>
      <c r="J955" s="73"/>
      <c r="K955" s="74"/>
      <c r="L955" s="73"/>
      <c r="M955" s="74"/>
      <c r="N955" s="73"/>
      <c r="O955" s="74"/>
    </row>
    <row r="956" spans="1:15">
      <c r="A956" s="107" t="s">
        <v>316</v>
      </c>
      <c r="B956" s="107" t="s">
        <v>317</v>
      </c>
      <c r="C956" s="107" t="s">
        <v>318</v>
      </c>
      <c r="D956" s="68" t="s">
        <v>417</v>
      </c>
      <c r="G956" t="s">
        <v>434</v>
      </c>
      <c r="H956" s="67">
        <v>44561</v>
      </c>
      <c r="J956" s="73">
        <v>63414</v>
      </c>
      <c r="K956" s="74">
        <v>46057</v>
      </c>
      <c r="L956" s="73">
        <v>46069</v>
      </c>
      <c r="M956" s="74">
        <v>58770</v>
      </c>
      <c r="N956" s="73">
        <v>60379</v>
      </c>
      <c r="O956" s="74">
        <v>46251</v>
      </c>
    </row>
    <row r="957" spans="1:15">
      <c r="A957" s="107"/>
      <c r="B957" s="107"/>
      <c r="C957" s="107"/>
      <c r="D957" s="68" t="s">
        <v>418</v>
      </c>
      <c r="E957" t="s">
        <v>419</v>
      </c>
      <c r="G957" t="s">
        <v>434</v>
      </c>
      <c r="H957" s="67">
        <v>44561</v>
      </c>
      <c r="J957" s="73">
        <v>29678</v>
      </c>
      <c r="K957" s="74">
        <v>25010</v>
      </c>
      <c r="L957" s="73">
        <v>24439</v>
      </c>
      <c r="M957" s="74">
        <v>28020</v>
      </c>
      <c r="N957" s="73">
        <v>22644</v>
      </c>
      <c r="O957" s="74">
        <v>19847</v>
      </c>
    </row>
    <row r="958" spans="1:15">
      <c r="A958" s="107"/>
      <c r="B958" s="107"/>
      <c r="C958" s="107"/>
      <c r="D958" s="68" t="s">
        <v>420</v>
      </c>
      <c r="E958" t="s">
        <v>419</v>
      </c>
      <c r="G958" t="s">
        <v>434</v>
      </c>
      <c r="H958" s="67">
        <v>44561</v>
      </c>
      <c r="J958" s="73">
        <v>93092</v>
      </c>
      <c r="K958" s="74">
        <v>71067</v>
      </c>
      <c r="L958" s="73">
        <v>70508</v>
      </c>
      <c r="M958" s="74">
        <v>86790</v>
      </c>
      <c r="N958" s="73">
        <v>83023</v>
      </c>
      <c r="O958" s="74">
        <v>66098</v>
      </c>
    </row>
    <row r="959" spans="1:15">
      <c r="A959" s="107"/>
      <c r="B959" s="107"/>
      <c r="C959" s="107"/>
      <c r="D959" s="68" t="s">
        <v>421</v>
      </c>
      <c r="E959" t="s">
        <v>422</v>
      </c>
      <c r="G959" t="s">
        <v>434</v>
      </c>
      <c r="H959" s="67">
        <v>44561</v>
      </c>
      <c r="J959" s="73">
        <v>16954</v>
      </c>
      <c r="K959" s="74">
        <v>18626</v>
      </c>
      <c r="L959" s="73">
        <v>19984</v>
      </c>
      <c r="M959" s="74">
        <v>58307929</v>
      </c>
      <c r="N959" s="73">
        <v>54684733</v>
      </c>
      <c r="O959" s="74">
        <v>89168768</v>
      </c>
    </row>
    <row r="960" spans="1:15">
      <c r="A960" s="107"/>
      <c r="B960" s="107"/>
      <c r="C960" s="107"/>
      <c r="D960" s="68" t="s">
        <v>423</v>
      </c>
      <c r="G960" t="s">
        <v>320</v>
      </c>
      <c r="H960" s="67">
        <v>44561</v>
      </c>
      <c r="J960" s="73">
        <v>5300000000</v>
      </c>
      <c r="K960" s="74">
        <v>5500000000</v>
      </c>
      <c r="L960" s="73">
        <v>6000000000</v>
      </c>
      <c r="M960" s="74">
        <v>6800000000</v>
      </c>
      <c r="N960" s="73">
        <v>7000000000</v>
      </c>
      <c r="O960" s="74">
        <v>7100000000</v>
      </c>
    </row>
    <row r="961" spans="1:15">
      <c r="A961" s="107"/>
      <c r="B961" s="107"/>
      <c r="C961" s="107"/>
      <c r="D961" s="68" t="s">
        <v>424</v>
      </c>
      <c r="H961" s="67"/>
      <c r="J961" s="73"/>
      <c r="K961" s="74"/>
      <c r="L961" s="73"/>
      <c r="M961" s="74"/>
      <c r="N961" s="73"/>
      <c r="O961" s="74"/>
    </row>
  </sheetData>
  <mergeCells count="351">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639:C654"/>
    <mergeCell ref="C655:C660"/>
    <mergeCell ref="C674:C679"/>
    <mergeCell ref="C680:C685"/>
    <mergeCell ref="C692:C697"/>
    <mergeCell ref="C698:C703"/>
    <mergeCell ref="C704:C709"/>
    <mergeCell ref="C710:C715"/>
    <mergeCell ref="C716:C721"/>
    <mergeCell ref="C686:C691"/>
    <mergeCell ref="C561:C566"/>
    <mergeCell ref="C567:C572"/>
    <mergeCell ref="C573:C578"/>
    <mergeCell ref="C579:C584"/>
    <mergeCell ref="C585:C590"/>
    <mergeCell ref="C591:C596"/>
    <mergeCell ref="C597:C602"/>
    <mergeCell ref="C603:C608"/>
    <mergeCell ref="C615:C632"/>
    <mergeCell ref="C476:C481"/>
    <mergeCell ref="C482:C487"/>
    <mergeCell ref="C488:C493"/>
    <mergeCell ref="C507:C512"/>
    <mergeCell ref="C519:C524"/>
    <mergeCell ref="C525:C530"/>
    <mergeCell ref="C537:C541"/>
    <mergeCell ref="C542:C547"/>
    <mergeCell ref="C548:C553"/>
    <mergeCell ref="C513:C518"/>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B920:B925"/>
    <mergeCell ref="B926:B931"/>
    <mergeCell ref="B811:B816"/>
    <mergeCell ref="B823:B828"/>
    <mergeCell ref="B829:B834"/>
    <mergeCell ref="B835:B840"/>
    <mergeCell ref="B847:B853"/>
    <mergeCell ref="B854:B859"/>
    <mergeCell ref="B860:B865"/>
    <mergeCell ref="B866:B871"/>
    <mergeCell ref="B872:B877"/>
    <mergeCell ref="B841:B846"/>
    <mergeCell ref="B805:B810"/>
    <mergeCell ref="B762:B767"/>
    <mergeCell ref="B722:B737"/>
    <mergeCell ref="B884:B889"/>
    <mergeCell ref="B890:B895"/>
    <mergeCell ref="B896:B901"/>
    <mergeCell ref="B902:B907"/>
    <mergeCell ref="B908:B913"/>
    <mergeCell ref="B914:B919"/>
    <mergeCell ref="B615:B632"/>
    <mergeCell ref="B639:B654"/>
    <mergeCell ref="B655:B660"/>
    <mergeCell ref="B674:B679"/>
    <mergeCell ref="B680:B685"/>
    <mergeCell ref="B692:B697"/>
    <mergeCell ref="B698:B703"/>
    <mergeCell ref="B704:B709"/>
    <mergeCell ref="B686:B691"/>
    <mergeCell ref="B633:B638"/>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633:A638"/>
    <mergeCell ref="A698:A703"/>
    <mergeCell ref="A704:A709"/>
    <mergeCell ref="A710:A715"/>
    <mergeCell ref="A716:A721"/>
    <mergeCell ref="A738:A743"/>
    <mergeCell ref="A744:A749"/>
    <mergeCell ref="A768:A786"/>
    <mergeCell ref="A787:A792"/>
    <mergeCell ref="A762:A767"/>
    <mergeCell ref="A722:A737"/>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B661:B673"/>
    <mergeCell ref="C661:C673"/>
    <mergeCell ref="A750:A761"/>
    <mergeCell ref="B750:B761"/>
    <mergeCell ref="C750:C761"/>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N30" r:id="rId1" xr:uid="{0B00E541-600E-124F-8530-7CF03623D698}"/>
    <hyperlink ref="O40" r:id="rId2" xr:uid="{819A42CE-2F85-DD47-B008-984E98BBD177}"/>
    <hyperlink ref="M20" r:id="rId3" xr:uid="{D807AC6B-367B-1444-BBB9-D28F438DBD19}"/>
    <hyperlink ref="L10" r:id="rId4" xr:uid="{6E71E545-2846-5B4B-AD5F-85DA7DD90255}"/>
    <hyperlink ref="O283" r:id="rId5" xr:uid="{F47DB3C8-5F49-8647-B2FF-AEBF5AC3C99B}"/>
    <hyperlink ref="N270" r:id="rId6" xr:uid="{0C8623CD-01FB-E540-9412-4CE8DBF09085}"/>
    <hyperlink ref="M257" r:id="rId7" xr:uid="{3D4F0DE7-F3C8-AF45-ABC1-12E91D3E6261}"/>
    <hyperlink ref="O72" r:id="rId8" xr:uid="{1E4E8135-CD07-B347-936C-A97039970762}"/>
    <hyperlink ref="N56" r:id="rId9" xr:uid="{67A225EC-845E-384E-813E-00C50E9AA5EB}"/>
    <hyperlink ref="O81" r:id="rId10" xr:uid="{B14E613F-8EEB-394C-B524-0C447C0C89C9}"/>
    <hyperlink ref="O134" r:id="rId11" xr:uid="{C32CB2D0-8FE4-7B46-89EC-D6831E824C5D}"/>
    <hyperlink ref="O112" r:id="rId12" xr:uid="{496B576B-14BB-BB4B-B13F-3A36462A059E}"/>
    <hyperlink ref="O123" r:id="rId13" xr:uid="{70C013C1-07FF-3B4E-869A-6449E37D0901}"/>
    <hyperlink ref="O105" r:id="rId14" xr:uid="{92406056-3669-2F4F-8934-9EB4F1F0F119}"/>
    <hyperlink ref="O99" r:id="rId15" xr:uid="{1095AD88-B746-5E4F-8A20-FE58209CB880}"/>
    <hyperlink ref="O155" r:id="rId16" xr:uid="{B89B78E8-5E69-714E-98A9-2C65CC616825}"/>
    <hyperlink ref="O148" r:id="rId17" xr:uid="{F5F6453C-8565-F547-8E2D-7EE101607909}"/>
    <hyperlink ref="O138" r:id="rId18" xr:uid="{CCE35EEF-99FB-4249-95D3-0FDEBCA52D19}"/>
    <hyperlink ref="O202" r:id="rId19" xr:uid="{297B9F65-2EC3-2B49-941B-966FAFF4ABD2}"/>
    <hyperlink ref="O201" r:id="rId20" xr:uid="{BCAC2482-2752-5545-BE37-E58540B7F938}"/>
    <hyperlink ref="O340" r:id="rId21" xr:uid="{6D42367E-4780-2342-A6B2-96A6078E9955}"/>
    <hyperlink ref="O313" r:id="rId22" xr:uid="{949D7551-186B-564B-8C15-75BA32F46432}"/>
    <hyperlink ref="O289" r:id="rId23" xr:uid="{77224E61-47A9-AD47-963B-04BED6937E70}"/>
    <hyperlink ref="O352" r:id="rId24" xr:uid="{8BA9C9DB-4F3F-7644-A79F-B480BE323300}"/>
    <hyperlink ref="O365" r:id="rId25" xr:uid="{39737AEA-3485-4E4D-B31A-05266923F7BD}"/>
    <hyperlink ref="O394" r:id="rId26" xr:uid="{019288D0-23BE-8640-B736-82875AF12F4F}"/>
    <hyperlink ref="O393" r:id="rId27" xr:uid="{F0CE3D14-5CF9-ED4C-8316-93209DD435CF}"/>
    <hyperlink ref="O419" r:id="rId28" xr:uid="{F82BE3DD-720F-8142-B17B-819858181BBF}"/>
    <hyperlink ref="O418" r:id="rId29" xr:uid="{BDDDD90B-2D17-C84D-B796-B3DC35535A5D}"/>
    <hyperlink ref="O761" r:id="rId30" xr:uid="{05DD9759-86C7-DA4E-B450-85D1C6FF9DF3}"/>
    <hyperlink ref="O226" r:id="rId31" xr:uid="{2518E147-6FA0-FE48-9D84-074D7D403110}"/>
    <hyperlink ref="O475" r:id="rId32" xr:uid="{752FA483-595F-4149-BC0A-93E8BA844976}"/>
    <hyperlink ref="O474" r:id="rId33" xr:uid="{82019FA7-8256-DF41-BCBE-61DE1E54CB4C}"/>
    <hyperlink ref="O541" r:id="rId34" xr:uid="{5E453E6D-D1F6-1541-B9CA-46019B4D7695}"/>
    <hyperlink ref="O942" r:id="rId35" xr:uid="{1A2E93F5-2AD5-8B48-A693-BFE3167ED272}"/>
    <hyperlink ref="O943" r:id="rId36" xr:uid="{39C7D6C2-372C-8B4D-9996-19008799DDEC}"/>
    <hyperlink ref="O560" r:id="rId37" xr:uid="{1A08ADA0-410A-5246-B9D8-9AB29E69BAA3}"/>
    <hyperlink ref="O786" r:id="rId38" xr:uid="{E70585E8-EF5A-0843-A534-AB726228A489}"/>
  </hyperlinks>
  <pageMargins left="0.75" right="0.75" top="1" bottom="1" header="0.5" footer="0.5"/>
  <pageSetup orientation="portrait" horizontalDpi="0" verticalDpi="0"/>
  <ignoredErrors>
    <ignoredError sqref="E642" twoDigitTextYear="1"/>
    <ignoredError sqref="N4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M46" sqref="M46"/>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7" t="s">
        <v>501</v>
      </c>
      <c r="B2" s="107" t="s">
        <v>310</v>
      </c>
      <c r="C2" s="107" t="s">
        <v>311</v>
      </c>
      <c r="D2" s="68" t="s">
        <v>658</v>
      </c>
      <c r="E2" t="s">
        <v>456</v>
      </c>
      <c r="F2" t="s">
        <v>588</v>
      </c>
      <c r="G2" t="s">
        <v>435</v>
      </c>
      <c r="H2" s="67">
        <v>44825</v>
      </c>
      <c r="I2" s="92"/>
      <c r="J2" s="73"/>
      <c r="K2" s="74"/>
      <c r="L2" s="73"/>
      <c r="M2" s="74"/>
      <c r="N2" s="73"/>
      <c r="O2" s="74">
        <v>35.51</v>
      </c>
    </row>
    <row r="3" spans="1:16">
      <c r="A3" s="107"/>
      <c r="B3" s="107"/>
      <c r="C3" s="107"/>
      <c r="D3" s="68" t="s">
        <v>653</v>
      </c>
      <c r="E3" t="s">
        <v>489</v>
      </c>
      <c r="G3" t="s">
        <v>435</v>
      </c>
      <c r="H3" s="67">
        <v>44825</v>
      </c>
      <c r="I3" s="92"/>
      <c r="J3" s="73"/>
      <c r="K3" s="74"/>
      <c r="L3" s="73"/>
      <c r="M3" s="74"/>
      <c r="N3" s="73"/>
      <c r="O3" s="74">
        <v>3.49</v>
      </c>
    </row>
    <row r="4" spans="1:16">
      <c r="A4" s="107"/>
      <c r="B4" s="107"/>
      <c r="C4" s="107"/>
      <c r="D4" s="68" t="s">
        <v>654</v>
      </c>
      <c r="E4" t="s">
        <v>470</v>
      </c>
      <c r="G4" t="s">
        <v>435</v>
      </c>
      <c r="H4" s="67">
        <v>44825</v>
      </c>
      <c r="I4" s="92"/>
      <c r="J4" s="73"/>
      <c r="K4" s="74"/>
      <c r="L4" s="73"/>
      <c r="M4" s="74"/>
      <c r="N4" s="73"/>
      <c r="O4" s="74">
        <v>0.32</v>
      </c>
    </row>
    <row r="5" spans="1:16">
      <c r="A5" s="107"/>
      <c r="B5" s="107"/>
      <c r="C5" s="107"/>
      <c r="D5" s="68" t="s">
        <v>655</v>
      </c>
      <c r="E5" t="s">
        <v>457</v>
      </c>
      <c r="G5" t="s">
        <v>435</v>
      </c>
      <c r="H5" s="67">
        <v>44825</v>
      </c>
      <c r="I5" s="92"/>
      <c r="J5" s="73"/>
      <c r="K5" s="74"/>
      <c r="L5" s="73"/>
      <c r="M5" s="74"/>
      <c r="N5" s="73"/>
      <c r="O5" s="74">
        <v>0.08</v>
      </c>
    </row>
    <row r="6" spans="1:16">
      <c r="A6" s="107"/>
      <c r="B6" s="107"/>
      <c r="C6" s="107"/>
      <c r="D6" s="68" t="s">
        <v>656</v>
      </c>
      <c r="E6" t="s">
        <v>490</v>
      </c>
      <c r="G6" t="s">
        <v>435</v>
      </c>
      <c r="H6" s="67">
        <v>44825</v>
      </c>
      <c r="I6" s="92"/>
      <c r="J6" s="73"/>
      <c r="K6" s="74"/>
      <c r="L6" s="73"/>
      <c r="M6" s="74"/>
      <c r="N6" s="73"/>
      <c r="O6" s="74">
        <v>7.0000000000000007E-2</v>
      </c>
    </row>
    <row r="7" spans="1:16">
      <c r="A7" s="107"/>
      <c r="B7" s="107"/>
      <c r="C7" s="107"/>
      <c r="D7" s="68" t="s">
        <v>657</v>
      </c>
      <c r="E7" t="s">
        <v>477</v>
      </c>
      <c r="G7" t="s">
        <v>435</v>
      </c>
      <c r="H7" s="67">
        <v>44825</v>
      </c>
      <c r="I7" s="92"/>
      <c r="J7" s="73"/>
      <c r="K7" s="74"/>
      <c r="L7" s="73"/>
      <c r="M7" s="74"/>
      <c r="N7" s="73"/>
      <c r="O7" s="74">
        <v>0.03</v>
      </c>
    </row>
    <row r="8" spans="1:16">
      <c r="A8" s="107"/>
      <c r="B8" s="107"/>
      <c r="C8" s="107"/>
      <c r="D8" s="68" t="s">
        <v>417</v>
      </c>
      <c r="E8" t="s">
        <v>449</v>
      </c>
      <c r="G8" t="s">
        <v>435</v>
      </c>
      <c r="H8" s="67">
        <v>44825</v>
      </c>
      <c r="I8" s="92"/>
      <c r="J8" s="73"/>
      <c r="K8" s="74"/>
      <c r="L8" s="73"/>
      <c r="M8" s="74"/>
      <c r="N8" s="73"/>
      <c r="O8" s="74">
        <v>39.5</v>
      </c>
    </row>
    <row r="9" spans="1:16">
      <c r="A9" s="107"/>
      <c r="B9" s="107"/>
      <c r="C9" s="107"/>
      <c r="D9" s="68" t="s">
        <v>659</v>
      </c>
      <c r="E9" t="s">
        <v>491</v>
      </c>
      <c r="G9" t="s">
        <v>435</v>
      </c>
      <c r="H9" s="67">
        <v>44825</v>
      </c>
      <c r="I9" s="92"/>
      <c r="J9" s="73"/>
      <c r="K9" s="74"/>
      <c r="L9" s="73"/>
      <c r="M9" s="74"/>
      <c r="N9" s="73"/>
      <c r="O9" s="74">
        <v>0.02</v>
      </c>
    </row>
    <row r="10" spans="1:16">
      <c r="A10" s="107"/>
      <c r="B10" s="107"/>
      <c r="C10" s="107"/>
      <c r="D10" s="68" t="s">
        <v>660</v>
      </c>
      <c r="E10" t="s">
        <v>492</v>
      </c>
      <c r="G10" t="s">
        <v>435</v>
      </c>
      <c r="H10" s="67">
        <v>44825</v>
      </c>
      <c r="I10" s="92"/>
      <c r="J10" s="73"/>
      <c r="K10" s="74"/>
      <c r="L10" s="73"/>
      <c r="M10" s="74"/>
      <c r="N10" s="73"/>
      <c r="O10" s="74">
        <v>0.68</v>
      </c>
    </row>
    <row r="11" spans="1:16">
      <c r="A11" s="107"/>
      <c r="B11" s="107"/>
      <c r="C11" s="107"/>
      <c r="D11" s="68" t="s">
        <v>418</v>
      </c>
      <c r="E11" t="s">
        <v>449</v>
      </c>
      <c r="G11" t="s">
        <v>435</v>
      </c>
      <c r="H11" s="67">
        <v>44825</v>
      </c>
      <c r="I11" s="92"/>
      <c r="J11" s="73"/>
      <c r="K11" s="74"/>
      <c r="L11" s="73"/>
      <c r="M11" s="74"/>
      <c r="N11" s="73"/>
      <c r="O11" s="74">
        <v>0.7</v>
      </c>
    </row>
    <row r="12" spans="1:16">
      <c r="A12" s="107"/>
      <c r="B12" s="107"/>
      <c r="C12" s="107"/>
      <c r="D12" s="68" t="s">
        <v>420</v>
      </c>
      <c r="E12" t="s">
        <v>419</v>
      </c>
      <c r="G12" t="s">
        <v>434</v>
      </c>
      <c r="H12" s="67">
        <v>44825</v>
      </c>
      <c r="I12" s="92"/>
      <c r="J12" s="73"/>
      <c r="K12" s="74"/>
      <c r="L12" s="73"/>
      <c r="M12" s="74"/>
      <c r="N12" s="104">
        <v>38217000</v>
      </c>
      <c r="O12" s="105">
        <v>39166000</v>
      </c>
    </row>
    <row r="13" spans="1:16">
      <c r="A13" s="107"/>
      <c r="B13" s="107"/>
      <c r="C13" s="107"/>
      <c r="D13" s="68" t="s">
        <v>421</v>
      </c>
      <c r="E13" t="s">
        <v>493</v>
      </c>
      <c r="G13" t="s">
        <v>435</v>
      </c>
      <c r="H13" s="67">
        <v>44825</v>
      </c>
      <c r="I13" s="92"/>
      <c r="J13" s="73"/>
      <c r="K13" s="74"/>
      <c r="L13" s="73"/>
      <c r="M13" s="74"/>
      <c r="N13" s="73"/>
      <c r="O13" s="74">
        <v>4.12</v>
      </c>
    </row>
    <row r="14" spans="1:16">
      <c r="A14" s="107"/>
      <c r="B14" s="107"/>
      <c r="C14" s="107"/>
      <c r="D14" s="68" t="s">
        <v>421</v>
      </c>
      <c r="E14" t="s">
        <v>489</v>
      </c>
      <c r="G14" t="s">
        <v>435</v>
      </c>
      <c r="H14" s="67">
        <v>44825</v>
      </c>
      <c r="I14" s="92"/>
      <c r="J14" s="73"/>
      <c r="K14" s="74"/>
      <c r="L14" s="73"/>
      <c r="M14" s="74"/>
      <c r="N14" s="73"/>
      <c r="O14" s="74">
        <v>1.7</v>
      </c>
    </row>
    <row r="15" spans="1:16">
      <c r="A15" s="107"/>
      <c r="B15" s="107"/>
      <c r="C15" s="107"/>
      <c r="D15" s="68" t="s">
        <v>421</v>
      </c>
      <c r="E15" t="s">
        <v>494</v>
      </c>
      <c r="G15" t="s">
        <v>435</v>
      </c>
      <c r="H15" s="67">
        <v>44825</v>
      </c>
      <c r="I15" s="92"/>
      <c r="J15" s="73"/>
      <c r="K15" s="74"/>
      <c r="L15" s="73"/>
      <c r="M15" s="74"/>
      <c r="N15" s="73"/>
      <c r="O15" s="74">
        <v>0.28000000000000003</v>
      </c>
    </row>
    <row r="16" spans="1:16">
      <c r="A16" s="107"/>
      <c r="B16" s="107"/>
      <c r="C16" s="107"/>
      <c r="D16" s="68" t="s">
        <v>421</v>
      </c>
      <c r="E16" t="s">
        <v>466</v>
      </c>
      <c r="G16" t="s">
        <v>435</v>
      </c>
      <c r="H16" s="67">
        <v>44825</v>
      </c>
      <c r="I16" s="92"/>
      <c r="J16" s="73"/>
      <c r="K16" s="74"/>
      <c r="L16" s="73"/>
      <c r="M16" s="74"/>
      <c r="N16" s="73"/>
      <c r="O16" s="74">
        <v>0.01</v>
      </c>
    </row>
    <row r="17" spans="1:16">
      <c r="A17" s="107"/>
      <c r="B17" s="107"/>
      <c r="C17" s="107"/>
      <c r="D17" s="68" t="s">
        <v>421</v>
      </c>
      <c r="E17" t="s">
        <v>465</v>
      </c>
      <c r="G17" t="s">
        <v>435</v>
      </c>
      <c r="H17" s="67">
        <v>44825</v>
      </c>
      <c r="I17" s="92"/>
      <c r="J17" s="73"/>
      <c r="K17" s="74"/>
      <c r="L17" s="73"/>
      <c r="M17" s="74"/>
      <c r="N17" s="73"/>
      <c r="O17" s="74">
        <v>0.01</v>
      </c>
    </row>
    <row r="18" spans="1:16">
      <c r="A18" s="107"/>
      <c r="B18" s="107"/>
      <c r="C18" s="107"/>
      <c r="D18" s="68" t="s">
        <v>421</v>
      </c>
      <c r="E18" t="s">
        <v>449</v>
      </c>
      <c r="G18" t="s">
        <v>435</v>
      </c>
      <c r="H18" s="67">
        <v>44825</v>
      </c>
      <c r="I18" s="92"/>
      <c r="J18" s="73"/>
      <c r="K18" s="74"/>
      <c r="L18" s="73"/>
      <c r="M18" s="74"/>
      <c r="N18" s="73"/>
      <c r="O18" s="74">
        <v>6.1</v>
      </c>
    </row>
    <row r="19" spans="1:16">
      <c r="A19" s="107"/>
      <c r="B19" s="107"/>
      <c r="C19" s="107"/>
      <c r="D19" s="68" t="s">
        <v>496</v>
      </c>
      <c r="G19" t="s">
        <v>435</v>
      </c>
      <c r="H19" s="67">
        <v>44825</v>
      </c>
      <c r="I19" s="92"/>
      <c r="J19" s="73"/>
      <c r="K19" s="74"/>
      <c r="L19" s="73"/>
      <c r="M19" s="74"/>
      <c r="N19" s="73"/>
      <c r="O19" s="74">
        <v>64</v>
      </c>
    </row>
    <row r="20" spans="1:16">
      <c r="A20" s="107"/>
      <c r="B20" s="107"/>
      <c r="C20" s="107"/>
      <c r="D20" s="68" t="s">
        <v>423</v>
      </c>
      <c r="E20" t="s">
        <v>449</v>
      </c>
      <c r="G20" t="s">
        <v>82</v>
      </c>
      <c r="H20" s="67">
        <v>44825</v>
      </c>
      <c r="I20" s="92"/>
      <c r="J20" s="73"/>
      <c r="K20" s="74"/>
      <c r="L20" s="73"/>
      <c r="M20" s="74"/>
      <c r="N20" s="73">
        <f>SUM(N21:N25)+SUM(N31)</f>
        <v>97951000</v>
      </c>
      <c r="O20" s="74">
        <f>SUM(O21:O25)+SUM(O31)</f>
        <v>99339000</v>
      </c>
    </row>
    <row r="21" spans="1:16">
      <c r="A21" s="107"/>
      <c r="B21" s="107"/>
      <c r="C21" s="107"/>
      <c r="D21" s="68" t="s">
        <v>456</v>
      </c>
      <c r="E21" t="s">
        <v>469</v>
      </c>
      <c r="G21" t="s">
        <v>82</v>
      </c>
      <c r="H21" s="67">
        <v>44825</v>
      </c>
      <c r="I21" s="92"/>
      <c r="J21" s="73"/>
      <c r="K21" s="74"/>
      <c r="L21" s="73"/>
      <c r="M21" s="74"/>
      <c r="N21" s="73">
        <f>20364000</f>
        <v>20364000</v>
      </c>
      <c r="O21" s="74">
        <v>24537000</v>
      </c>
      <c r="P21" s="58"/>
    </row>
    <row r="22" spans="1:16">
      <c r="A22" s="107"/>
      <c r="B22" s="107"/>
      <c r="C22" s="107"/>
      <c r="D22" s="68" t="s">
        <v>456</v>
      </c>
      <c r="E22" t="s">
        <v>470</v>
      </c>
      <c r="G22" t="s">
        <v>82</v>
      </c>
      <c r="H22" s="67">
        <v>44825</v>
      </c>
      <c r="I22" s="92"/>
      <c r="J22" s="73"/>
      <c r="K22" s="74"/>
      <c r="L22" s="73"/>
      <c r="M22" s="74"/>
      <c r="N22" s="73">
        <f>31363000</f>
        <v>31363000</v>
      </c>
      <c r="O22" s="74">
        <v>25828000</v>
      </c>
      <c r="P22" s="58"/>
    </row>
    <row r="23" spans="1:16">
      <c r="A23" s="107"/>
      <c r="B23" s="107"/>
      <c r="C23" s="107"/>
      <c r="D23" s="68" t="s">
        <v>456</v>
      </c>
      <c r="E23" t="s">
        <v>471</v>
      </c>
      <c r="G23" t="s">
        <v>82</v>
      </c>
      <c r="H23" s="67">
        <v>44825</v>
      </c>
      <c r="I23" s="92"/>
      <c r="J23" s="73"/>
      <c r="K23" s="74"/>
      <c r="L23" s="73"/>
      <c r="M23" s="74"/>
      <c r="N23" s="73">
        <f>13107000</f>
        <v>13107000</v>
      </c>
      <c r="O23" s="74">
        <v>12517000</v>
      </c>
      <c r="P23" s="58"/>
    </row>
    <row r="24" spans="1:16">
      <c r="A24" s="107"/>
      <c r="B24" s="107"/>
      <c r="C24" s="107"/>
      <c r="D24" s="68" t="s">
        <v>456</v>
      </c>
      <c r="E24" t="s">
        <v>497</v>
      </c>
      <c r="G24" t="s">
        <v>82</v>
      </c>
      <c r="H24" s="67">
        <v>44825</v>
      </c>
      <c r="I24" s="92"/>
      <c r="J24" s="73"/>
      <c r="K24" s="74"/>
      <c r="L24" s="73"/>
      <c r="M24" s="74"/>
      <c r="N24" s="73">
        <v>30000</v>
      </c>
      <c r="O24" s="74">
        <v>99000</v>
      </c>
    </row>
    <row r="25" spans="1:16">
      <c r="A25" s="107"/>
      <c r="B25" s="107"/>
      <c r="C25" s="107"/>
      <c r="D25" s="68" t="s">
        <v>456</v>
      </c>
      <c r="E25" t="s">
        <v>478</v>
      </c>
      <c r="G25" t="s">
        <v>82</v>
      </c>
      <c r="H25" s="67">
        <v>44825</v>
      </c>
      <c r="I25" s="92"/>
      <c r="J25" s="73"/>
      <c r="K25" s="74"/>
      <c r="L25" s="73"/>
      <c r="M25" s="74"/>
      <c r="N25" s="73">
        <v>32905000</v>
      </c>
      <c r="O25" s="74">
        <v>36159000</v>
      </c>
      <c r="P25" s="58"/>
    </row>
    <row r="26" spans="1:16">
      <c r="A26" s="107"/>
      <c r="B26" s="107"/>
      <c r="C26" s="107"/>
      <c r="D26" s="68" t="s">
        <v>456</v>
      </c>
      <c r="E26" t="s">
        <v>498</v>
      </c>
      <c r="G26" t="s">
        <v>82</v>
      </c>
      <c r="H26" s="67">
        <v>44825</v>
      </c>
      <c r="I26" s="92"/>
      <c r="J26" s="73"/>
      <c r="K26" s="74"/>
      <c r="L26" s="73"/>
      <c r="M26" s="74"/>
      <c r="N26" s="73">
        <v>610000</v>
      </c>
      <c r="O26" s="74">
        <v>497000</v>
      </c>
    </row>
    <row r="27" spans="1:16">
      <c r="A27" s="107"/>
      <c r="B27" s="107"/>
      <c r="C27" s="107"/>
      <c r="D27" s="68" t="s">
        <v>456</v>
      </c>
      <c r="E27" t="s">
        <v>499</v>
      </c>
      <c r="G27" t="s">
        <v>82</v>
      </c>
      <c r="H27" s="67">
        <v>44825</v>
      </c>
      <c r="I27" s="92"/>
      <c r="J27" s="73"/>
      <c r="K27" s="74"/>
      <c r="L27" s="73"/>
      <c r="M27" s="74"/>
      <c r="N27" s="73">
        <v>0</v>
      </c>
      <c r="O27" s="74">
        <v>0</v>
      </c>
    </row>
    <row r="28" spans="1:16">
      <c r="A28" s="107"/>
      <c r="B28" s="107"/>
      <c r="C28" s="107"/>
      <c r="D28" s="68" t="s">
        <v>456</v>
      </c>
      <c r="E28" t="s">
        <v>473</v>
      </c>
      <c r="G28" t="s">
        <v>82</v>
      </c>
      <c r="H28" s="67">
        <v>44825</v>
      </c>
      <c r="I28" s="92"/>
      <c r="J28" s="73"/>
      <c r="K28" s="74"/>
      <c r="L28" s="73"/>
      <c r="M28" s="74"/>
      <c r="N28" s="73">
        <f>2925000</f>
        <v>2925000</v>
      </c>
      <c r="O28" s="74">
        <v>2483000</v>
      </c>
    </row>
    <row r="29" spans="1:16">
      <c r="A29" s="107"/>
      <c r="B29" s="107"/>
      <c r="C29" s="107"/>
      <c r="D29" s="68" t="s">
        <v>456</v>
      </c>
      <c r="E29" t="s">
        <v>475</v>
      </c>
      <c r="G29" t="s">
        <v>82</v>
      </c>
      <c r="H29" s="67">
        <v>44825</v>
      </c>
      <c r="I29" s="92"/>
      <c r="J29" s="73"/>
      <c r="K29" s="74"/>
      <c r="L29" s="73"/>
      <c r="M29" s="74"/>
      <c r="N29" s="73">
        <f>3361000</f>
        <v>3361000</v>
      </c>
      <c r="O29" s="74">
        <v>3676000</v>
      </c>
    </row>
    <row r="30" spans="1:16">
      <c r="A30" s="107"/>
      <c r="B30" s="107"/>
      <c r="C30" s="107"/>
      <c r="D30" s="68" t="s">
        <v>456</v>
      </c>
      <c r="E30" t="s">
        <v>476</v>
      </c>
      <c r="G30" t="s">
        <v>82</v>
      </c>
      <c r="H30" s="67">
        <v>44825</v>
      </c>
      <c r="I30" s="92"/>
      <c r="J30" s="73"/>
      <c r="K30" s="74"/>
      <c r="L30" s="73"/>
      <c r="M30" s="74"/>
      <c r="N30" s="73">
        <f>26010000</f>
        <v>26010000</v>
      </c>
      <c r="O30" s="74">
        <v>29503000</v>
      </c>
    </row>
    <row r="31" spans="1:16">
      <c r="A31" s="107"/>
      <c r="B31" s="107"/>
      <c r="C31" s="107"/>
      <c r="D31" s="68" t="s">
        <v>456</v>
      </c>
      <c r="E31" t="s">
        <v>477</v>
      </c>
      <c r="G31" t="s">
        <v>82</v>
      </c>
      <c r="H31" s="67">
        <v>44825</v>
      </c>
      <c r="I31" s="92"/>
      <c r="J31" s="73"/>
      <c r="K31" s="74"/>
      <c r="L31" s="73"/>
      <c r="M31" s="74"/>
      <c r="N31" s="73">
        <v>182000</v>
      </c>
      <c r="O31" s="74">
        <v>199000</v>
      </c>
    </row>
    <row r="32" spans="1:16">
      <c r="A32" s="107"/>
      <c r="B32" s="107"/>
      <c r="C32" s="107"/>
      <c r="D32" s="68" t="s">
        <v>424</v>
      </c>
      <c r="H32" s="67"/>
      <c r="I32" s="92"/>
      <c r="J32" s="73"/>
      <c r="K32" s="74"/>
      <c r="L32" s="73"/>
      <c r="M32" s="74"/>
      <c r="N32" s="73"/>
      <c r="O32" s="74" t="s">
        <v>488</v>
      </c>
    </row>
    <row r="33" spans="1:15">
      <c r="A33" s="107" t="s">
        <v>500</v>
      </c>
      <c r="B33" s="107" t="s">
        <v>310</v>
      </c>
      <c r="C33" s="107" t="s">
        <v>311</v>
      </c>
      <c r="D33" s="68" t="s">
        <v>417</v>
      </c>
      <c r="E33" t="s">
        <v>502</v>
      </c>
      <c r="G33" t="s">
        <v>434</v>
      </c>
      <c r="H33" s="67">
        <v>44726</v>
      </c>
      <c r="I33" s="92"/>
      <c r="J33" s="73"/>
      <c r="K33" s="74"/>
      <c r="L33" s="73"/>
      <c r="M33" s="74">
        <v>240200</v>
      </c>
      <c r="N33" s="73">
        <v>246700</v>
      </c>
      <c r="O33" s="74">
        <v>249460</v>
      </c>
    </row>
    <row r="34" spans="1:15">
      <c r="A34" s="107"/>
      <c r="B34" s="107"/>
      <c r="C34" s="107"/>
      <c r="D34" s="68" t="s">
        <v>418</v>
      </c>
      <c r="E34" t="s">
        <v>449</v>
      </c>
      <c r="G34" t="s">
        <v>435</v>
      </c>
      <c r="H34" s="67">
        <v>44726</v>
      </c>
      <c r="I34" s="92"/>
      <c r="J34" s="73"/>
      <c r="K34" s="74"/>
      <c r="L34" s="73"/>
      <c r="M34" s="74"/>
      <c r="N34" s="73"/>
      <c r="O34" s="74"/>
    </row>
    <row r="35" spans="1:15">
      <c r="A35" s="107"/>
      <c r="B35" s="107"/>
      <c r="C35" s="107"/>
      <c r="D35" s="68" t="s">
        <v>420</v>
      </c>
      <c r="E35" t="s">
        <v>419</v>
      </c>
      <c r="G35" t="s">
        <v>435</v>
      </c>
      <c r="H35" s="67">
        <v>44726</v>
      </c>
      <c r="I35" s="92"/>
      <c r="J35" s="73"/>
      <c r="K35" s="74"/>
      <c r="L35" s="73"/>
      <c r="M35" s="74"/>
      <c r="N35" s="73"/>
      <c r="O35" s="74"/>
    </row>
    <row r="36" spans="1:15">
      <c r="A36" s="107"/>
      <c r="B36" s="107"/>
      <c r="C36" s="107"/>
      <c r="D36" s="68" t="s">
        <v>421</v>
      </c>
      <c r="E36" t="s">
        <v>610</v>
      </c>
      <c r="G36" t="s">
        <v>435</v>
      </c>
      <c r="H36" s="67">
        <v>44825</v>
      </c>
      <c r="I36" s="92"/>
      <c r="J36" s="73"/>
      <c r="K36" s="74"/>
      <c r="L36" s="73"/>
      <c r="M36" s="74"/>
      <c r="N36" s="73"/>
      <c r="O36" s="74">
        <v>3</v>
      </c>
    </row>
    <row r="37" spans="1:15">
      <c r="A37" s="107"/>
      <c r="B37" s="107"/>
      <c r="C37" s="107"/>
      <c r="D37" s="68" t="s">
        <v>421</v>
      </c>
      <c r="E37" t="s">
        <v>495</v>
      </c>
      <c r="G37" t="s">
        <v>435</v>
      </c>
      <c r="H37" s="67">
        <v>44825</v>
      </c>
      <c r="I37" s="92"/>
      <c r="J37" s="73"/>
      <c r="K37" s="74"/>
      <c r="L37" s="73"/>
      <c r="M37" s="74"/>
      <c r="N37" s="73"/>
      <c r="O37" s="74">
        <v>14.65</v>
      </c>
    </row>
    <row r="38" spans="1:15">
      <c r="A38" s="107"/>
      <c r="B38" s="107"/>
      <c r="C38" s="107"/>
      <c r="D38" s="68" t="s">
        <v>421</v>
      </c>
      <c r="E38" t="s">
        <v>449</v>
      </c>
      <c r="G38" t="s">
        <v>435</v>
      </c>
      <c r="H38" s="67">
        <v>44825</v>
      </c>
      <c r="I38" s="92"/>
      <c r="J38" s="73"/>
      <c r="K38" s="74"/>
      <c r="L38" s="73"/>
      <c r="M38" s="74"/>
      <c r="N38" s="73"/>
      <c r="O38" s="74">
        <v>17.7</v>
      </c>
    </row>
    <row r="39" spans="1:15">
      <c r="A39" s="107"/>
      <c r="B39" s="107"/>
      <c r="C39" s="107"/>
      <c r="D39" s="68" t="s">
        <v>599</v>
      </c>
      <c r="G39" t="s">
        <v>629</v>
      </c>
      <c r="H39" s="67">
        <v>44726</v>
      </c>
      <c r="I39" s="92"/>
      <c r="J39" s="73"/>
      <c r="K39" s="74"/>
      <c r="L39" s="73"/>
      <c r="M39" s="74">
        <v>346500</v>
      </c>
      <c r="N39" s="73">
        <v>352300</v>
      </c>
      <c r="O39" s="74">
        <v>319798</v>
      </c>
    </row>
    <row r="40" spans="1:15">
      <c r="A40" s="107"/>
      <c r="B40" s="107"/>
      <c r="C40" s="107"/>
      <c r="D40" s="68" t="s">
        <v>424</v>
      </c>
      <c r="H40" s="67"/>
      <c r="I40" s="92"/>
      <c r="J40" s="73"/>
      <c r="K40" s="74"/>
      <c r="L40" s="73"/>
      <c r="M40" s="74"/>
      <c r="N40" s="73"/>
      <c r="O40" s="74" t="s">
        <v>488</v>
      </c>
    </row>
    <row r="41" spans="1:15">
      <c r="A41" s="107" t="s">
        <v>96</v>
      </c>
      <c r="B41" s="107" t="s">
        <v>97</v>
      </c>
      <c r="C41" s="107" t="s">
        <v>98</v>
      </c>
      <c r="D41" s="68" t="s">
        <v>417</v>
      </c>
      <c r="E41" t="s">
        <v>630</v>
      </c>
      <c r="G41" t="s">
        <v>433</v>
      </c>
      <c r="H41" s="67">
        <v>44561</v>
      </c>
      <c r="I41" s="92"/>
      <c r="J41" s="73"/>
      <c r="K41" s="74"/>
      <c r="L41" s="73"/>
      <c r="M41" s="74">
        <v>299</v>
      </c>
      <c r="N41" s="73">
        <v>236</v>
      </c>
      <c r="O41" s="74">
        <v>288</v>
      </c>
    </row>
    <row r="42" spans="1:15">
      <c r="A42" s="107"/>
      <c r="B42" s="107"/>
      <c r="C42" s="107"/>
      <c r="D42" s="68" t="s">
        <v>418</v>
      </c>
      <c r="E42" t="s">
        <v>419</v>
      </c>
      <c r="G42" t="s">
        <v>433</v>
      </c>
      <c r="H42" s="67">
        <v>44561</v>
      </c>
      <c r="I42" s="92"/>
      <c r="J42" s="73"/>
      <c r="K42" s="74"/>
      <c r="L42" s="73"/>
      <c r="M42" s="74">
        <v>51</v>
      </c>
      <c r="N42" s="73">
        <v>27</v>
      </c>
      <c r="O42" s="74">
        <v>31</v>
      </c>
    </row>
    <row r="43" spans="1:15">
      <c r="A43" s="107"/>
      <c r="B43" s="107"/>
      <c r="C43" s="107"/>
      <c r="D43" s="68" t="s">
        <v>420</v>
      </c>
      <c r="E43" t="s">
        <v>419</v>
      </c>
      <c r="G43" t="s">
        <v>433</v>
      </c>
      <c r="H43" s="67">
        <v>44561</v>
      </c>
      <c r="I43" s="92"/>
      <c r="J43" s="73"/>
      <c r="K43" s="74"/>
      <c r="L43" s="73"/>
      <c r="M43" s="74">
        <v>350</v>
      </c>
      <c r="N43" s="73">
        <v>263</v>
      </c>
      <c r="O43" s="74">
        <v>319</v>
      </c>
    </row>
    <row r="44" spans="1:15">
      <c r="A44" s="107"/>
      <c r="B44" s="107"/>
      <c r="C44" s="107"/>
      <c r="D44" s="68" t="s">
        <v>421</v>
      </c>
      <c r="E44" t="s">
        <v>422</v>
      </c>
      <c r="G44" t="s">
        <v>433</v>
      </c>
      <c r="H44" s="67">
        <v>44561</v>
      </c>
      <c r="I44" s="92"/>
      <c r="J44" s="73"/>
      <c r="K44" s="74"/>
      <c r="L44" s="73"/>
      <c r="M44" s="74"/>
      <c r="N44" s="73"/>
      <c r="O44" s="74"/>
    </row>
    <row r="45" spans="1:15">
      <c r="A45" s="107"/>
      <c r="B45" s="107"/>
      <c r="C45" s="107"/>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7"/>
      <c r="B46" s="107"/>
      <c r="C46" s="107"/>
      <c r="D46" s="68" t="s">
        <v>423</v>
      </c>
      <c r="E46" t="s">
        <v>624</v>
      </c>
      <c r="G46" t="s">
        <v>515</v>
      </c>
      <c r="H46" s="67">
        <v>44561</v>
      </c>
      <c r="I46" s="92"/>
      <c r="J46" s="73"/>
      <c r="K46" s="74"/>
      <c r="L46" s="73"/>
      <c r="M46" s="74">
        <f>M43/0.24</f>
        <v>1458.3333333333335</v>
      </c>
      <c r="N46" s="73">
        <f>N43/0.21</f>
        <v>1252.3809523809525</v>
      </c>
      <c r="O46" s="74">
        <f>O43/0.2</f>
        <v>1595</v>
      </c>
    </row>
    <row r="47" spans="1:15">
      <c r="A47" s="107"/>
      <c r="B47" s="107"/>
      <c r="C47" s="107"/>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9"/>
  <sheetViews>
    <sheetView zoomScaleNormal="100" workbookViewId="0">
      <pane xSplit="1" ySplit="1" topLeftCell="B78" activePane="bottomRight" state="frozen"/>
      <selection pane="topRight" activeCell="B1" sqref="B1"/>
      <selection pane="bottomLeft" activeCell="A54" sqref="A54"/>
      <selection pane="bottomRight" activeCell="B102" sqref="B102"/>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v>
      </c>
      <c r="K4" t="s">
        <v>436</v>
      </c>
      <c r="L4">
        <v>2030</v>
      </c>
      <c r="M4" s="59">
        <v>0.7</v>
      </c>
    </row>
    <row r="5" spans="1:15">
      <c r="A5" t="s">
        <v>531</v>
      </c>
      <c r="B5" s="1" t="s">
        <v>532</v>
      </c>
      <c r="C5" t="s">
        <v>533</v>
      </c>
      <c r="D5" t="s">
        <v>86</v>
      </c>
      <c r="E5" s="39">
        <v>2040</v>
      </c>
      <c r="F5" s="56" t="s">
        <v>330</v>
      </c>
      <c r="G5" t="s">
        <v>331</v>
      </c>
      <c r="H5" s="39">
        <v>2021</v>
      </c>
      <c r="I5">
        <v>2019</v>
      </c>
      <c r="J5">
        <f>(91.7+4.72)/'ITR V2 esg data'!M71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data'!N239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data'!M286+'ITR V2 esg data'!M287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331</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data'!O462+'ITR V2 esg data'!O463+'ITR V2 esg data'!O464+'ITR V2 esg data'!O470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data'!L482/'ITR V2 esg data'!L486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333</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333</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333</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2"/>
  <sheetViews>
    <sheetView workbookViewId="0">
      <selection activeCell="A12" sqref="A12:XFD12"/>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33" ca="1" si="0">RANDBETWEEN(50000,250000)*RANDBETWEEN(600,1200)</f>
        <v>157979037</v>
      </c>
    </row>
    <row r="3" spans="1:5">
      <c r="A3" t="s">
        <v>58</v>
      </c>
      <c r="B3" s="1" t="s">
        <v>59</v>
      </c>
      <c r="C3" t="s">
        <v>60</v>
      </c>
      <c r="D3" t="s">
        <v>60</v>
      </c>
      <c r="E3">
        <f t="shared" ca="1" si="0"/>
        <v>155034737</v>
      </c>
    </row>
    <row r="4" spans="1:5">
      <c r="A4" t="s">
        <v>64</v>
      </c>
      <c r="B4" s="1" t="s">
        <v>65</v>
      </c>
      <c r="C4" t="s">
        <v>66</v>
      </c>
      <c r="D4" t="s">
        <v>66</v>
      </c>
      <c r="E4">
        <f t="shared" ca="1" si="0"/>
        <v>134078500</v>
      </c>
    </row>
    <row r="5" spans="1:5">
      <c r="A5" t="s">
        <v>67</v>
      </c>
      <c r="B5" s="1" t="s">
        <v>68</v>
      </c>
      <c r="C5" t="s">
        <v>69</v>
      </c>
      <c r="D5" t="s">
        <v>69</v>
      </c>
      <c r="E5">
        <f t="shared" ca="1" si="0"/>
        <v>263390880</v>
      </c>
    </row>
    <row r="6" spans="1:5">
      <c r="A6" t="s">
        <v>70</v>
      </c>
      <c r="B6" s="1" t="s">
        <v>71</v>
      </c>
      <c r="C6" t="s">
        <v>72</v>
      </c>
      <c r="D6" t="s">
        <v>72</v>
      </c>
      <c r="E6">
        <f t="shared" ca="1" si="0"/>
        <v>166573482</v>
      </c>
    </row>
    <row r="7" spans="1:5">
      <c r="A7" t="s">
        <v>73</v>
      </c>
      <c r="B7" s="1" t="s">
        <v>74</v>
      </c>
      <c r="C7" t="s">
        <v>75</v>
      </c>
      <c r="D7" t="s">
        <v>412</v>
      </c>
      <c r="E7">
        <f t="shared" ca="1" si="0"/>
        <v>65472138</v>
      </c>
    </row>
    <row r="8" spans="1:5">
      <c r="A8" t="s">
        <v>76</v>
      </c>
      <c r="B8" s="1" t="s">
        <v>74</v>
      </c>
      <c r="C8" t="s">
        <v>77</v>
      </c>
      <c r="D8" t="s">
        <v>412</v>
      </c>
      <c r="E8">
        <f t="shared" ca="1" si="0"/>
        <v>160950634</v>
      </c>
    </row>
    <row r="9" spans="1:5">
      <c r="A9" t="s">
        <v>79</v>
      </c>
      <c r="B9" s="1" t="s">
        <v>80</v>
      </c>
      <c r="C9" t="s">
        <v>81</v>
      </c>
      <c r="D9" t="s">
        <v>81</v>
      </c>
      <c r="E9">
        <f t="shared" ca="1" si="0"/>
        <v>249962560</v>
      </c>
    </row>
    <row r="10" spans="1:5">
      <c r="A10" t="s">
        <v>83</v>
      </c>
      <c r="B10" s="1" t="s">
        <v>84</v>
      </c>
      <c r="C10" t="s">
        <v>85</v>
      </c>
      <c r="D10" t="s">
        <v>85</v>
      </c>
      <c r="E10">
        <f t="shared" ca="1" si="0"/>
        <v>75412281</v>
      </c>
    </row>
    <row r="11" spans="1:5">
      <c r="A11" t="s">
        <v>89</v>
      </c>
      <c r="B11" s="1" t="s">
        <v>90</v>
      </c>
      <c r="C11" t="s">
        <v>91</v>
      </c>
      <c r="D11" t="s">
        <v>91</v>
      </c>
      <c r="E11">
        <f t="shared" ca="1" si="0"/>
        <v>69891264</v>
      </c>
    </row>
    <row r="12" spans="1:5">
      <c r="A12" t="s">
        <v>96</v>
      </c>
      <c r="B12" s="1" t="s">
        <v>97</v>
      </c>
      <c r="C12" t="s">
        <v>98</v>
      </c>
      <c r="D12" t="s">
        <v>98</v>
      </c>
      <c r="E12">
        <f t="shared" ca="1" si="0"/>
        <v>257677915</v>
      </c>
    </row>
    <row r="13" spans="1:5">
      <c r="A13" t="s">
        <v>101</v>
      </c>
      <c r="B13" s="1" t="s">
        <v>102</v>
      </c>
      <c r="C13" t="s">
        <v>103</v>
      </c>
      <c r="D13" t="s">
        <v>103</v>
      </c>
      <c r="E13">
        <f t="shared" ca="1" si="0"/>
        <v>227983120</v>
      </c>
    </row>
    <row r="14" spans="1:5">
      <c r="A14" t="s">
        <v>104</v>
      </c>
      <c r="B14" s="1" t="s">
        <v>105</v>
      </c>
      <c r="C14" t="s">
        <v>106</v>
      </c>
      <c r="D14" t="s">
        <v>106</v>
      </c>
      <c r="E14">
        <f t="shared" ca="1" si="0"/>
        <v>198419375</v>
      </c>
    </row>
    <row r="15" spans="1:5">
      <c r="A15" t="s">
        <v>107</v>
      </c>
      <c r="B15" s="1" t="s">
        <v>108</v>
      </c>
      <c r="C15" t="s">
        <v>109</v>
      </c>
      <c r="D15" t="s">
        <v>109</v>
      </c>
      <c r="E15">
        <f t="shared" ca="1" si="0"/>
        <v>82026285</v>
      </c>
    </row>
    <row r="16" spans="1:5">
      <c r="A16" t="s">
        <v>110</v>
      </c>
      <c r="B16" s="1" t="s">
        <v>111</v>
      </c>
      <c r="C16" t="s">
        <v>112</v>
      </c>
      <c r="D16" t="s">
        <v>112</v>
      </c>
      <c r="E16">
        <f t="shared" ca="1" si="0"/>
        <v>120083648</v>
      </c>
    </row>
    <row r="17" spans="1:5">
      <c r="A17" t="s">
        <v>113</v>
      </c>
      <c r="B17" s="1" t="s">
        <v>114</v>
      </c>
      <c r="C17" t="s">
        <v>115</v>
      </c>
      <c r="D17" t="s">
        <v>115</v>
      </c>
      <c r="E17">
        <f t="shared" ca="1" si="0"/>
        <v>84940317</v>
      </c>
    </row>
    <row r="18" spans="1:5">
      <c r="A18" t="s">
        <v>116</v>
      </c>
      <c r="B18" s="1" t="s">
        <v>117</v>
      </c>
      <c r="C18" t="s">
        <v>118</v>
      </c>
      <c r="D18" t="s">
        <v>118</v>
      </c>
      <c r="E18">
        <f t="shared" ca="1" si="0"/>
        <v>72375699</v>
      </c>
    </row>
    <row r="19" spans="1:5">
      <c r="A19" t="s">
        <v>119</v>
      </c>
      <c r="B19" s="1" t="s">
        <v>120</v>
      </c>
      <c r="C19" t="s">
        <v>121</v>
      </c>
      <c r="D19" t="s">
        <v>121</v>
      </c>
      <c r="E19">
        <f t="shared" ca="1" si="0"/>
        <v>129053136</v>
      </c>
    </row>
    <row r="20" spans="1:5">
      <c r="A20" t="s">
        <v>122</v>
      </c>
      <c r="B20" s="1" t="s">
        <v>123</v>
      </c>
      <c r="C20" t="s">
        <v>124</v>
      </c>
      <c r="D20" t="s">
        <v>124</v>
      </c>
      <c r="E20">
        <f t="shared" ca="1" si="0"/>
        <v>112733726</v>
      </c>
    </row>
    <row r="21" spans="1:5">
      <c r="A21" t="s">
        <v>125</v>
      </c>
      <c r="B21" s="1" t="s">
        <v>126</v>
      </c>
      <c r="C21" t="s">
        <v>127</v>
      </c>
      <c r="D21" t="s">
        <v>127</v>
      </c>
      <c r="E21">
        <f t="shared" ca="1" si="0"/>
        <v>274620816</v>
      </c>
    </row>
    <row r="22" spans="1:5">
      <c r="A22" t="s">
        <v>128</v>
      </c>
      <c r="B22" s="1" t="s">
        <v>129</v>
      </c>
      <c r="C22" t="s">
        <v>130</v>
      </c>
      <c r="D22" t="s">
        <v>130</v>
      </c>
      <c r="E22">
        <f t="shared" ca="1" si="0"/>
        <v>59809078</v>
      </c>
    </row>
    <row r="23" spans="1:5">
      <c r="A23" t="s">
        <v>132</v>
      </c>
      <c r="B23" s="1" t="s">
        <v>133</v>
      </c>
      <c r="C23" t="s">
        <v>134</v>
      </c>
      <c r="D23" t="s">
        <v>134</v>
      </c>
      <c r="E23">
        <f t="shared" ca="1" si="0"/>
        <v>131805484</v>
      </c>
    </row>
    <row r="24" spans="1:5">
      <c r="A24" t="s">
        <v>135</v>
      </c>
      <c r="B24" s="1" t="s">
        <v>136</v>
      </c>
      <c r="C24" t="s">
        <v>137</v>
      </c>
      <c r="D24" t="s">
        <v>137</v>
      </c>
      <c r="E24">
        <f t="shared" ca="1" si="0"/>
        <v>212026470</v>
      </c>
    </row>
    <row r="25" spans="1:5">
      <c r="A25" t="s">
        <v>140</v>
      </c>
      <c r="B25" s="1" t="s">
        <v>141</v>
      </c>
      <c r="C25" t="s">
        <v>142</v>
      </c>
      <c r="D25" t="s">
        <v>142</v>
      </c>
      <c r="E25">
        <f t="shared" ca="1" si="0"/>
        <v>162776151</v>
      </c>
    </row>
    <row r="26" spans="1:5">
      <c r="A26" t="s">
        <v>143</v>
      </c>
      <c r="B26" s="1" t="s">
        <v>144</v>
      </c>
      <c r="C26" t="s">
        <v>145</v>
      </c>
      <c r="D26" t="s">
        <v>145</v>
      </c>
      <c r="E26">
        <f t="shared" ca="1" si="0"/>
        <v>62624712</v>
      </c>
    </row>
    <row r="27" spans="1:5">
      <c r="A27" t="s">
        <v>146</v>
      </c>
      <c r="B27" s="1" t="s">
        <v>147</v>
      </c>
      <c r="C27" t="s">
        <v>148</v>
      </c>
      <c r="D27" t="s">
        <v>148</v>
      </c>
      <c r="E27">
        <f t="shared" ca="1" si="0"/>
        <v>161494798</v>
      </c>
    </row>
    <row r="28" spans="1:5">
      <c r="A28" t="s">
        <v>149</v>
      </c>
      <c r="B28" s="1" t="s">
        <v>150</v>
      </c>
      <c r="C28" t="s">
        <v>151</v>
      </c>
      <c r="D28" t="s">
        <v>151</v>
      </c>
      <c r="E28">
        <f t="shared" ca="1" si="0"/>
        <v>173369745</v>
      </c>
    </row>
    <row r="29" spans="1:5">
      <c r="A29" t="s">
        <v>152</v>
      </c>
      <c r="B29" s="1" t="s">
        <v>153</v>
      </c>
      <c r="C29" t="s">
        <v>154</v>
      </c>
      <c r="D29" t="s">
        <v>154</v>
      </c>
      <c r="E29">
        <f t="shared" ca="1" si="0"/>
        <v>127169224</v>
      </c>
    </row>
    <row r="30" spans="1:5">
      <c r="A30" t="s">
        <v>156</v>
      </c>
      <c r="B30" s="1" t="s">
        <v>157</v>
      </c>
      <c r="C30" t="s">
        <v>158</v>
      </c>
      <c r="D30" t="s">
        <v>158</v>
      </c>
      <c r="E30">
        <f t="shared" ca="1" si="0"/>
        <v>203583878</v>
      </c>
    </row>
    <row r="31" spans="1:5">
      <c r="A31" t="s">
        <v>159</v>
      </c>
      <c r="B31" s="1" t="s">
        <v>160</v>
      </c>
      <c r="C31" t="s">
        <v>161</v>
      </c>
      <c r="D31" t="s">
        <v>161</v>
      </c>
      <c r="E31">
        <f t="shared" ca="1" si="0"/>
        <v>240626142</v>
      </c>
    </row>
    <row r="32" spans="1:5">
      <c r="A32" t="s">
        <v>163</v>
      </c>
      <c r="B32" s="1" t="s">
        <v>164</v>
      </c>
      <c r="C32" t="s">
        <v>165</v>
      </c>
      <c r="D32" t="s">
        <v>165</v>
      </c>
      <c r="E32">
        <f t="shared" ca="1" si="0"/>
        <v>214749296</v>
      </c>
    </row>
    <row r="33" spans="1:5">
      <c r="A33" t="s">
        <v>167</v>
      </c>
      <c r="B33" s="1" t="s">
        <v>168</v>
      </c>
      <c r="C33" t="s">
        <v>169</v>
      </c>
      <c r="D33" t="s">
        <v>169</v>
      </c>
      <c r="E33">
        <f t="shared" ca="1" si="0"/>
        <v>110821801</v>
      </c>
    </row>
    <row r="34" spans="1:5">
      <c r="A34" t="s">
        <v>171</v>
      </c>
      <c r="B34" s="1" t="s">
        <v>172</v>
      </c>
      <c r="C34" t="s">
        <v>173</v>
      </c>
      <c r="D34" t="s">
        <v>173</v>
      </c>
      <c r="E34">
        <f t="shared" ref="E34:E65" ca="1" si="1">RANDBETWEEN(50000,250000)*RANDBETWEEN(600,1200)</f>
        <v>138920731</v>
      </c>
    </row>
    <row r="35" spans="1:5">
      <c r="A35" t="s">
        <v>175</v>
      </c>
      <c r="B35" s="1" t="s">
        <v>176</v>
      </c>
      <c r="C35" t="s">
        <v>177</v>
      </c>
      <c r="D35" t="s">
        <v>177</v>
      </c>
      <c r="E35">
        <f t="shared" ca="1" si="1"/>
        <v>55410711</v>
      </c>
    </row>
    <row r="36" spans="1:5">
      <c r="A36" t="s">
        <v>178</v>
      </c>
      <c r="B36" s="1" t="s">
        <v>179</v>
      </c>
      <c r="C36" t="s">
        <v>180</v>
      </c>
      <c r="D36" t="s">
        <v>180</v>
      </c>
      <c r="E36">
        <f t="shared" ca="1" si="1"/>
        <v>69536610</v>
      </c>
    </row>
    <row r="37" spans="1:5">
      <c r="A37" t="s">
        <v>182</v>
      </c>
      <c r="B37" s="1" t="s">
        <v>183</v>
      </c>
      <c r="C37" t="s">
        <v>184</v>
      </c>
      <c r="D37" t="s">
        <v>184</v>
      </c>
      <c r="E37">
        <f t="shared" ca="1" si="1"/>
        <v>100306472</v>
      </c>
    </row>
    <row r="38" spans="1:5">
      <c r="A38" t="s">
        <v>186</v>
      </c>
      <c r="B38" s="1" t="s">
        <v>187</v>
      </c>
      <c r="C38" t="s">
        <v>188</v>
      </c>
      <c r="D38" t="s">
        <v>188</v>
      </c>
      <c r="E38">
        <f t="shared" ca="1" si="1"/>
        <v>117159490</v>
      </c>
    </row>
    <row r="39" spans="1:5">
      <c r="A39" t="s">
        <v>206</v>
      </c>
      <c r="B39" s="1" t="s">
        <v>207</v>
      </c>
      <c r="C39" t="s">
        <v>208</v>
      </c>
      <c r="D39" t="s">
        <v>208</v>
      </c>
      <c r="E39">
        <f t="shared" ca="1" si="1"/>
        <v>274938136</v>
      </c>
    </row>
    <row r="40" spans="1:5">
      <c r="A40" t="s">
        <v>189</v>
      </c>
      <c r="B40" s="1" t="s">
        <v>190</v>
      </c>
      <c r="C40" t="s">
        <v>191</v>
      </c>
      <c r="D40" t="s">
        <v>191</v>
      </c>
      <c r="E40">
        <f t="shared" ca="1" si="1"/>
        <v>112182954</v>
      </c>
    </row>
    <row r="41" spans="1:5">
      <c r="A41" t="s">
        <v>192</v>
      </c>
      <c r="B41" s="1" t="s">
        <v>193</v>
      </c>
      <c r="C41" t="s">
        <v>194</v>
      </c>
      <c r="D41" t="s">
        <v>194</v>
      </c>
      <c r="E41">
        <f t="shared" ca="1" si="1"/>
        <v>172207425</v>
      </c>
    </row>
    <row r="42" spans="1:5">
      <c r="A42" t="s">
        <v>195</v>
      </c>
      <c r="B42" s="1" t="s">
        <v>196</v>
      </c>
      <c r="C42" t="s">
        <v>197</v>
      </c>
      <c r="D42" t="s">
        <v>197</v>
      </c>
      <c r="E42">
        <f t="shared" ca="1" si="1"/>
        <v>242310332</v>
      </c>
    </row>
    <row r="43" spans="1:5">
      <c r="A43" t="s">
        <v>200</v>
      </c>
      <c r="B43" s="1" t="s">
        <v>201</v>
      </c>
      <c r="C43" t="s">
        <v>202</v>
      </c>
      <c r="D43" t="s">
        <v>202</v>
      </c>
      <c r="E43">
        <f t="shared" ca="1" si="1"/>
        <v>186376881</v>
      </c>
    </row>
    <row r="44" spans="1:5">
      <c r="A44" t="s">
        <v>203</v>
      </c>
      <c r="B44" s="1" t="s">
        <v>204</v>
      </c>
      <c r="C44" t="s">
        <v>205</v>
      </c>
      <c r="D44" t="s">
        <v>205</v>
      </c>
      <c r="E44">
        <f t="shared" ca="1" si="1"/>
        <v>113699256</v>
      </c>
    </row>
    <row r="45" spans="1:5">
      <c r="A45" t="s">
        <v>209</v>
      </c>
      <c r="B45" s="1" t="s">
        <v>210</v>
      </c>
      <c r="C45" t="s">
        <v>211</v>
      </c>
      <c r="D45" t="s">
        <v>211</v>
      </c>
      <c r="E45">
        <f t="shared" ca="1" si="1"/>
        <v>97205480</v>
      </c>
    </row>
    <row r="46" spans="1:5">
      <c r="A46" t="s">
        <v>212</v>
      </c>
      <c r="B46" s="1" t="s">
        <v>213</v>
      </c>
      <c r="C46" t="s">
        <v>214</v>
      </c>
      <c r="D46" t="s">
        <v>214</v>
      </c>
      <c r="E46">
        <f t="shared" ca="1" si="1"/>
        <v>71120907</v>
      </c>
    </row>
    <row r="47" spans="1:5">
      <c r="A47" t="s">
        <v>215</v>
      </c>
      <c r="B47" s="1" t="s">
        <v>216</v>
      </c>
      <c r="C47" t="s">
        <v>217</v>
      </c>
      <c r="D47" t="s">
        <v>217</v>
      </c>
      <c r="E47">
        <f t="shared" ca="1" si="1"/>
        <v>180893430</v>
      </c>
    </row>
    <row r="48" spans="1:5">
      <c r="A48" t="s">
        <v>220</v>
      </c>
      <c r="B48" s="1" t="s">
        <v>221</v>
      </c>
      <c r="C48" t="s">
        <v>222</v>
      </c>
      <c r="D48" t="s">
        <v>222</v>
      </c>
      <c r="E48">
        <f t="shared" ca="1" si="1"/>
        <v>151184469</v>
      </c>
    </row>
    <row r="49" spans="1:5">
      <c r="A49" t="s">
        <v>223</v>
      </c>
      <c r="B49" s="1" t="s">
        <v>224</v>
      </c>
      <c r="C49" t="s">
        <v>225</v>
      </c>
      <c r="D49" t="s">
        <v>225</v>
      </c>
      <c r="E49">
        <f t="shared" ca="1" si="1"/>
        <v>95149125</v>
      </c>
    </row>
    <row r="50" spans="1:5">
      <c r="A50" t="s">
        <v>226</v>
      </c>
      <c r="B50" s="1" t="s">
        <v>227</v>
      </c>
      <c r="C50" t="s">
        <v>228</v>
      </c>
      <c r="D50" t="s">
        <v>228</v>
      </c>
      <c r="E50">
        <f t="shared" ca="1" si="1"/>
        <v>139338738</v>
      </c>
    </row>
    <row r="51" spans="1:5">
      <c r="A51" t="s">
        <v>230</v>
      </c>
      <c r="B51" s="1" t="s">
        <v>231</v>
      </c>
      <c r="C51" t="s">
        <v>232</v>
      </c>
      <c r="D51" t="s">
        <v>232</v>
      </c>
      <c r="E51">
        <f t="shared" ca="1" si="1"/>
        <v>85970364</v>
      </c>
    </row>
    <row r="52" spans="1:5">
      <c r="A52" t="s">
        <v>233</v>
      </c>
      <c r="B52" s="1" t="s">
        <v>234</v>
      </c>
      <c r="C52" t="s">
        <v>235</v>
      </c>
      <c r="D52" t="s">
        <v>235</v>
      </c>
      <c r="E52">
        <f t="shared" ca="1" si="1"/>
        <v>60470766</v>
      </c>
    </row>
    <row r="53" spans="1:5">
      <c r="A53" t="s">
        <v>236</v>
      </c>
      <c r="B53" s="1" t="s">
        <v>237</v>
      </c>
      <c r="C53" t="s">
        <v>238</v>
      </c>
      <c r="D53" t="s">
        <v>238</v>
      </c>
      <c r="E53">
        <f t="shared" ca="1" si="1"/>
        <v>132179213</v>
      </c>
    </row>
    <row r="54" spans="1:5">
      <c r="A54" t="s">
        <v>239</v>
      </c>
      <c r="B54" s="1" t="s">
        <v>240</v>
      </c>
      <c r="C54" t="s">
        <v>241</v>
      </c>
      <c r="D54" t="s">
        <v>241</v>
      </c>
      <c r="E54">
        <f t="shared" ca="1" si="1"/>
        <v>57905848</v>
      </c>
    </row>
    <row r="55" spans="1:5">
      <c r="A55" t="s">
        <v>242</v>
      </c>
      <c r="B55" s="1" t="s">
        <v>243</v>
      </c>
      <c r="C55" t="s">
        <v>244</v>
      </c>
      <c r="D55" t="s">
        <v>244</v>
      </c>
      <c r="E55">
        <f t="shared" ca="1" si="1"/>
        <v>101584704</v>
      </c>
    </row>
    <row r="56" spans="1:5">
      <c r="A56" t="s">
        <v>246</v>
      </c>
      <c r="B56" s="1" t="s">
        <v>247</v>
      </c>
      <c r="C56" t="s">
        <v>248</v>
      </c>
      <c r="D56" t="s">
        <v>248</v>
      </c>
      <c r="E56">
        <f t="shared" ca="1" si="1"/>
        <v>218380030</v>
      </c>
    </row>
    <row r="57" spans="1:5">
      <c r="A57" t="s">
        <v>249</v>
      </c>
      <c r="B57" s="1" t="s">
        <v>250</v>
      </c>
      <c r="C57" t="s">
        <v>251</v>
      </c>
      <c r="D57" t="s">
        <v>251</v>
      </c>
      <c r="E57">
        <f t="shared" ca="1" si="1"/>
        <v>93590588</v>
      </c>
    </row>
    <row r="58" spans="1:5">
      <c r="A58" t="s">
        <v>253</v>
      </c>
      <c r="B58" s="1" t="s">
        <v>254</v>
      </c>
      <c r="C58" t="s">
        <v>255</v>
      </c>
      <c r="D58" t="s">
        <v>255</v>
      </c>
      <c r="E58">
        <f t="shared" ca="1" si="1"/>
        <v>114619348</v>
      </c>
    </row>
    <row r="59" spans="1:5">
      <c r="A59" t="s">
        <v>257</v>
      </c>
      <c r="B59" s="1" t="s">
        <v>258</v>
      </c>
      <c r="C59" t="s">
        <v>259</v>
      </c>
      <c r="D59" t="s">
        <v>259</v>
      </c>
      <c r="E59">
        <f t="shared" ca="1" si="1"/>
        <v>164063146</v>
      </c>
    </row>
    <row r="60" spans="1:5">
      <c r="A60" t="s">
        <v>261</v>
      </c>
      <c r="B60" s="1" t="s">
        <v>262</v>
      </c>
      <c r="C60" t="s">
        <v>263</v>
      </c>
      <c r="D60" t="s">
        <v>263</v>
      </c>
      <c r="E60">
        <f t="shared" ca="1" si="1"/>
        <v>211670760</v>
      </c>
    </row>
    <row r="61" spans="1:5">
      <c r="A61" t="s">
        <v>264</v>
      </c>
      <c r="B61" s="1" t="s">
        <v>265</v>
      </c>
      <c r="C61" t="s">
        <v>266</v>
      </c>
      <c r="D61" t="s">
        <v>266</v>
      </c>
      <c r="E61">
        <f t="shared" ca="1" si="1"/>
        <v>184657176</v>
      </c>
    </row>
    <row r="62" spans="1:5">
      <c r="A62" t="s">
        <v>267</v>
      </c>
      <c r="B62" s="1" t="s">
        <v>268</v>
      </c>
      <c r="C62" t="s">
        <v>269</v>
      </c>
      <c r="D62" t="s">
        <v>269</v>
      </c>
      <c r="E62">
        <f t="shared" ca="1" si="1"/>
        <v>147247830</v>
      </c>
    </row>
    <row r="63" spans="1:5">
      <c r="A63" t="s">
        <v>270</v>
      </c>
      <c r="B63" s="1" t="s">
        <v>271</v>
      </c>
      <c r="C63" t="s">
        <v>272</v>
      </c>
      <c r="D63" t="s">
        <v>272</v>
      </c>
      <c r="E63">
        <f t="shared" ca="1" si="1"/>
        <v>220557760</v>
      </c>
    </row>
    <row r="64" spans="1:5">
      <c r="A64" t="s">
        <v>274</v>
      </c>
      <c r="B64" s="1" t="s">
        <v>275</v>
      </c>
      <c r="C64" t="s">
        <v>276</v>
      </c>
      <c r="D64" t="s">
        <v>276</v>
      </c>
      <c r="E64">
        <f t="shared" ca="1" si="1"/>
        <v>141924528</v>
      </c>
    </row>
    <row r="65" spans="1:5">
      <c r="A65" t="s">
        <v>277</v>
      </c>
      <c r="B65" s="1" t="s">
        <v>278</v>
      </c>
      <c r="C65" t="s">
        <v>279</v>
      </c>
      <c r="D65" t="s">
        <v>279</v>
      </c>
      <c r="E65">
        <f t="shared" ca="1" si="1"/>
        <v>194417832</v>
      </c>
    </row>
    <row r="66" spans="1:5">
      <c r="A66" t="s">
        <v>280</v>
      </c>
      <c r="B66" s="1" t="s">
        <v>281</v>
      </c>
      <c r="C66" t="s">
        <v>282</v>
      </c>
      <c r="D66" t="s">
        <v>282</v>
      </c>
      <c r="E66">
        <f t="shared" ref="E66:E77" ca="1" si="2">RANDBETWEEN(50000,250000)*RANDBETWEEN(600,1200)</f>
        <v>69406302</v>
      </c>
    </row>
    <row r="67" spans="1:5">
      <c r="A67" t="s">
        <v>283</v>
      </c>
      <c r="B67" s="1" t="s">
        <v>284</v>
      </c>
      <c r="C67" t="s">
        <v>285</v>
      </c>
      <c r="D67" t="s">
        <v>285</v>
      </c>
      <c r="E67">
        <f t="shared" ca="1" si="2"/>
        <v>94608600</v>
      </c>
    </row>
    <row r="68" spans="1:5">
      <c r="A68" t="s">
        <v>286</v>
      </c>
      <c r="B68" s="1" t="s">
        <v>287</v>
      </c>
      <c r="C68" t="s">
        <v>288</v>
      </c>
      <c r="D68" t="s">
        <v>288</v>
      </c>
      <c r="E68">
        <f t="shared" ca="1" si="2"/>
        <v>119224518</v>
      </c>
    </row>
    <row r="69" spans="1:5">
      <c r="A69" t="s">
        <v>290</v>
      </c>
      <c r="B69" s="1" t="s">
        <v>291</v>
      </c>
      <c r="C69" t="s">
        <v>292</v>
      </c>
      <c r="D69" t="s">
        <v>292</v>
      </c>
      <c r="E69">
        <f t="shared" ca="1" si="2"/>
        <v>85355440</v>
      </c>
    </row>
    <row r="70" spans="1:5">
      <c r="A70" t="s">
        <v>293</v>
      </c>
      <c r="B70" s="1" t="s">
        <v>294</v>
      </c>
      <c r="C70" t="s">
        <v>295</v>
      </c>
      <c r="D70" t="s">
        <v>295</v>
      </c>
      <c r="E70">
        <f t="shared" ca="1" si="2"/>
        <v>34589690</v>
      </c>
    </row>
    <row r="71" spans="1:5">
      <c r="A71" t="s">
        <v>297</v>
      </c>
      <c r="B71" s="1" t="s">
        <v>298</v>
      </c>
      <c r="C71" t="s">
        <v>299</v>
      </c>
      <c r="D71" t="s">
        <v>299</v>
      </c>
      <c r="E71">
        <f t="shared" ca="1" si="2"/>
        <v>72822105</v>
      </c>
    </row>
    <row r="72" spans="1:5">
      <c r="A72" t="s">
        <v>300</v>
      </c>
      <c r="B72" s="1" t="s">
        <v>301</v>
      </c>
      <c r="C72" t="s">
        <v>302</v>
      </c>
      <c r="D72" t="s">
        <v>302</v>
      </c>
      <c r="E72">
        <f t="shared" ca="1" si="2"/>
        <v>163476992</v>
      </c>
    </row>
    <row r="73" spans="1:5">
      <c r="A73" t="s">
        <v>303</v>
      </c>
      <c r="B73" s="1" t="s">
        <v>304</v>
      </c>
      <c r="C73" t="s">
        <v>305</v>
      </c>
      <c r="D73" t="s">
        <v>305</v>
      </c>
      <c r="E73">
        <f t="shared" ca="1" si="2"/>
        <v>57918536</v>
      </c>
    </row>
    <row r="74" spans="1:5">
      <c r="A74" t="s">
        <v>306</v>
      </c>
      <c r="B74" s="1" t="s">
        <v>307</v>
      </c>
      <c r="C74" t="s">
        <v>308</v>
      </c>
      <c r="D74" t="s">
        <v>308</v>
      </c>
      <c r="E74">
        <f t="shared" ca="1" si="2"/>
        <v>74036436</v>
      </c>
    </row>
    <row r="75" spans="1:5">
      <c r="A75" t="s">
        <v>309</v>
      </c>
      <c r="B75" s="1" t="s">
        <v>310</v>
      </c>
      <c r="C75" t="s">
        <v>311</v>
      </c>
      <c r="D75" t="s">
        <v>311</v>
      </c>
      <c r="E75">
        <f t="shared" ca="1" si="2"/>
        <v>74642400</v>
      </c>
    </row>
    <row r="76" spans="1:5">
      <c r="A76" t="s">
        <v>312</v>
      </c>
      <c r="B76" s="1" t="s">
        <v>313</v>
      </c>
      <c r="C76" t="s">
        <v>314</v>
      </c>
      <c r="D76" t="s">
        <v>314</v>
      </c>
      <c r="E76">
        <f t="shared" ca="1" si="2"/>
        <v>248238144</v>
      </c>
    </row>
    <row r="77" spans="1:5">
      <c r="A77" t="s">
        <v>316</v>
      </c>
      <c r="B77" s="1" t="s">
        <v>317</v>
      </c>
      <c r="C77" t="s">
        <v>318</v>
      </c>
      <c r="D77" t="s">
        <v>318</v>
      </c>
      <c r="E77">
        <f t="shared" ca="1" si="2"/>
        <v>136026150</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2022-12-14T15:12:46Z</dcterms:modified>
  <dc:language>en-US</dc:language>
</cp:coreProperties>
</file>