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07"/>
  <workbookPr defaultThemeVersion="166925"/>
  <mc:AlternateContent xmlns:mc="http://schemas.openxmlformats.org/markup-compatibility/2006">
    <mc:Choice Requires="x15">
      <x15ac:absPath xmlns:x15ac="http://schemas.microsoft.com/office/spreadsheetml/2010/11/ac" url="/Users/michael/Dropbox/My Mac (MacBook-Pro.local)/Documents/GitHub/MichaelTiemannOSC/ITR/examples/data/"/>
    </mc:Choice>
  </mc:AlternateContent>
  <xr:revisionPtr revIDLastSave="0" documentId="13_ncr:1_{CB80E614-3251-F640-87B1-376F431FF9A0}" xr6:coauthVersionLast="47" xr6:coauthVersionMax="47" xr10:uidLastSave="{00000000-0000-0000-0000-000000000000}"/>
  <bookViews>
    <workbookView xWindow="0" yWindow="500" windowWidth="35840" windowHeight="20260" tabRatio="500" activeTab="1" xr2:uid="{00000000-000D-0000-FFFF-FFFF00000000}"/>
  </bookViews>
  <sheets>
    <sheet name="Read me " sheetId="1" r:id="rId1"/>
    <sheet name="ITR V2 input data" sheetId="7" r:id="rId2"/>
    <sheet name="ITR V2 esg data" sheetId="8" r:id="rId3"/>
    <sheet name="ITR input data" sheetId="2" r:id="rId4"/>
    <sheet name="ITR target input data" sheetId="3" r:id="rId5"/>
    <sheet name="Definitions" sheetId="4" r:id="rId6"/>
    <sheet name="Portfolio" sheetId="5" r:id="rId7"/>
    <sheet name="User Notes" sheetId="6" r:id="rId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111" i="8" l="1"/>
  <c r="L111" i="8"/>
  <c r="L98" i="8"/>
  <c r="K111" i="8"/>
  <c r="J111" i="8"/>
  <c r="I111" i="8"/>
  <c r="K98" i="8"/>
  <c r="J98" i="8"/>
  <c r="I98" i="8"/>
  <c r="H98" i="8"/>
  <c r="K85" i="8"/>
  <c r="J85" i="8"/>
  <c r="I85" i="8"/>
  <c r="H85" i="8"/>
  <c r="K94" i="8"/>
  <c r="J94" i="8"/>
  <c r="I94" i="8"/>
  <c r="H94" i="8"/>
  <c r="M120" i="8"/>
  <c r="L120" i="8"/>
  <c r="K120" i="8"/>
  <c r="J120" i="8"/>
  <c r="I120" i="8"/>
  <c r="L107" i="8"/>
  <c r="K107" i="8"/>
  <c r="J107" i="8"/>
  <c r="I107" i="8"/>
  <c r="H107" i="8"/>
  <c r="J6" i="8" l="1"/>
  <c r="I6" i="8"/>
  <c r="H6" i="8"/>
  <c r="J5" i="8"/>
  <c r="I5" i="8"/>
  <c r="H5" i="8"/>
  <c r="K15" i="8"/>
  <c r="J15" i="8"/>
  <c r="I15" i="8"/>
  <c r="H15" i="8"/>
  <c r="K14" i="8"/>
  <c r="J14" i="8"/>
  <c r="I14" i="8"/>
  <c r="H14" i="8"/>
  <c r="L24" i="8"/>
  <c r="K24" i="8"/>
  <c r="J24" i="8"/>
  <c r="I24" i="8"/>
  <c r="E77" i="5"/>
  <c r="E76" i="5"/>
  <c r="E75" i="5"/>
  <c r="E74" i="5"/>
  <c r="E73" i="5"/>
  <c r="E72" i="5"/>
  <c r="E71" i="5"/>
  <c r="E70" i="5"/>
  <c r="E69" i="5"/>
  <c r="E68" i="5"/>
  <c r="E67" i="5"/>
  <c r="E66" i="5"/>
  <c r="E65" i="5"/>
  <c r="E64" i="5"/>
  <c r="E63" i="5"/>
  <c r="E62" i="5"/>
  <c r="E61" i="5"/>
  <c r="E60" i="5"/>
  <c r="E59" i="5"/>
  <c r="E58" i="5"/>
  <c r="E57" i="5"/>
  <c r="E56" i="5"/>
  <c r="E55" i="5"/>
  <c r="E54" i="5"/>
  <c r="E53" i="5"/>
  <c r="E52" i="5"/>
  <c r="E51" i="5"/>
  <c r="E50" i="5"/>
  <c r="E49" i="5"/>
  <c r="E48" i="5"/>
  <c r="E47" i="5"/>
  <c r="E46" i="5"/>
  <c r="E45" i="5"/>
  <c r="E44" i="5"/>
  <c r="E43" i="5"/>
  <c r="E42" i="5"/>
  <c r="E41" i="5"/>
  <c r="E40" i="5"/>
  <c r="E39" i="5"/>
  <c r="E38" i="5"/>
  <c r="E37" i="5"/>
  <c r="E36" i="5"/>
  <c r="E35" i="5"/>
  <c r="E34" i="5"/>
  <c r="E33" i="5"/>
  <c r="E32" i="5"/>
  <c r="E31" i="5"/>
  <c r="E30" i="5"/>
  <c r="E29" i="5"/>
  <c r="E28" i="5"/>
  <c r="E27" i="5"/>
  <c r="E26" i="5"/>
  <c r="E25" i="5"/>
  <c r="E24" i="5"/>
  <c r="E23" i="5"/>
  <c r="E22" i="5"/>
  <c r="E21" i="5"/>
  <c r="E20" i="5"/>
  <c r="E19" i="5"/>
  <c r="E18" i="5"/>
  <c r="E17" i="5"/>
  <c r="E16" i="5"/>
  <c r="E15" i="5"/>
  <c r="E14" i="5"/>
  <c r="E13" i="5"/>
  <c r="E12" i="5"/>
  <c r="E11" i="5"/>
  <c r="E10" i="5"/>
  <c r="E9" i="5"/>
  <c r="E8" i="5"/>
  <c r="E7" i="5"/>
  <c r="E6" i="5"/>
  <c r="E5" i="5"/>
  <c r="E4" i="5"/>
  <c r="E3" i="5"/>
  <c r="E2" i="5"/>
  <c r="J110" i="3"/>
  <c r="M101" i="3"/>
  <c r="J95" i="3"/>
  <c r="J94" i="3"/>
  <c r="M86" i="3"/>
  <c r="M85" i="3"/>
  <c r="M84" i="3"/>
  <c r="M83" i="3"/>
  <c r="M81" i="3"/>
  <c r="M80" i="3"/>
  <c r="M79" i="3"/>
  <c r="M77" i="3"/>
  <c r="J70" i="3"/>
  <c r="J69" i="3"/>
  <c r="M63" i="3"/>
  <c r="J62" i="3"/>
  <c r="J55" i="3"/>
  <c r="J53" i="3"/>
  <c r="J52" i="3"/>
  <c r="J51" i="3"/>
  <c r="M48" i="3"/>
  <c r="J19" i="3"/>
  <c r="M18" i="3"/>
  <c r="J17" i="3"/>
  <c r="J16" i="3"/>
  <c r="J6" i="3"/>
  <c r="AK77" i="2"/>
  <c r="AJ77" i="2"/>
  <c r="AI77" i="2"/>
  <c r="AH77" i="2"/>
  <c r="AG77" i="2"/>
  <c r="AF77" i="2"/>
  <c r="AE77" i="2"/>
  <c r="M77" i="2"/>
  <c r="AK76" i="2"/>
  <c r="AJ76" i="2"/>
  <c r="AI76" i="2"/>
  <c r="AH76" i="2"/>
  <c r="AG76" i="2"/>
  <c r="AF76" i="2"/>
  <c r="AE76" i="2"/>
  <c r="M76" i="2"/>
  <c r="AK75" i="2"/>
  <c r="AJ75" i="2"/>
  <c r="AI75" i="2"/>
  <c r="AH75" i="2"/>
  <c r="AG75" i="2"/>
  <c r="AF75" i="2"/>
  <c r="AE75" i="2"/>
  <c r="AK73" i="2"/>
  <c r="AJ73" i="2"/>
  <c r="AI73" i="2"/>
  <c r="AH73" i="2"/>
  <c r="AG73" i="2"/>
  <c r="AF73" i="2"/>
  <c r="AE73" i="2"/>
  <c r="AW72" i="2"/>
  <c r="AV72" i="2"/>
  <c r="AQ72" i="2"/>
  <c r="AO72" i="2"/>
  <c r="AK72" i="2"/>
  <c r="AJ72" i="2"/>
  <c r="AI72" i="2"/>
  <c r="AH72" i="2"/>
  <c r="AG72" i="2"/>
  <c r="AF72" i="2"/>
  <c r="AE72" i="2"/>
  <c r="V72" i="2"/>
  <c r="U72" i="2"/>
  <c r="T72" i="2"/>
  <c r="M72" i="2"/>
  <c r="AK71" i="2"/>
  <c r="AJ71" i="2"/>
  <c r="AI71" i="2"/>
  <c r="AH71" i="2"/>
  <c r="AG71" i="2"/>
  <c r="AF71" i="2"/>
  <c r="AE71" i="2"/>
  <c r="M71" i="2"/>
  <c r="J71" i="2"/>
  <c r="AK70" i="2"/>
  <c r="AJ70" i="2"/>
  <c r="AI70" i="2"/>
  <c r="AH70" i="2"/>
  <c r="AG70" i="2"/>
  <c r="AF70" i="2"/>
  <c r="AE70" i="2"/>
  <c r="M70" i="2"/>
  <c r="L70" i="2"/>
  <c r="L71" i="2" s="1"/>
  <c r="AW68" i="2"/>
  <c r="AV68" i="2"/>
  <c r="AU68" i="2"/>
  <c r="AQ68" i="2"/>
  <c r="AX68" i="2" s="1"/>
  <c r="AK68" i="2"/>
  <c r="AJ68" i="2"/>
  <c r="AI68" i="2"/>
  <c r="AH68" i="2"/>
  <c r="AG68" i="2"/>
  <c r="AF68" i="2"/>
  <c r="AE68" i="2"/>
  <c r="M68" i="2"/>
  <c r="AT66" i="2"/>
  <c r="AU66" i="2" s="1"/>
  <c r="AV66" i="2" s="1"/>
  <c r="AW66" i="2" s="1"/>
  <c r="AX66" i="2" s="1"/>
  <c r="AQ66" i="2"/>
  <c r="AP66" i="2"/>
  <c r="AO66" i="2"/>
  <c r="AN66" i="2"/>
  <c r="AM66" i="2"/>
  <c r="AK66" i="2"/>
  <c r="AE66" i="2"/>
  <c r="AC66" i="2"/>
  <c r="AJ66" i="2" s="1"/>
  <c r="AB66" i="2"/>
  <c r="AI66" i="2" s="1"/>
  <c r="AA66" i="2"/>
  <c r="Z66" i="2"/>
  <c r="AG66" i="2" s="1"/>
  <c r="Y66" i="2"/>
  <c r="V66" i="2"/>
  <c r="U66" i="2"/>
  <c r="T66" i="2"/>
  <c r="AH66" i="2" s="1"/>
  <c r="S66" i="2"/>
  <c r="R66" i="2"/>
  <c r="AF66" i="2" s="1"/>
  <c r="M66" i="2"/>
  <c r="M65" i="2"/>
  <c r="L65" i="2"/>
  <c r="AK64" i="2"/>
  <c r="AJ64" i="2"/>
  <c r="AI64" i="2"/>
  <c r="AH64" i="2"/>
  <c r="AG64" i="2"/>
  <c r="AF64" i="2"/>
  <c r="AE64" i="2"/>
  <c r="N64" i="2"/>
  <c r="L64" i="2"/>
  <c r="M64" i="2" s="1"/>
  <c r="K64" i="2"/>
  <c r="M63" i="2"/>
  <c r="L63" i="2"/>
  <c r="AK62" i="2"/>
  <c r="AJ62" i="2"/>
  <c r="AI62" i="2"/>
  <c r="AH62" i="2"/>
  <c r="AG62" i="2"/>
  <c r="AF62" i="2"/>
  <c r="AE62" i="2"/>
  <c r="M62" i="2"/>
  <c r="L62" i="2"/>
  <c r="AK60" i="2"/>
  <c r="AJ60" i="2"/>
  <c r="AI60" i="2"/>
  <c r="AH60" i="2"/>
  <c r="AG60" i="2"/>
  <c r="AF60" i="2"/>
  <c r="AE60" i="2"/>
  <c r="AW59" i="2"/>
  <c r="AV59" i="2"/>
  <c r="AX59" i="2" s="1"/>
  <c r="AQ59" i="2"/>
  <c r="AP59" i="2"/>
  <c r="AO59" i="2"/>
  <c r="AN59" i="2"/>
  <c r="AU59" i="2" s="1"/>
  <c r="AM59" i="2"/>
  <c r="AT59" i="2" s="1"/>
  <c r="AE59" i="2"/>
  <c r="AB59" i="2"/>
  <c r="AC59" i="2" s="1"/>
  <c r="V59" i="2" s="1"/>
  <c r="AA59" i="2"/>
  <c r="Z59" i="2"/>
  <c r="AG59" i="2" s="1"/>
  <c r="Y59" i="2"/>
  <c r="AF59" i="2" s="1"/>
  <c r="U59" i="2"/>
  <c r="AI59" i="2" s="1"/>
  <c r="T59" i="2"/>
  <c r="AH59" i="2" s="1"/>
  <c r="S59" i="2"/>
  <c r="R59" i="2"/>
  <c r="N59" i="2"/>
  <c r="L59" i="2"/>
  <c r="M59" i="2" s="1"/>
  <c r="AQ58" i="2"/>
  <c r="AP58" i="2"/>
  <c r="AO58" i="2"/>
  <c r="AJ58" i="2"/>
  <c r="AI58" i="2"/>
  <c r="AH58" i="2"/>
  <c r="AG58" i="2"/>
  <c r="AF58" i="2"/>
  <c r="AE58" i="2"/>
  <c r="M58" i="2"/>
  <c r="AQ57" i="2"/>
  <c r="AP57" i="2"/>
  <c r="AO57" i="2"/>
  <c r="AN57" i="2"/>
  <c r="AM57" i="2"/>
  <c r="AL57" i="2"/>
  <c r="AJ57" i="2"/>
  <c r="AI57" i="2"/>
  <c r="AH57" i="2"/>
  <c r="AG57" i="2"/>
  <c r="AF57" i="2"/>
  <c r="AE57" i="2"/>
  <c r="M57" i="2"/>
  <c r="AK56" i="2"/>
  <c r="AJ56" i="2"/>
  <c r="AI56" i="2"/>
  <c r="AH56" i="2"/>
  <c r="AG56" i="2"/>
  <c r="AF56" i="2"/>
  <c r="AE56" i="2"/>
  <c r="AX55" i="2"/>
  <c r="AW55" i="2"/>
  <c r="AP55" i="2" s="1"/>
  <c r="AV55" i="2"/>
  <c r="AO55" i="2" s="1"/>
  <c r="AU55" i="2"/>
  <c r="AN55" i="2" s="1"/>
  <c r="AQ55" i="2"/>
  <c r="AK55" i="2"/>
  <c r="AJ55" i="2"/>
  <c r="AI55" i="2"/>
  <c r="AH55" i="2"/>
  <c r="AF55" i="2"/>
  <c r="AE55" i="2"/>
  <c r="Z55" i="2"/>
  <c r="S55" i="2"/>
  <c r="AG55" i="2" s="1"/>
  <c r="M55" i="2"/>
  <c r="AK54" i="2"/>
  <c r="AJ54" i="2"/>
  <c r="AI54" i="2"/>
  <c r="AH54" i="2"/>
  <c r="AG54" i="2"/>
  <c r="AF54" i="2"/>
  <c r="AE54" i="2"/>
  <c r="AK53" i="2"/>
  <c r="AJ53" i="2"/>
  <c r="AI53" i="2"/>
  <c r="AH53" i="2"/>
  <c r="AG53" i="2"/>
  <c r="AF53" i="2"/>
  <c r="AE53" i="2"/>
  <c r="AK52" i="2"/>
  <c r="AJ52" i="2"/>
  <c r="AI52" i="2"/>
  <c r="AH52" i="2"/>
  <c r="AG52" i="2"/>
  <c r="AF52" i="2"/>
  <c r="AE52" i="2"/>
  <c r="AK51" i="2"/>
  <c r="AJ51" i="2"/>
  <c r="AI51" i="2"/>
  <c r="AH51" i="2"/>
  <c r="AG51" i="2"/>
  <c r="AF51" i="2"/>
  <c r="AE51" i="2"/>
  <c r="M50" i="2"/>
  <c r="L50" i="2"/>
  <c r="AK49" i="2"/>
  <c r="AJ49" i="2"/>
  <c r="AI49" i="2"/>
  <c r="AH49" i="2"/>
  <c r="AG49" i="2"/>
  <c r="AF49" i="2"/>
  <c r="AE49" i="2"/>
  <c r="AK48" i="2"/>
  <c r="AJ48" i="2"/>
  <c r="AI48" i="2"/>
  <c r="AH48" i="2"/>
  <c r="AG48" i="2"/>
  <c r="AF48" i="2"/>
  <c r="AE48" i="2"/>
  <c r="AX47" i="2"/>
  <c r="AW47" i="2"/>
  <c r="AV47" i="2"/>
  <c r="AU47" i="2"/>
  <c r="AT47" i="2"/>
  <c r="N47" i="2"/>
  <c r="K47" i="2"/>
  <c r="AK46" i="2"/>
  <c r="AJ46" i="2"/>
  <c r="AI46" i="2"/>
  <c r="AH46" i="2"/>
  <c r="AG46" i="2"/>
  <c r="AF46" i="2"/>
  <c r="AE46" i="2"/>
  <c r="M46" i="2"/>
  <c r="AW45" i="2"/>
  <c r="AV45" i="2"/>
  <c r="AU45" i="2"/>
  <c r="AT45" i="2"/>
  <c r="AS45" i="2"/>
  <c r="AK45" i="2"/>
  <c r="AJ45" i="2"/>
  <c r="AI45" i="2"/>
  <c r="AH45" i="2"/>
  <c r="AG45" i="2"/>
  <c r="AF45" i="2"/>
  <c r="AE45" i="2"/>
  <c r="M45" i="2"/>
  <c r="L45" i="2"/>
  <c r="AK44" i="2"/>
  <c r="AJ44" i="2"/>
  <c r="AI44" i="2"/>
  <c r="AH44" i="2"/>
  <c r="AG44" i="2"/>
  <c r="AF44" i="2"/>
  <c r="AE44" i="2"/>
  <c r="AK43" i="2"/>
  <c r="AJ43" i="2"/>
  <c r="AI43" i="2"/>
  <c r="AH43" i="2"/>
  <c r="AG43" i="2"/>
  <c r="AF43" i="2"/>
  <c r="AE43" i="2"/>
  <c r="AK42" i="2"/>
  <c r="AJ42" i="2"/>
  <c r="AI42" i="2"/>
  <c r="AH42" i="2"/>
  <c r="AG42" i="2"/>
  <c r="AF42" i="2"/>
  <c r="AE42" i="2"/>
  <c r="N41" i="2"/>
  <c r="K41" i="2"/>
  <c r="J41" i="2"/>
  <c r="M41" i="2" s="1"/>
  <c r="L41" i="2" s="1"/>
  <c r="AK40" i="2"/>
  <c r="AJ40" i="2"/>
  <c r="AI40" i="2"/>
  <c r="AH40" i="2"/>
  <c r="AG40" i="2"/>
  <c r="AF40" i="2"/>
  <c r="AE40" i="2"/>
  <c r="AK39" i="2"/>
  <c r="AJ39" i="2"/>
  <c r="AI39" i="2"/>
  <c r="AH39" i="2"/>
  <c r="AG39" i="2"/>
  <c r="AF39" i="2"/>
  <c r="AE39" i="2"/>
  <c r="M39" i="2"/>
  <c r="L39" i="2"/>
  <c r="AK38" i="2"/>
  <c r="AJ38" i="2"/>
  <c r="AI38" i="2"/>
  <c r="AH38" i="2"/>
  <c r="AG38" i="2"/>
  <c r="AF38" i="2"/>
  <c r="AE38" i="2"/>
  <c r="AJ37" i="2"/>
  <c r="AI37" i="2"/>
  <c r="AH37" i="2"/>
  <c r="AG37" i="2"/>
  <c r="AF37" i="2"/>
  <c r="M37" i="2"/>
  <c r="AJ36" i="2"/>
  <c r="AI36" i="2"/>
  <c r="AH36" i="2"/>
  <c r="AG36" i="2"/>
  <c r="AF36" i="2"/>
  <c r="L36" i="2"/>
  <c r="M36" i="2" s="1"/>
  <c r="AK35" i="2"/>
  <c r="AJ35" i="2"/>
  <c r="AI35" i="2"/>
  <c r="AH35" i="2"/>
  <c r="AG35" i="2"/>
  <c r="AF35" i="2"/>
  <c r="AE35" i="2"/>
  <c r="AK34" i="2"/>
  <c r="AJ34" i="2"/>
  <c r="AI34" i="2"/>
  <c r="AH34" i="2"/>
  <c r="AG34" i="2"/>
  <c r="AF34" i="2"/>
  <c r="AE34" i="2"/>
  <c r="J34" i="2"/>
  <c r="M34" i="2" s="1"/>
  <c r="AX33" i="2"/>
  <c r="AW33" i="2"/>
  <c r="AV33" i="2"/>
  <c r="AK33" i="2"/>
  <c r="AJ33" i="2"/>
  <c r="AI33" i="2"/>
  <c r="AH33" i="2"/>
  <c r="AG33" i="2"/>
  <c r="AF33" i="2"/>
  <c r="AE33" i="2"/>
  <c r="M33" i="2"/>
  <c r="AW32" i="2"/>
  <c r="AV32" i="2"/>
  <c r="AU32" i="2"/>
  <c r="AT32" i="2"/>
  <c r="AS32" i="2"/>
  <c r="AK32" i="2"/>
  <c r="AJ32" i="2"/>
  <c r="AI32" i="2"/>
  <c r="AH32" i="2"/>
  <c r="Z32" i="2"/>
  <c r="AG32" i="2" s="1"/>
  <c r="Y32" i="2"/>
  <c r="AF32" i="2" s="1"/>
  <c r="X32" i="2"/>
  <c r="AE32" i="2" s="1"/>
  <c r="J32" i="2"/>
  <c r="M32" i="2" s="1"/>
  <c r="AX31" i="2"/>
  <c r="AW31" i="2"/>
  <c r="AV31" i="2"/>
  <c r="AK31" i="2"/>
  <c r="AJ31" i="2"/>
  <c r="AI31" i="2"/>
  <c r="AH31" i="2"/>
  <c r="AG31" i="2"/>
  <c r="AF31" i="2"/>
  <c r="AE31" i="2"/>
  <c r="M31" i="2"/>
  <c r="AK30" i="2"/>
  <c r="AJ30" i="2"/>
  <c r="AI30" i="2"/>
  <c r="AH30" i="2"/>
  <c r="AG30" i="2"/>
  <c r="AF30" i="2"/>
  <c r="AE30" i="2"/>
  <c r="AX29" i="2"/>
  <c r="AW29" i="2"/>
  <c r="AV29" i="2"/>
  <c r="AO29" i="2" s="1"/>
  <c r="AU29" i="2"/>
  <c r="AN29" i="2" s="1"/>
  <c r="AT29" i="2"/>
  <c r="AM29" i="2" s="1"/>
  <c r="AS29" i="2"/>
  <c r="AL29" i="2" s="1"/>
  <c r="AQ29" i="2"/>
  <c r="AP29" i="2"/>
  <c r="AK29" i="2"/>
  <c r="AJ29" i="2"/>
  <c r="AI29" i="2"/>
  <c r="AH29" i="2"/>
  <c r="AG29" i="2"/>
  <c r="AF29" i="2"/>
  <c r="AE29" i="2"/>
  <c r="M29" i="2"/>
  <c r="AV28" i="2"/>
  <c r="AU28" i="2"/>
  <c r="AT28" i="2"/>
  <c r="AK28" i="2"/>
  <c r="AJ28" i="2"/>
  <c r="AI28" i="2"/>
  <c r="AH28" i="2"/>
  <c r="AG28" i="2"/>
  <c r="AF28" i="2"/>
  <c r="AE28" i="2"/>
  <c r="AK27" i="2"/>
  <c r="AJ27" i="2"/>
  <c r="AI27" i="2"/>
  <c r="AH27" i="2"/>
  <c r="AG27" i="2"/>
  <c r="AF27" i="2"/>
  <c r="AE27" i="2"/>
  <c r="AK26" i="2"/>
  <c r="AJ26" i="2"/>
  <c r="AI26" i="2"/>
  <c r="AH26" i="2"/>
  <c r="AG26" i="2"/>
  <c r="AF26" i="2"/>
  <c r="AE26" i="2"/>
  <c r="AK25" i="2"/>
  <c r="AJ25" i="2"/>
  <c r="AI25" i="2"/>
  <c r="AH25" i="2"/>
  <c r="AG25" i="2"/>
  <c r="AF25" i="2"/>
  <c r="AE25" i="2"/>
  <c r="AI24" i="2"/>
  <c r="AH24" i="2"/>
  <c r="AG24" i="2"/>
  <c r="M24" i="2"/>
  <c r="AX23" i="2"/>
  <c r="AK23" i="2"/>
  <c r="AJ23" i="2"/>
  <c r="AI23" i="2"/>
  <c r="AW23" i="2" s="1"/>
  <c r="AH23" i="2"/>
  <c r="AV23" i="2" s="1"/>
  <c r="AG23" i="2"/>
  <c r="AU23" i="2" s="1"/>
  <c r="AF23" i="2"/>
  <c r="AT23" i="2" s="1"/>
  <c r="AE23" i="2"/>
  <c r="AS23" i="2" s="1"/>
  <c r="M23" i="2"/>
  <c r="AX22" i="2"/>
  <c r="AW22" i="2"/>
  <c r="AV22" i="2"/>
  <c r="AU22" i="2"/>
  <c r="AT22" i="2"/>
  <c r="AJ22" i="2"/>
  <c r="AI22" i="2"/>
  <c r="AH22" i="2"/>
  <c r="AG22" i="2"/>
  <c r="M22" i="2"/>
  <c r="L22" i="2" s="1"/>
  <c r="AK21" i="2"/>
  <c r="AJ21" i="2"/>
  <c r="AI21" i="2"/>
  <c r="AH21" i="2"/>
  <c r="AG21" i="2"/>
  <c r="AF21" i="2"/>
  <c r="AE21" i="2"/>
  <c r="AK20" i="2"/>
  <c r="AJ20" i="2"/>
  <c r="AI20" i="2"/>
  <c r="AH20" i="2"/>
  <c r="AG20" i="2"/>
  <c r="AF20" i="2"/>
  <c r="AE20" i="2"/>
  <c r="AX19" i="2"/>
  <c r="AW19" i="2"/>
  <c r="AV19" i="2"/>
  <c r="AK19" i="2"/>
  <c r="AG19" i="2"/>
  <c r="AF19" i="2"/>
  <c r="AE19" i="2"/>
  <c r="AC19" i="2"/>
  <c r="AB19" i="2"/>
  <c r="AI19" i="2" s="1"/>
  <c r="AA19" i="2"/>
  <c r="AH19" i="2" s="1"/>
  <c r="V19" i="2"/>
  <c r="AJ19" i="2" s="1"/>
  <c r="U19" i="2"/>
  <c r="T19" i="2"/>
  <c r="M19" i="2"/>
  <c r="AK18" i="2"/>
  <c r="AJ18" i="2"/>
  <c r="AI18" i="2"/>
  <c r="AH18" i="2"/>
  <c r="AG18" i="2"/>
  <c r="AF18" i="2"/>
  <c r="AE18" i="2"/>
  <c r="AK17" i="2"/>
  <c r="AJ17" i="2"/>
  <c r="AI17" i="2"/>
  <c r="AH17" i="2"/>
  <c r="AG17" i="2"/>
  <c r="AF17" i="2"/>
  <c r="AE17" i="2"/>
  <c r="M17" i="2"/>
  <c r="L17" i="2"/>
  <c r="J17" i="2"/>
  <c r="L16" i="2"/>
  <c r="AK15" i="2"/>
  <c r="AJ15" i="2"/>
  <c r="AI15" i="2"/>
  <c r="AH15" i="2"/>
  <c r="AG15" i="2"/>
  <c r="AF15" i="2"/>
  <c r="AE15" i="2"/>
  <c r="AV13" i="2"/>
  <c r="AU13" i="2"/>
  <c r="AT13" i="2"/>
  <c r="AJ13" i="2"/>
  <c r="AI13" i="2"/>
  <c r="AH13" i="2"/>
  <c r="AG13" i="2"/>
  <c r="AF13" i="2"/>
  <c r="AE13" i="2"/>
  <c r="M13" i="2"/>
  <c r="AJ12" i="2"/>
  <c r="AI12" i="2"/>
  <c r="AB12" i="2"/>
  <c r="AA12" i="2"/>
  <c r="AH12" i="2" s="1"/>
  <c r="Z12" i="2"/>
  <c r="AG12" i="2" s="1"/>
  <c r="Y12" i="2"/>
  <c r="AF12" i="2" s="1"/>
  <c r="X12" i="2"/>
  <c r="AE12" i="2" s="1"/>
  <c r="AQ11" i="2"/>
  <c r="AP11" i="2"/>
  <c r="AO11" i="2"/>
  <c r="AN11" i="2"/>
  <c r="AM11" i="2"/>
  <c r="AJ11" i="2"/>
  <c r="AI11" i="2"/>
  <c r="AH11" i="2"/>
  <c r="AG11" i="2"/>
  <c r="AF11" i="2"/>
  <c r="AE11" i="2"/>
  <c r="M11" i="2"/>
  <c r="AX10" i="2"/>
  <c r="AW10" i="2"/>
  <c r="AV10" i="2"/>
  <c r="AU10" i="2"/>
  <c r="AT10" i="2"/>
  <c r="AK10" i="2"/>
  <c r="AJ10" i="2"/>
  <c r="AI10" i="2"/>
  <c r="AH10" i="2"/>
  <c r="AG10" i="2"/>
  <c r="AF10" i="2"/>
  <c r="AE10" i="2"/>
  <c r="M10" i="2"/>
  <c r="AK9" i="2"/>
  <c r="AJ9" i="2"/>
  <c r="AI9" i="2"/>
  <c r="AH9" i="2"/>
  <c r="AG9" i="2"/>
  <c r="AF9" i="2"/>
  <c r="AE9" i="2"/>
  <c r="AK8" i="2"/>
  <c r="AI8" i="2"/>
  <c r="AH8" i="2"/>
  <c r="AG8" i="2"/>
  <c r="AF8" i="2"/>
  <c r="AE8" i="2"/>
  <c r="V8" i="2"/>
  <c r="AJ8" i="2" s="1"/>
  <c r="M8" i="2"/>
  <c r="AK7" i="2"/>
  <c r="AI7" i="2"/>
  <c r="AH7" i="2"/>
  <c r="AG7" i="2"/>
  <c r="AF7" i="2"/>
  <c r="AE7" i="2"/>
  <c r="V7" i="2"/>
  <c r="AJ7" i="2" s="1"/>
  <c r="M7" i="2"/>
  <c r="AK6" i="2"/>
  <c r="AJ6" i="2"/>
  <c r="AI6" i="2"/>
  <c r="AH6" i="2"/>
  <c r="AG6" i="2"/>
  <c r="AF6" i="2"/>
  <c r="AE6" i="2"/>
  <c r="AK5" i="2"/>
  <c r="AJ5" i="2"/>
  <c r="AI5" i="2"/>
  <c r="AH5" i="2"/>
  <c r="AG5" i="2"/>
  <c r="AF5" i="2"/>
  <c r="AE5" i="2"/>
  <c r="AK4" i="2"/>
  <c r="AJ4" i="2"/>
  <c r="AI4" i="2"/>
  <c r="AH4" i="2"/>
  <c r="AG4" i="2"/>
  <c r="AF4" i="2"/>
  <c r="AE4" i="2"/>
  <c r="AK3" i="2"/>
  <c r="AJ3" i="2"/>
  <c r="AI3" i="2"/>
  <c r="AH3" i="2"/>
  <c r="AG3" i="2"/>
  <c r="AF3" i="2"/>
  <c r="AE3" i="2"/>
  <c r="AT2" i="2"/>
  <c r="AQ2" i="2"/>
  <c r="AP2" i="2"/>
  <c r="AO2" i="2"/>
  <c r="AN2" i="2"/>
  <c r="AM2" i="2"/>
  <c r="AK2" i="2"/>
  <c r="AJ2" i="2"/>
  <c r="AI2" i="2"/>
  <c r="AH2" i="2"/>
  <c r="AG2" i="2"/>
  <c r="AF2" i="2"/>
  <c r="AE2" i="2"/>
  <c r="L32" i="2" l="1"/>
  <c r="L34"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None</author>
    <author>Michael Tiemann</author>
  </authors>
  <commentList>
    <comment ref="AT2" authorId="0" shapeId="0" xr:uid="{00000000-0006-0000-0100-000001000000}">
      <text>
        <r>
          <rPr>
            <sz val="11"/>
            <color rgb="FF000000"/>
            <rFont val="Calibri"/>
            <family val="2"/>
            <charset val="1"/>
          </rPr>
          <t>Michael Tiemann:
When this value is small, like 31536, it throws the trajectory calculations for a loop.</t>
        </r>
      </text>
    </comment>
    <comment ref="H22" authorId="0" shapeId="0" xr:uid="{00000000-0006-0000-0100-000002000000}">
      <text>
        <r>
          <rPr>
            <sz val="11"/>
            <color rgb="FF000000"/>
            <rFont val="Calibri"/>
            <family val="2"/>
            <charset val="1"/>
          </rPr>
          <t>Michael Tiemann:
Actually EUR</t>
        </r>
      </text>
    </comment>
    <comment ref="J32" authorId="0" shapeId="0" xr:uid="{00000000-0006-0000-0100-000003000000}">
      <text>
        <r>
          <rPr>
            <sz val="11"/>
            <color rgb="FF000000"/>
            <rFont val="Calibri"/>
            <family val="2"/>
            <charset val="1"/>
          </rPr>
          <t>Michael Tiemann:
calculated from exhibit 99-1</t>
        </r>
      </text>
    </comment>
    <comment ref="J34" authorId="0" shapeId="0" xr:uid="{00000000-0006-0000-0100-000004000000}">
      <text>
        <r>
          <rPr>
            <sz val="11"/>
            <color rgb="FF000000"/>
            <rFont val="Calibri"/>
            <family val="2"/>
            <charset val="1"/>
          </rPr>
          <t>Michael Tiemann:
Computed from 20-F</t>
        </r>
      </text>
    </comment>
    <comment ref="H36" authorId="0" shapeId="0" xr:uid="{00000000-0006-0000-0100-000005000000}">
      <text>
        <r>
          <rPr>
            <sz val="11"/>
            <color rgb="FF000000"/>
            <rFont val="Calibri"/>
            <family val="2"/>
            <charset val="1"/>
          </rPr>
          <t>Michael Tiemann:
Actually EUR</t>
        </r>
      </text>
    </comment>
    <comment ref="H47" authorId="1" shapeId="0" xr:uid="{00000000-0006-0000-0100-000006000000}">
      <text>
        <r>
          <rPr>
            <sz val="11"/>
            <color rgb="FF000000"/>
            <rFont val="Calibri"/>
            <family val="2"/>
            <charset val="1"/>
          </rPr>
          <t>Michael Tiemann:
RM1 MYR = $0.2394</t>
        </r>
      </text>
    </comment>
    <comment ref="J50" authorId="0" shapeId="0" xr:uid="{00000000-0006-0000-0100-000007000000}">
      <text>
        <r>
          <rPr>
            <sz val="11"/>
            <color rgb="FF000000"/>
            <rFont val="Calibri"/>
            <family val="2"/>
            <charset val="1"/>
          </rPr>
          <t>Michael Tiemann:
Approximate based on market data graphs</t>
        </r>
      </text>
    </comment>
    <comment ref="H64" authorId="1" shapeId="0" xr:uid="{00000000-0006-0000-0100-000008000000}">
      <text>
        <r>
          <rPr>
            <sz val="11"/>
            <color rgb="FF000000"/>
            <rFont val="Calibri"/>
            <family val="2"/>
            <charset val="1"/>
          </rPr>
          <t>Michael Tiemann:
115.1038 JPY per USD</t>
        </r>
      </text>
    </comment>
    <comment ref="H70" authorId="0" shapeId="0" xr:uid="{00000000-0006-0000-0100-000009000000}">
      <text>
        <r>
          <rPr>
            <sz val="11"/>
            <color rgb="FF000000"/>
            <rFont val="Calibri"/>
            <family val="2"/>
            <charset val="1"/>
          </rPr>
          <t>Michael Tiemann:
Actually EUR</t>
        </r>
      </text>
    </comment>
    <comment ref="AO70" authorId="0" shapeId="0" xr:uid="{00000000-0006-0000-0100-00000A000000}">
      <text>
        <r>
          <rPr>
            <sz val="11"/>
            <color rgb="FF000000"/>
            <rFont val="Calibri"/>
            <family val="2"/>
            <charset val="1"/>
          </rPr>
          <t xml:space="preserve">Michael Tiemann:
Scope 3 downstream emissions only
</t>
        </r>
      </text>
    </comment>
    <comment ref="A71" authorId="0" shapeId="0" xr:uid="{00000000-0006-0000-0100-00000B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Created target based on ME Netzero goal</t>
        </r>
      </text>
    </comment>
    <comment ref="AT76" authorId="1" shapeId="0" xr:uid="{00000000-0006-0000-0100-00000C000000}">
      <text>
        <r>
          <rPr>
            <sz val="11"/>
            <color rgb="FF000000"/>
            <rFont val="Calibri"/>
            <family val="2"/>
            <charset val="1"/>
          </rPr>
          <t>Michael Tiemann:
These are all in GBP!</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M17" authorId="0" shapeId="0" xr:uid="{00000000-0006-0000-0200-000001000000}">
      <text>
        <r>
          <rPr>
            <sz val="11"/>
            <color rgb="FF000000"/>
            <rFont val="Calibri"/>
            <family val="2"/>
            <charset val="1"/>
          </rPr>
          <t>Michael Tiemann:
90% sourced from nuclear so 10% ambition imagines 100% carbon-neutral power sourcing.</t>
        </r>
      </text>
    </comment>
    <comment ref="G20" authorId="0" shapeId="0" xr:uid="{00000000-0006-0000-0200-000002000000}">
      <text>
        <r>
          <rPr>
            <sz val="11"/>
            <color rgb="FF000000"/>
            <rFont val="Calibri"/>
            <family val="2"/>
            <charset val="1"/>
          </rPr>
          <t>Michael Tiemann:
Yes: S1+S3</t>
        </r>
      </text>
    </comment>
    <comment ref="G32" authorId="0" shapeId="0" xr:uid="{00000000-0006-0000-0200-000003000000}">
      <text>
        <r>
          <rPr>
            <sz val="11"/>
            <color rgb="FF000000"/>
            <rFont val="Calibri"/>
            <family val="2"/>
            <charset val="1"/>
          </rPr>
          <t xml:space="preserve">Michael Tiemann:
Really S1+S2+S3 but setting to S1+S2 for now.
</t>
        </r>
      </text>
    </comment>
    <comment ref="G34" authorId="0" shapeId="0" xr:uid="{00000000-0006-0000-0200-000004000000}">
      <text>
        <r>
          <rPr>
            <sz val="11"/>
            <color rgb="FF000000"/>
            <rFont val="Calibri"/>
            <family val="2"/>
            <charset val="1"/>
          </rPr>
          <t xml:space="preserve">Michael Tiemann:
Really S1+S2+S3 but setting to S1+S2 for now.
</t>
        </r>
      </text>
    </comment>
    <comment ref="G58" authorId="0" shapeId="0" xr:uid="{00000000-0006-0000-0200-000005000000}">
      <text>
        <r>
          <rPr>
            <sz val="11"/>
            <color rgb="FF000000"/>
            <rFont val="Calibri"/>
            <family val="2"/>
            <charset val="1"/>
          </rPr>
          <t>Michael Tiemann:
Really S1+S2+S3 but setting to S1+S2 for now.</t>
        </r>
      </text>
    </comment>
    <comment ref="G65" authorId="0" shapeId="0" xr:uid="{00000000-0006-0000-0200-000006000000}">
      <text>
        <r>
          <rPr>
            <sz val="11"/>
            <color rgb="FF000000"/>
            <rFont val="Calibri"/>
            <family val="2"/>
            <charset val="1"/>
          </rPr>
          <t xml:space="preserve">Michael Tiemann:
Really S1+S2+S3 but setting to S1+S2 for now.
</t>
        </r>
      </text>
    </comment>
    <comment ref="G67" authorId="0" shapeId="0" xr:uid="{00000000-0006-0000-0200-000007000000}">
      <text>
        <r>
          <rPr>
            <sz val="11"/>
            <color rgb="FF000000"/>
            <rFont val="Calibri"/>
            <family val="2"/>
            <charset val="1"/>
          </rPr>
          <t xml:space="preserve">Michael Tiemann:
Really S1+S2+S3 but setting to S1+S2 for now.
</t>
        </r>
      </text>
    </comment>
    <comment ref="G68" authorId="0" shapeId="0" xr:uid="{00000000-0006-0000-0200-000008000000}">
      <text>
        <r>
          <rPr>
            <sz val="11"/>
            <color rgb="FF000000"/>
            <rFont val="Calibri"/>
            <family val="2"/>
            <charset val="1"/>
          </rPr>
          <t xml:space="preserve">Michael Tiemann:
Really S1+S2+S3 but setting to S1+S2 for now.
</t>
        </r>
      </text>
    </comment>
    <comment ref="G75" authorId="0" shapeId="0" xr:uid="{00000000-0006-0000-0200-000009000000}">
      <text>
        <r>
          <rPr>
            <sz val="11"/>
            <color rgb="FF000000"/>
            <rFont val="Calibri"/>
            <family val="2"/>
            <charset val="1"/>
          </rPr>
          <t>Michael Tiemann:
Really S1+S2+S3 but setting to S1+S2 for now.</t>
        </r>
      </text>
    </comment>
    <comment ref="G91" authorId="0" shapeId="0" xr:uid="{00000000-0006-0000-0200-00000A000000}">
      <text>
        <r>
          <rPr>
            <sz val="11"/>
            <color rgb="FF000000"/>
            <rFont val="Calibri"/>
            <family val="2"/>
            <charset val="1"/>
          </rPr>
          <t>Michael Tiemann:
Really S1+S2+S3 but setting to S1+S2 for now.</t>
        </r>
      </text>
    </comment>
    <comment ref="A102" authorId="0" shapeId="0" xr:uid="{00000000-0006-0000-0200-00000B000000}">
      <text>
        <r>
          <rPr>
            <sz val="11"/>
            <color rgb="FF000000"/>
            <rFont val="Calibri"/>
            <family val="2"/>
            <charset val="1"/>
          </rPr>
          <t>Michael Tiemann:
State of Maine has stated netzero 2050 goal.  Targets inferred accordingly.</t>
        </r>
      </text>
    </comment>
    <comment ref="E106" authorId="0" shapeId="0" xr:uid="{00000000-0006-0000-0200-00000C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Announced March 2022</t>
        </r>
      </text>
    </comment>
    <comment ref="M106" authorId="0" shapeId="0" xr:uid="{00000000-0006-0000-0200-00000D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Just a guess</t>
        </r>
      </text>
    </comment>
  </commentList>
</comments>
</file>

<file path=xl/sharedStrings.xml><?xml version="1.0" encoding="utf-8"?>
<sst xmlns="http://schemas.openxmlformats.org/spreadsheetml/2006/main" count="4320" uniqueCount="463">
  <si>
    <t>company_name</t>
  </si>
  <si>
    <t>company_lei</t>
  </si>
  <si>
    <t>company_id</t>
  </si>
  <si>
    <t>country</t>
  </si>
  <si>
    <t>region</t>
  </si>
  <si>
    <t>sector</t>
  </si>
  <si>
    <t>exposure</t>
  </si>
  <si>
    <t>currency</t>
  </si>
  <si>
    <t>report_date</t>
  </si>
  <si>
    <t>market_cap</t>
  </si>
  <si>
    <t>revenue</t>
  </si>
  <si>
    <t>ev</t>
  </si>
  <si>
    <t>evic</t>
  </si>
  <si>
    <t>assets</t>
  </si>
  <si>
    <t>emissions_metric</t>
  </si>
  <si>
    <t>production_metric</t>
  </si>
  <si>
    <t>2016_ghg_s1</t>
  </si>
  <si>
    <t>2017_ghg_s1</t>
  </si>
  <si>
    <t>2018_ghg_s1</t>
  </si>
  <si>
    <t>2019_ghg_s1</t>
  </si>
  <si>
    <t>2020_ghg_s1</t>
  </si>
  <si>
    <t>2021_ghg_s1</t>
  </si>
  <si>
    <t>2022_ghg_s1</t>
  </si>
  <si>
    <t>2016_ghg_s2</t>
  </si>
  <si>
    <t>2017_ghg_s2</t>
  </si>
  <si>
    <t>2018_ghg_s2</t>
  </si>
  <si>
    <t>2019_ghg_s2</t>
  </si>
  <si>
    <t>2020_ghg_s2</t>
  </si>
  <si>
    <t>2021_ghg_s2</t>
  </si>
  <si>
    <t>2022_ghg_s2</t>
  </si>
  <si>
    <t>2016_ghg_s1s2</t>
  </si>
  <si>
    <t>2017_ghg_s1s2</t>
  </si>
  <si>
    <t>2018_ghg_s1s2</t>
  </si>
  <si>
    <t>2019_ghg_s1s2</t>
  </si>
  <si>
    <t>2020_ghg_s1s2</t>
  </si>
  <si>
    <t>2021_ghg_s1s2</t>
  </si>
  <si>
    <t>2022_ghg_s1s2</t>
  </si>
  <si>
    <t>2016_ghg_s3</t>
  </si>
  <si>
    <t>2017_ghg_s3</t>
  </si>
  <si>
    <t>2018_ghg_s3</t>
  </si>
  <si>
    <t>2019_ghg_s3</t>
  </si>
  <si>
    <t>2020_ghg_s3</t>
  </si>
  <si>
    <t>2021_ghg_s3</t>
  </si>
  <si>
    <t>2022_ghg_s3</t>
  </si>
  <si>
    <t>2016_production</t>
  </si>
  <si>
    <t>2017_production</t>
  </si>
  <si>
    <t>2018_production</t>
  </si>
  <si>
    <t>2019_production</t>
  </si>
  <si>
    <t>2020_production</t>
  </si>
  <si>
    <t>2021_production</t>
  </si>
  <si>
    <t>2022_production</t>
  </si>
  <si>
    <t>AES Corp.</t>
  </si>
  <si>
    <t>2NUNNB7D43COUIRE5295</t>
  </si>
  <si>
    <t>US00130H1059</t>
  </si>
  <si>
    <t>US</t>
  </si>
  <si>
    <t>Electricity Utilities</t>
  </si>
  <si>
    <t>equity</t>
  </si>
  <si>
    <t>USD</t>
  </si>
  <si>
    <t>t CO2</t>
  </si>
  <si>
    <t>GWh</t>
  </si>
  <si>
    <t>ALLETE, Inc.</t>
  </si>
  <si>
    <t>549300NNLSIMY6Z8OT86</t>
  </si>
  <si>
    <t>US0185223007</t>
  </si>
  <si>
    <t>North America</t>
  </si>
  <si>
    <t>Mt CO2</t>
  </si>
  <si>
    <t>TWh</t>
  </si>
  <si>
    <t>Alliant Energy</t>
  </si>
  <si>
    <t>5493009ML300G373MZ12</t>
  </si>
  <si>
    <t>US0188021085</t>
  </si>
  <si>
    <t>Ameren Corp.</t>
  </si>
  <si>
    <t>XRZQ5S7HYJFPHJ78L959</t>
  </si>
  <si>
    <t>US0236081024</t>
  </si>
  <si>
    <t>American Electric Power Co., Inc.</t>
  </si>
  <si>
    <t>1B4S6S7G0TW5EE83BO58</t>
  </si>
  <si>
    <t>US0255371017</t>
  </si>
  <si>
    <t>Avangrid, Inc. (Elec)</t>
  </si>
  <si>
    <t>549300OX0Q38NLSKPB49</t>
  </si>
  <si>
    <t>US05351W1036-E</t>
  </si>
  <si>
    <t>Avangrid, Inc. (Util)</t>
  </si>
  <si>
    <t>US05351W1036-U</t>
  </si>
  <si>
    <t>Utilities</t>
  </si>
  <si>
    <t>Black Hills Corp.</t>
  </si>
  <si>
    <t>3MGELCRSTNSAMJ962671</t>
  </si>
  <si>
    <t>US0921131092</t>
  </si>
  <si>
    <t>MWh</t>
  </si>
  <si>
    <t>BMW Group</t>
  </si>
  <si>
    <t>549300W77ER6BVTNSK57</t>
  </si>
  <si>
    <t>DE0005190003</t>
  </si>
  <si>
    <t>DE</t>
  </si>
  <si>
    <t>Autos</t>
  </si>
  <si>
    <t>Mpassenger mile</t>
  </si>
  <si>
    <t>BP plc</t>
  </si>
  <si>
    <t>213800LH1BZH3DI6G760</t>
  </si>
  <si>
    <t>GB0007980591</t>
  </si>
  <si>
    <t>GB</t>
  </si>
  <si>
    <t>Europe</t>
  </si>
  <si>
    <t>Oil &amp; Gas</t>
  </si>
  <si>
    <t>PJ</t>
  </si>
  <si>
    <t>CARPENTER TECHNOLOGY CORP</t>
  </si>
  <si>
    <t>DX6I6ZD3X5WNNCDJKP85</t>
  </si>
  <si>
    <t>US1442851036</t>
  </si>
  <si>
    <t>Steel</t>
  </si>
  <si>
    <t>t Steel</t>
  </si>
  <si>
    <t>Chevron Corp</t>
  </si>
  <si>
    <t>VA8TZDWPEZYU430RZ444</t>
  </si>
  <si>
    <t>US1667641005</t>
  </si>
  <si>
    <t>CLEVELAND-CLIFFS INC</t>
  </si>
  <si>
    <t>549300TM2WLI2BJMDD86</t>
  </si>
  <si>
    <t>US1858991011</t>
  </si>
  <si>
    <t>CMS Energy Corp.</t>
  </si>
  <si>
    <t>549300IA9XFBAGNIBW29</t>
  </si>
  <si>
    <t>US1258961002</t>
  </si>
  <si>
    <t>COMMERCIAL METALS CO</t>
  </si>
  <si>
    <t>549300OQS2LO07ZJ7N73</t>
  </si>
  <si>
    <t>US2017231034</t>
  </si>
  <si>
    <t>Cleco Partners LP</t>
  </si>
  <si>
    <t>5493002H80P81B3HXL31</t>
  </si>
  <si>
    <t>US18551QAA58</t>
  </si>
  <si>
    <t>Consolidated Edison, Inc.</t>
  </si>
  <si>
    <t>54930033SBW53OO8T749</t>
  </si>
  <si>
    <t>US2091151041</t>
  </si>
  <si>
    <t>DTE Energy</t>
  </si>
  <si>
    <t>549300IX8SD6XXD71I78</t>
  </si>
  <si>
    <t>US2333311072</t>
  </si>
  <si>
    <t>Dominion Energy</t>
  </si>
  <si>
    <t>ILUL7B6Z54MRYCF6H308</t>
  </si>
  <si>
    <t>US25746U1097</t>
  </si>
  <si>
    <t>Duke Energy Corp.</t>
  </si>
  <si>
    <t>I1BZKREC126H0VB1BL91</t>
  </si>
  <si>
    <t>US26441C2044</t>
  </si>
  <si>
    <t>Electricité de France</t>
  </si>
  <si>
    <t>549300X3UK4GG3FNMO06</t>
  </si>
  <si>
    <t>FR0010242511</t>
  </si>
  <si>
    <t>FR</t>
  </si>
  <si>
    <t>Edison International</t>
  </si>
  <si>
    <t>549300I7ROF15MAEVP56</t>
  </si>
  <si>
    <t>US2810201077</t>
  </si>
  <si>
    <t>Enel Americas S.A.</t>
  </si>
  <si>
    <t>549300LKH11TFCJLZK20</t>
  </si>
  <si>
    <t>US29274F1049</t>
  </si>
  <si>
    <t>CL</t>
  </si>
  <si>
    <t>Global</t>
  </si>
  <si>
    <t>kt CO2</t>
  </si>
  <si>
    <t>Entergy Corp.</t>
  </si>
  <si>
    <t>4XM3TW50JULSLG8BNC79</t>
  </si>
  <si>
    <t>US29364G1031</t>
  </si>
  <si>
    <t>Evergy, Inc.</t>
  </si>
  <si>
    <t>549300PGTHDQY6PSUI61</t>
  </si>
  <si>
    <t>US30034W1062</t>
  </si>
  <si>
    <t>Eversource Energy</t>
  </si>
  <si>
    <t>SJ7XXD41SQU3ZNWUJ746</t>
  </si>
  <si>
    <t>US30040W1080</t>
  </si>
  <si>
    <t>Exelon Corp.</t>
  </si>
  <si>
    <t>3SOUA6IRML7435B56G12</t>
  </si>
  <si>
    <t>US30161N1019</t>
  </si>
  <si>
    <t>ExxonMobil</t>
  </si>
  <si>
    <t>J3WHBG0MTS7O8ZVMDC91</t>
  </si>
  <si>
    <t>US30231G1022</t>
  </si>
  <si>
    <t>mboe</t>
  </si>
  <si>
    <t>FirstEnergy Corp.</t>
  </si>
  <si>
    <t>549300SVYJS666PQJH88</t>
  </si>
  <si>
    <t>US3379321074</t>
  </si>
  <si>
    <t>Ford Motor Company</t>
  </si>
  <si>
    <t>20S05OYHG0MQM4VUIC57</t>
  </si>
  <si>
    <t>US3453708600</t>
  </si>
  <si>
    <t>Gpkm</t>
  </si>
  <si>
    <t>Fortis, Inc.</t>
  </si>
  <si>
    <t>549300MQYQ9Y065XPR71</t>
  </si>
  <si>
    <t>CA3495531079</t>
  </si>
  <si>
    <t>CA</t>
  </si>
  <si>
    <t>General Motors</t>
  </si>
  <si>
    <t>5493001871EE1F4JHK38</t>
  </si>
  <si>
    <t>US3704421052</t>
  </si>
  <si>
    <t>Mpkm</t>
  </si>
  <si>
    <t>GERDAU S.A.</t>
  </si>
  <si>
    <t>254900YDV6SEQQPZVG24</t>
  </si>
  <si>
    <t>US3737371050</t>
  </si>
  <si>
    <t>BR</t>
  </si>
  <si>
    <t>Hawaiian Electric Industries, Inc.</t>
  </si>
  <si>
    <t>JJ8FWOCWCV22X7GUPJ23</t>
  </si>
  <si>
    <t>US4198701009</t>
  </si>
  <si>
    <t>Iberdrola S.A.</t>
  </si>
  <si>
    <t>5QK37QC7NWOJ8D7WVQ45</t>
  </si>
  <si>
    <t>ES0144580Y14</t>
  </si>
  <si>
    <t>ES</t>
  </si>
  <si>
    <t>MARATHON PETROLEUM CORPORATION</t>
  </si>
  <si>
    <t>3BNYRYQHD39K4LCKQF12</t>
  </si>
  <si>
    <t>US56585A1025</t>
  </si>
  <si>
    <t>mmboe</t>
  </si>
  <si>
    <t>MDU Resources Group</t>
  </si>
  <si>
    <t>0T6SBMK3JTBI1JR36794</t>
  </si>
  <si>
    <t>US5526901096</t>
  </si>
  <si>
    <t>National Grid PLC</t>
  </si>
  <si>
    <t>8R95QZMKZLJX5Q2XR704</t>
  </si>
  <si>
    <t>US6362744095</t>
  </si>
  <si>
    <t>NextEra Energy, Inc.</t>
  </si>
  <si>
    <t>UMI46YPGBLUE4VGNNT48</t>
  </si>
  <si>
    <t>US65339F1012</t>
  </si>
  <si>
    <t>NIPPON STEEL CORP</t>
  </si>
  <si>
    <t>35380065QWQ4U2V3PA33</t>
  </si>
  <si>
    <t>JP3381000003</t>
  </si>
  <si>
    <t>JP</t>
  </si>
  <si>
    <t>Asia</t>
  </si>
  <si>
    <t>Nisource Inc.</t>
  </si>
  <si>
    <t>549300D8GOWWH0SJB189</t>
  </si>
  <si>
    <t>US65473P1057</t>
  </si>
  <si>
    <t>Northwestern Corp.</t>
  </si>
  <si>
    <t>3BPWMBHR1R9SHUN7J795</t>
  </si>
  <si>
    <t>US6680743050</t>
  </si>
  <si>
    <t>NUCOR CORP</t>
  </si>
  <si>
    <t>549300GGJCRSI2TIEJ46</t>
  </si>
  <si>
    <t>US6703461052</t>
  </si>
  <si>
    <t>OG&amp;E Energy Corp.</t>
  </si>
  <si>
    <t>CE5OG6JPOZMDSA0LAQ19</t>
  </si>
  <si>
    <t>US6708371033</t>
  </si>
  <si>
    <t>PETROLEO BRASILEIRO S A PETROBRAS</t>
  </si>
  <si>
    <t>5493000J801JZRCMFE49</t>
  </si>
  <si>
    <t>BRPETRACNPR6</t>
  </si>
  <si>
    <t>PETROLIAM NASIONAL BERHAD (PETRONAS)</t>
  </si>
  <si>
    <t>5493003RZQYJM7QGNE15</t>
  </si>
  <si>
    <t>PETRONAS_SOE</t>
  </si>
  <si>
    <t>MY</t>
  </si>
  <si>
    <t>kboe</t>
  </si>
  <si>
    <t>PG&amp;E Corp.</t>
  </si>
  <si>
    <t>8YQ2GSDWYZXO2EDN3511</t>
  </si>
  <si>
    <t>US69331C1080</t>
  </si>
  <si>
    <t>PNM Resources, Inc.</t>
  </si>
  <si>
    <t>5493003JOBJGLZSDDQ28</t>
  </si>
  <si>
    <t>US69349H1077</t>
  </si>
  <si>
    <t>POSCO</t>
  </si>
  <si>
    <t>988400E5HRVX81AYLM04</t>
  </si>
  <si>
    <t>KR7005490008</t>
  </si>
  <si>
    <t>KR</t>
  </si>
  <si>
    <t>PPL Corp.</t>
  </si>
  <si>
    <t>9N3UAJSNOUXFKQLF3V18</t>
  </si>
  <si>
    <t>US69351T1060</t>
  </si>
  <si>
    <t>Pinnacle West Capital Corp.</t>
  </si>
  <si>
    <t>TWSEY0NEDUDCKS27AH81</t>
  </si>
  <si>
    <t>US7234841010</t>
  </si>
  <si>
    <t>Portland General Electric Co.</t>
  </si>
  <si>
    <t>GJOUP9M7C39GLSK9R870</t>
  </si>
  <si>
    <t>US7365088472</t>
  </si>
  <si>
    <t>Public Service Enterprise Group</t>
  </si>
  <si>
    <t>PUSS41EMO3E6XXNV3U28</t>
  </si>
  <si>
    <t>US7445731067</t>
  </si>
  <si>
    <t>Saudi Aramco</t>
  </si>
  <si>
    <t>5586006WD91QHB7J4X50</t>
  </si>
  <si>
    <t>2222.SR</t>
  </si>
  <si>
    <t>SA</t>
  </si>
  <si>
    <t>Sempra</t>
  </si>
  <si>
    <t>PBBKGKLRK5S5C0Y4T545</t>
  </si>
  <si>
    <t>US8168511090</t>
  </si>
  <si>
    <t>Shell PLC</t>
  </si>
  <si>
    <t>21380068P1DRHMJ8KU70</t>
  </si>
  <si>
    <t>GB00BP6MXD84</t>
  </si>
  <si>
    <t>EJ</t>
  </si>
  <si>
    <t>Sinopec</t>
  </si>
  <si>
    <t>2138009UNXTD8EYS5M35</t>
  </si>
  <si>
    <t>CN0005789556</t>
  </si>
  <si>
    <t>CN</t>
  </si>
  <si>
    <t>SK Innovation</t>
  </si>
  <si>
    <t>988400PXP70BWVSJVF07</t>
  </si>
  <si>
    <t>096770.SK</t>
  </si>
  <si>
    <t>boe</t>
  </si>
  <si>
    <t>Southern Co.</t>
  </si>
  <si>
    <t>549300FC3G3YU2FBZD92</t>
  </si>
  <si>
    <t>US8425871071</t>
  </si>
  <si>
    <t>STEEL DYNAMICS INC</t>
  </si>
  <si>
    <t>549300HGGKEL4FYTTQ83</t>
  </si>
  <si>
    <t>US8581191009</t>
  </si>
  <si>
    <t>TC Energy Corp.</t>
  </si>
  <si>
    <t>549300UGKOFV2IWJJG27</t>
  </si>
  <si>
    <t>CA87807B1076</t>
  </si>
  <si>
    <t>TENARIS SA</t>
  </si>
  <si>
    <t>549300Y7C05BKC4HZB40</t>
  </si>
  <si>
    <t>US88031M1099</t>
  </si>
  <si>
    <t>LU</t>
  </si>
  <si>
    <t>Tokyo Electric Power Company</t>
  </si>
  <si>
    <t>5299004EMJ3R4RVR5Y75</t>
  </si>
  <si>
    <t>9501.T</t>
  </si>
  <si>
    <t>TERNIUM S.A.</t>
  </si>
  <si>
    <t>529900QG4KU23TEI2E46</t>
  </si>
  <si>
    <t>US8808901081</t>
  </si>
  <si>
    <t>Tesla</t>
  </si>
  <si>
    <t>EVK05KS7XY1DEII3R011</t>
  </si>
  <si>
    <t>US88160R1014</t>
  </si>
  <si>
    <t>TIMKENSTEEL CORP</t>
  </si>
  <si>
    <t>549300QZTZWHDE9HJL14</t>
  </si>
  <si>
    <t>US8873991033</t>
  </si>
  <si>
    <t>Toyota Motor Corporation</t>
  </si>
  <si>
    <t>5493006W3QUS5LMH6R84</t>
  </si>
  <si>
    <t>JP3633400001</t>
  </si>
  <si>
    <t>Tpkm</t>
  </si>
  <si>
    <t>UNITED STATES STEEL CORP</t>
  </si>
  <si>
    <t>JNLUVFYJT1OZSIQ24U47</t>
  </si>
  <si>
    <t>US9129091081</t>
  </si>
  <si>
    <t>Verbund AG</t>
  </si>
  <si>
    <t>5299006UDSEJCTTEJS30</t>
  </si>
  <si>
    <t>AT0000746409</t>
  </si>
  <si>
    <t>AT</t>
  </si>
  <si>
    <t>Versant Power</t>
  </si>
  <si>
    <t>NQZVQT2P5IUF2PGA1Q48</t>
  </si>
  <si>
    <t>CA2908761018</t>
  </si>
  <si>
    <t>Vistra Corp.</t>
  </si>
  <si>
    <t>549300KP43CPCUJOOG15</t>
  </si>
  <si>
    <t>US92840M1027</t>
  </si>
  <si>
    <t>WEC Energy Group</t>
  </si>
  <si>
    <t>549300IGLYTZUK3PVP70</t>
  </si>
  <si>
    <t>US92939U1060</t>
  </si>
  <si>
    <t>WORTHINGTON INDUSTRIES INC</t>
  </si>
  <si>
    <t>1WRCIANKYOIK6KYE5E82</t>
  </si>
  <si>
    <t>US9818111026</t>
  </si>
  <si>
    <t>Xcel Energy, Inc.</t>
  </si>
  <si>
    <t>LGJNMI9GH8XIDG5RCM61</t>
  </si>
  <si>
    <t>US98389B1008</t>
  </si>
  <si>
    <t>Balfour Beatty</t>
  </si>
  <si>
    <t>CT4UIJ3TUKGYYHMENQ17</t>
  </si>
  <si>
    <t>GB0000961622</t>
  </si>
  <si>
    <t>Construction Buildings</t>
  </si>
  <si>
    <t>CBRE</t>
  </si>
  <si>
    <t>52990016II9MJ2OSWA10</t>
  </si>
  <si>
    <t>US12504L1098</t>
  </si>
  <si>
    <t>Commercial Buildings</t>
  </si>
  <si>
    <t>ft**2</t>
  </si>
  <si>
    <t>netzero_year</t>
  </si>
  <si>
    <t>target_type</t>
  </si>
  <si>
    <t>target_scope</t>
  </si>
  <si>
    <t>target_start_year</t>
  </si>
  <si>
    <t>target_base_year</t>
  </si>
  <si>
    <t>target_base_year_qty</t>
  </si>
  <si>
    <t>target_base_year_unit</t>
  </si>
  <si>
    <t>target_year</t>
  </si>
  <si>
    <t>target_reduction_ambition</t>
  </si>
  <si>
    <t>intensity</t>
  </si>
  <si>
    <t>S1+S2</t>
  </si>
  <si>
    <t>absolute</t>
  </si>
  <si>
    <t>S1+S2+S3</t>
  </si>
  <si>
    <t>549300T12EZ1F6PWWU29</t>
  </si>
  <si>
    <t>S1</t>
  </si>
  <si>
    <t>S3</t>
  </si>
  <si>
    <t>S2</t>
  </si>
  <si>
    <t>Data category</t>
  </si>
  <si>
    <t>Data field</t>
  </si>
  <si>
    <t>Input tab</t>
  </si>
  <si>
    <t>Description</t>
  </si>
  <si>
    <t>Expected value (type/unit)</t>
  </si>
  <si>
    <t>Mandatory/Optional</t>
  </si>
  <si>
    <t>Fundamental Data</t>
  </si>
  <si>
    <t>ITR input data</t>
  </si>
  <si>
    <t>Name of the company in your portfolio</t>
  </si>
  <si>
    <t xml:space="preserve">Text </t>
  </si>
  <si>
    <t>Mandatory</t>
  </si>
  <si>
    <t>Legal entity identifier</t>
  </si>
  <si>
    <t>Optional</t>
  </si>
  <si>
    <t>ISIN (Identifier for the company in your portfolio, used to map target and fundamental data to the company)</t>
  </si>
  <si>
    <t>Country where the company has its headquarter. Used for analysis purposes only.</t>
  </si>
  <si>
    <t>Region where the company has its headquarter. Used for analysis purposes only. The tool uses IPP AR6 regions: https://www.ipcc.ch/report/ar6/wg1/</t>
  </si>
  <si>
    <t>Options: Electricity Utilities, Steel, Oil &amp; Gas, Autos</t>
  </si>
  <si>
    <t>Electricity Utilities, Steel, Oil &amp; Gas, Autos</t>
  </si>
  <si>
    <t>Investment exposure (equity or bond)</t>
  </si>
  <si>
    <t>Equity, Bond</t>
  </si>
  <si>
    <t>Currency of the financial data. All entries should be converted into the SAME currency - EUR or USD</t>
  </si>
  <si>
    <t xml:space="preserve">Date of retrieving the financial data </t>
  </si>
  <si>
    <t>Date (DD.MM.YYYY)</t>
  </si>
  <si>
    <t>Value of public stock in single dollars/euros</t>
  </si>
  <si>
    <t>Monetary value</t>
  </si>
  <si>
    <t>Company revenues in single dollars/euros</t>
  </si>
  <si>
    <t>Enterprise value in single dollars / euros</t>
  </si>
  <si>
    <t>Enterprise value including cash in single dollars / euros</t>
  </si>
  <si>
    <t>Value of assets owned by company in single dollars/euros</t>
  </si>
  <si>
    <t>Emission Metrics</t>
  </si>
  <si>
    <t>emission_metric</t>
  </si>
  <si>
    <t>Emissions Metric (typically CO2)</t>
  </si>
  <si>
    <t>CO2: kg CO2, t CO2, Mt CO2, Gt CO2, etc.</t>
  </si>
  <si>
    <t>Production Metrics</t>
  </si>
  <si>
    <t>Intensity Metric (unit of output measured for sector)</t>
  </si>
  <si>
    <t xml:space="preserve">Electricity:  MWh, TWh, GJ, PJ; 
Steel: Fe_ton, M Fe_ton;  
Oil &amp; Gas: mboe, PJ;  
Autos: passenger km, passenger mi </t>
  </si>
  <si>
    <t>Emission Data</t>
  </si>
  <si>
    <t>Intensity numerator: Scope 1 emissions timeseries for the past 5 years</t>
  </si>
  <si>
    <t>Number</t>
  </si>
  <si>
    <t>Intensity numerator: Scope 1 emissions timeseries for 2021</t>
  </si>
  <si>
    <t xml:space="preserve">Intensity numerator:  scope 1 emissions timeseries for 2022, only available in 2023. Do not input projected data. </t>
  </si>
  <si>
    <t>DO NOT FILL (data only available next year)</t>
  </si>
  <si>
    <t>Intensity numerator: Scope 2 emissions timeseries for the past 5 years</t>
  </si>
  <si>
    <t>Intensity numerator: Scope 2 emissions timeseries for 2021</t>
  </si>
  <si>
    <t xml:space="preserve">Intensity numerator:  scope 2 emissions timeseries for 2022, only available in 2023. Do not input projected data. </t>
  </si>
  <si>
    <t>Intensity numerator: Scope 1+2 emissions timeseries for the past 5 years</t>
  </si>
  <si>
    <t>Intensity numerator: Scope 1+2 emissions timeseries for 2021</t>
  </si>
  <si>
    <t xml:space="preserve">Intensity numerator:  scope 1+ 2 emissions timeseries for 2022, only available in 2023. Do not input projected data. </t>
  </si>
  <si>
    <t>Intensity numerator: Scope 3 emissions timeseries for the past 5 years</t>
  </si>
  <si>
    <t>Intensity numerator: Scope 3 emissions timeseries for 2021</t>
  </si>
  <si>
    <t xml:space="preserve">Intensity numerator:  scope 3 emissions timeseries for 2022, only available in 2023. Do not input projected data. </t>
  </si>
  <si>
    <t xml:space="preserve">Production data - Power or Steel </t>
  </si>
  <si>
    <t>Intensity denominator: annual steel or power production of the company for the past 5 years</t>
  </si>
  <si>
    <t>Target Data</t>
  </si>
  <si>
    <t>ITR target input data</t>
  </si>
  <si>
    <t xml:space="preserve">Type of target. Can be absolute or intensity based GHG emission reduction target. </t>
  </si>
  <si>
    <t>Absolute, Intensity</t>
  </si>
  <si>
    <t>Target scope (S3 will be taken into account later - however one can include it already to avoid having to refill the template in a few weeks )</t>
  </si>
  <si>
    <t>S1, S2, S1S2, S1S2S3</t>
  </si>
  <si>
    <t>year the target was announced</t>
  </si>
  <si>
    <t>Year (YYYY)</t>
  </si>
  <si>
    <t>Base year of the target</t>
  </si>
  <si>
    <t>Production or Intensity figures  (eg 12 if the target base year emission is 12 t CO2, or 0.98 if the base year intensity is 0.98 Mt CO2/MWh). Targets can be expressed in units as described below (see target_base_year_units field)</t>
  </si>
  <si>
    <t>decimal</t>
  </si>
  <si>
    <t xml:space="preserve">target intensity metric referring to emissions and production data. Units for the numerator (in CO2) and denominator (electricityutilities, steel production, oil &amp; gas, autos) are indicated in the following field. </t>
  </si>
  <si>
    <t>CO2: kg CO2, t CO2, Mt CO2, Gt CO2, etc.; 
Electricity: MWh, TWh, GJ, PJ; 
Steel: Fe_ton, M Fe_ton; 
Oil &amp; Gas: mboe, PJ; 
Autos: passenger mi, M passenger km</t>
  </si>
  <si>
    <t xml:space="preserve">year the target should be reached </t>
  </si>
  <si>
    <t>The emission reduction that is set as ambition in the target.</t>
  </si>
  <si>
    <t>percentage</t>
  </si>
  <si>
    <t>Net Zero Ambition</t>
  </si>
  <si>
    <t>netzero_date</t>
  </si>
  <si>
    <t>Target year of net-zero commitment. 0 means the company has not set a target year or that their target for 2050 is not zero.</t>
  </si>
  <si>
    <t>company_isin</t>
  </si>
  <si>
    <t>investment_value</t>
  </si>
  <si>
    <t>US05351W1036</t>
  </si>
  <si>
    <t>fx_quote</t>
  </si>
  <si>
    <t>fx_rate</t>
  </si>
  <si>
    <t>metric</t>
  </si>
  <si>
    <t>unit</t>
  </si>
  <si>
    <t>s1</t>
  </si>
  <si>
    <t>s2</t>
  </si>
  <si>
    <t>location</t>
  </si>
  <si>
    <t>s1s2</t>
  </si>
  <si>
    <t>s3</t>
  </si>
  <si>
    <t>combined</t>
  </si>
  <si>
    <t>production</t>
  </si>
  <si>
    <t>pdf</t>
  </si>
  <si>
    <t>https://www.aes.com/sites/default/files/2021-09/2020%20Performance%20Indicators.pdf</t>
  </si>
  <si>
    <t>market</t>
  </si>
  <si>
    <t>full</t>
  </si>
  <si>
    <t>https://www.aes.com/sites/default/files/2022-05/2021%20Improving%20Lives%20report.pdf</t>
  </si>
  <si>
    <t>gross</t>
  </si>
  <si>
    <t>net</t>
  </si>
  <si>
    <t>https://www.aes.com/sites/default/files/2021-02/AES-2019-Sustainability-Report.pdf</t>
  </si>
  <si>
    <t>https://www.aes.com/sites/default/files/2021-02/2018-Sustainability-Report.pdf</t>
  </si>
  <si>
    <t>kt CO2e</t>
  </si>
  <si>
    <t>t CO2e</t>
  </si>
  <si>
    <t>Mt CO2e</t>
  </si>
  <si>
    <t>t CO2e/MWh</t>
  </si>
  <si>
    <t>g CO2e/(passenger km)</t>
  </si>
  <si>
    <t>t CO2e/Fe_ton</t>
  </si>
  <si>
    <t>g CO2e/MJ</t>
  </si>
  <si>
    <t>g CO2e/kWh</t>
  </si>
  <si>
    <t>g CO2e/(passenger mi)</t>
  </si>
  <si>
    <t>t CO2e/mboe</t>
  </si>
  <si>
    <t>lb CO2e/MWh</t>
  </si>
  <si>
    <t>kg CO2e/boe</t>
  </si>
  <si>
    <t>myriametric_ton CO2e</t>
  </si>
  <si>
    <t>kg CO2e/kWh</t>
  </si>
  <si>
    <t>kg CO2e/ft**2</t>
  </si>
  <si>
    <t>4, 9</t>
  </si>
  <si>
    <t>total</t>
  </si>
  <si>
    <t>all</t>
  </si>
  <si>
    <t>https://www.bmwgroup.com/content/dam/grpw/websites/bmwgroup_com/ir/downloads/en/2022/hv/E3.7.1.pdf</t>
  </si>
  <si>
    <t>https://www.bmwgroup.com/content/dam/grpw/websites/bmwgroup_com/ir/downloads/en/2022/hv/E3.7.2.pdf</t>
  </si>
  <si>
    <t>g CO2/pkm</t>
  </si>
  <si>
    <t>s3.11 intensity</t>
  </si>
  <si>
    <t>https://www.bmwgroup.com/content/dam/grpw/websites/bmwgroup_com/responsibility/downloads/en/2020/2020-BMW-Group-SVR-2019-Englisch.pdf</t>
  </si>
  <si>
    <t>Fuel- and Energy-related activities</t>
  </si>
  <si>
    <t>Business Travel</t>
  </si>
  <si>
    <t>submetric</t>
  </si>
  <si>
    <t>Energy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</si>
</sst>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yyyy\-mm\-dd;@"/>
    <numFmt numFmtId="165" formatCode="0.0000"/>
    <numFmt numFmtId="166" formatCode="yyyy\-mm\-dd"/>
  </numFmts>
  <fonts count="22">
    <font>
      <sz val="11"/>
      <color rgb="FF000000"/>
      <name val="Calibri"/>
      <family val="2"/>
      <charset val="1"/>
    </font>
    <font>
      <sz val="11"/>
      <color rgb="FFA6A6A6"/>
      <name val="Calibri (Body)"/>
      <charset val="1"/>
    </font>
    <font>
      <sz val="11"/>
      <color rgb="FFA6A6A6"/>
      <name val="Calibri"/>
      <family val="2"/>
      <charset val="1"/>
    </font>
    <font>
      <i/>
      <sz val="11"/>
      <color rgb="FF808080"/>
      <name val="Calibri"/>
      <family val="2"/>
      <charset val="1"/>
    </font>
    <font>
      <b/>
      <sz val="11"/>
      <color rgb="FF000000"/>
      <name val="Calibri"/>
      <family val="2"/>
      <charset val="1"/>
    </font>
    <font>
      <b/>
      <sz val="11"/>
      <color rgb="FFA6A6A6"/>
      <name val="Calibri"/>
      <family val="2"/>
      <charset val="1"/>
    </font>
    <font>
      <b/>
      <i/>
      <sz val="11"/>
      <color rgb="FF808080"/>
      <name val="Calibri"/>
      <family val="2"/>
      <charset val="1"/>
    </font>
    <font>
      <i/>
      <sz val="11"/>
      <color rgb="FFFF0000"/>
      <name val="Calibri"/>
      <family val="2"/>
      <charset val="1"/>
    </font>
    <font>
      <sz val="11"/>
      <color rgb="FF232323"/>
      <name val="Arial"/>
      <family val="2"/>
      <charset val="1"/>
    </font>
    <font>
      <sz val="11"/>
      <name val="Calibri"/>
      <family val="2"/>
      <charset val="1"/>
    </font>
    <font>
      <sz val="11"/>
      <color rgb="FFFF0000"/>
      <name val="Calibri"/>
      <family val="2"/>
      <charset val="1"/>
    </font>
    <font>
      <b/>
      <sz val="11"/>
      <name val="Calibri"/>
      <family val="2"/>
      <charset val="1"/>
    </font>
    <font>
      <b/>
      <sz val="11"/>
      <color rgb="FF808080"/>
      <name val="Calibri"/>
      <family val="2"/>
      <charset val="1"/>
    </font>
    <font>
      <i/>
      <sz val="11"/>
      <color rgb="FF000000"/>
      <name val="Calibri (Body)"/>
      <charset val="1"/>
    </font>
    <font>
      <i/>
      <sz val="11"/>
      <color rgb="FF000000"/>
      <name val="Calibri"/>
      <family val="2"/>
      <charset val="1"/>
    </font>
    <font>
      <sz val="10"/>
      <color rgb="FF000000"/>
      <name val="Arial"/>
      <family val="2"/>
    </font>
    <font>
      <sz val="11"/>
      <color rgb="FF000000"/>
      <name val="Calibri"/>
      <family val="2"/>
    </font>
    <font>
      <sz val="10"/>
      <color rgb="FF000000"/>
      <name val="ArialMT"/>
      <charset val="1"/>
    </font>
    <font>
      <b/>
      <sz val="11"/>
      <name val="Calibri"/>
      <family val="2"/>
    </font>
    <font>
      <b/>
      <sz val="11"/>
      <color rgb="FF888888"/>
      <name val="Calibri"/>
      <family val="2"/>
    </font>
    <font>
      <sz val="11"/>
      <color rgb="FF888888"/>
      <name val="Calibri"/>
      <family val="2"/>
      <charset val="1"/>
    </font>
    <font>
      <u/>
      <sz val="11"/>
      <color theme="10"/>
      <name val="Calibri"/>
      <family val="2"/>
      <charset val="1"/>
    </font>
  </fonts>
  <fills count="25">
    <fill>
      <patternFill patternType="none"/>
    </fill>
    <fill>
      <patternFill patternType="gray125"/>
    </fill>
    <fill>
      <patternFill patternType="solid">
        <fgColor rgb="FFFFC000"/>
        <bgColor rgb="FFFF9900"/>
      </patternFill>
    </fill>
    <fill>
      <patternFill patternType="solid">
        <fgColor rgb="FF4472C4"/>
        <bgColor rgb="FF666699"/>
      </patternFill>
    </fill>
    <fill>
      <patternFill patternType="solid">
        <fgColor rgb="FFA5A5A5"/>
        <bgColor rgb="FFA6A6A6"/>
      </patternFill>
    </fill>
    <fill>
      <patternFill patternType="solid">
        <fgColor rgb="FFC9C9C9"/>
        <bgColor rgb="FFCCCCFF"/>
      </patternFill>
    </fill>
    <fill>
      <patternFill patternType="solid">
        <fgColor rgb="FFE7E6E6"/>
        <bgColor rgb="FFE2F0D9"/>
      </patternFill>
    </fill>
    <fill>
      <patternFill patternType="solid">
        <fgColor rgb="FFED7D31"/>
        <bgColor rgb="FFFF8080"/>
      </patternFill>
    </fill>
    <fill>
      <patternFill patternType="solid">
        <fgColor rgb="FFE2F0D9"/>
        <bgColor rgb="FFE7E6E6"/>
      </patternFill>
    </fill>
    <fill>
      <patternFill patternType="solid">
        <fgColor rgb="FFFFCC99"/>
        <bgColor rgb="FFFFD966"/>
      </patternFill>
    </fill>
    <fill>
      <patternFill patternType="solid">
        <fgColor rgb="FFFFFF00"/>
        <bgColor rgb="FFFFFF00"/>
      </patternFill>
    </fill>
    <fill>
      <patternFill patternType="solid">
        <fgColor rgb="FFFFD966"/>
        <bgColor rgb="FFFFCC99"/>
      </patternFill>
    </fill>
    <fill>
      <patternFill patternType="solid">
        <fgColor rgb="FFA9D18E"/>
        <bgColor rgb="FFC9C9C9"/>
      </patternFill>
    </fill>
    <fill>
      <patternFill patternType="solid">
        <fgColor rgb="FFF2F2F2"/>
        <bgColor rgb="FFE7E6E6"/>
      </patternFill>
    </fill>
    <fill>
      <patternFill patternType="solid">
        <fgColor rgb="FFFFF2CC"/>
        <bgColor rgb="FFF2F2F2"/>
      </patternFill>
    </fill>
    <fill>
      <patternFill patternType="solid">
        <fgColor rgb="FF808080"/>
        <bgColor rgb="FF666699"/>
      </patternFill>
    </fill>
    <fill>
      <patternFill patternType="solid">
        <fgColor rgb="FFFFFF00"/>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rgb="FFEEEEEE"/>
      </patternFill>
    </fill>
    <fill>
      <patternFill patternType="solid">
        <fgColor rgb="FFFFFFFF"/>
      </patternFill>
    </fill>
    <fill>
      <patternFill patternType="solid">
        <fgColor rgb="FFE5D0FE"/>
        <bgColor indexed="64"/>
      </patternFill>
    </fill>
    <fill>
      <patternFill patternType="solid">
        <fgColor rgb="FFFFC000"/>
        <bgColor indexed="64"/>
      </patternFill>
    </fill>
    <fill>
      <patternFill patternType="solid">
        <fgColor rgb="FF92D050"/>
        <bgColor indexed="64"/>
      </patternFill>
    </fill>
    <fill>
      <patternFill patternType="solid">
        <fgColor rgb="FFFFC000"/>
        <bgColor rgb="FF92D050"/>
      </patternFill>
    </fill>
  </fills>
  <borders count="6">
    <border>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auto="1"/>
      </left>
      <right style="thin">
        <color auto="1"/>
      </right>
      <top style="thin">
        <color auto="1"/>
      </top>
      <bottom style="thin">
        <color auto="1"/>
      </bottom>
      <diagonal/>
    </border>
    <border>
      <left style="thin">
        <color rgb="FFC6C6C6"/>
      </left>
      <right style="thin">
        <color rgb="FFC6C6C6"/>
      </right>
      <top style="thin">
        <color rgb="FFC6C6C6"/>
      </top>
      <bottom style="thin">
        <color rgb="FFC6C6C6"/>
      </bottom>
      <diagonal/>
    </border>
  </borders>
  <cellStyleXfs count="2">
    <xf numFmtId="0" fontId="0" fillId="0" borderId="0"/>
    <xf numFmtId="0" fontId="21" fillId="0" borderId="0" applyNumberFormat="0" applyFill="0" applyBorder="0" applyAlignment="0" applyProtection="0"/>
  </cellStyleXfs>
  <cellXfs count="116">
    <xf numFmtId="0" fontId="0" fillId="0" borderId="0" xfId="0"/>
    <xf numFmtId="0" fontId="1" fillId="0" borderId="0" xfId="0" applyFont="1"/>
    <xf numFmtId="0" fontId="2" fillId="0" borderId="0" xfId="0" applyFont="1"/>
    <xf numFmtId="164" fontId="0" fillId="0" borderId="0" xfId="0" applyNumberFormat="1"/>
    <xf numFmtId="0" fontId="4" fillId="2" borderId="0" xfId="0" applyFont="1" applyFill="1"/>
    <xf numFmtId="0" fontId="5" fillId="2" borderId="0" xfId="0" applyFont="1" applyFill="1"/>
    <xf numFmtId="164" fontId="4" fillId="2" borderId="0" xfId="0" applyNumberFormat="1" applyFont="1" applyFill="1"/>
    <xf numFmtId="0" fontId="4" fillId="3" borderId="0" xfId="0" applyFont="1" applyFill="1" applyAlignment="1">
      <alignment vertical="center" wrapText="1"/>
    </xf>
    <xf numFmtId="0" fontId="4" fillId="4" borderId="0" xfId="0" applyFont="1" applyFill="1"/>
    <xf numFmtId="0" fontId="6" fillId="4" borderId="0" xfId="0" applyFont="1" applyFill="1"/>
    <xf numFmtId="0" fontId="4" fillId="5" borderId="0" xfId="0" applyFont="1" applyFill="1" applyAlignment="1">
      <alignment wrapText="1"/>
    </xf>
    <xf numFmtId="0" fontId="6" fillId="5" borderId="0" xfId="0" applyFont="1" applyFill="1" applyAlignment="1">
      <alignment wrapText="1"/>
    </xf>
    <xf numFmtId="0" fontId="4" fillId="6" borderId="0" xfId="0" applyFont="1" applyFill="1" applyAlignment="1">
      <alignment wrapText="1"/>
    </xf>
    <xf numFmtId="0" fontId="4" fillId="6" borderId="0" xfId="0" applyFont="1" applyFill="1"/>
    <xf numFmtId="0" fontId="6" fillId="6" borderId="0" xfId="0" applyFont="1" applyFill="1"/>
    <xf numFmtId="0" fontId="4" fillId="7" borderId="0" xfId="0" applyFont="1" applyFill="1"/>
    <xf numFmtId="0" fontId="4" fillId="0" borderId="0" xfId="0" applyFont="1"/>
    <xf numFmtId="0" fontId="7" fillId="0" borderId="0" xfId="0" applyFont="1"/>
    <xf numFmtId="0" fontId="0" fillId="8" borderId="0" xfId="0" applyFill="1"/>
    <xf numFmtId="3" fontId="8" fillId="0" borderId="0" xfId="0" applyNumberFormat="1" applyFont="1"/>
    <xf numFmtId="4" fontId="0" fillId="9" borderId="0" xfId="0" applyNumberFormat="1" applyFill="1"/>
    <xf numFmtId="3" fontId="0" fillId="0" borderId="0" xfId="0" applyNumberFormat="1" applyAlignment="1">
      <alignment horizontal="right" vertical="top"/>
    </xf>
    <xf numFmtId="3" fontId="9" fillId="0" borderId="0" xfId="0" applyNumberFormat="1" applyFont="1" applyAlignment="1">
      <alignment horizontal="right" vertical="top"/>
    </xf>
    <xf numFmtId="3" fontId="0" fillId="0" borderId="0" xfId="0" applyNumberFormat="1" applyAlignment="1">
      <alignment vertical="top"/>
    </xf>
    <xf numFmtId="0" fontId="0" fillId="10" borderId="0" xfId="0" applyFill="1"/>
    <xf numFmtId="3" fontId="10" fillId="0" borderId="0" xfId="0" applyNumberFormat="1" applyFont="1"/>
    <xf numFmtId="11" fontId="0" fillId="0" borderId="0" xfId="0" applyNumberFormat="1"/>
    <xf numFmtId="0" fontId="11" fillId="11" borderId="0" xfId="0" applyFont="1" applyFill="1"/>
    <xf numFmtId="0" fontId="11" fillId="12" borderId="0" xfId="0" applyFont="1" applyFill="1"/>
    <xf numFmtId="0" fontId="12" fillId="12" borderId="0" xfId="0" applyFont="1" applyFill="1"/>
    <xf numFmtId="0" fontId="4" fillId="12" borderId="0" xfId="0" applyFont="1" applyFill="1"/>
    <xf numFmtId="0" fontId="13" fillId="0" borderId="0" xfId="0" applyFont="1"/>
    <xf numFmtId="0" fontId="15" fillId="0" borderId="0" xfId="0" applyFont="1"/>
    <xf numFmtId="9" fontId="14" fillId="0" borderId="0" xfId="0" applyNumberFormat="1" applyFont="1"/>
    <xf numFmtId="0" fontId="0" fillId="13" borderId="0" xfId="0" applyFill="1"/>
    <xf numFmtId="9" fontId="7" fillId="0" borderId="0" xfId="0" applyNumberFormat="1" applyFont="1"/>
    <xf numFmtId="3" fontId="0" fillId="0" borderId="0" xfId="0" applyNumberFormat="1" applyAlignment="1">
      <alignment horizontal="right" vertical="center"/>
    </xf>
    <xf numFmtId="3" fontId="17" fillId="0" borderId="0" xfId="0" applyNumberFormat="1" applyFont="1"/>
    <xf numFmtId="165" fontId="0" fillId="9" borderId="0" xfId="0" applyNumberFormat="1" applyFill="1"/>
    <xf numFmtId="9" fontId="0" fillId="9" borderId="0" xfId="0" applyNumberFormat="1" applyFill="1"/>
    <xf numFmtId="0" fontId="9" fillId="2" borderId="0" xfId="0" applyFont="1" applyFill="1"/>
    <xf numFmtId="9" fontId="9" fillId="2" borderId="0" xfId="0" applyNumberFormat="1" applyFont="1" applyFill="1"/>
    <xf numFmtId="0" fontId="4" fillId="14" borderId="1" xfId="0" applyFont="1" applyFill="1" applyBorder="1" applyAlignment="1">
      <alignment vertical="center"/>
    </xf>
    <xf numFmtId="0" fontId="4" fillId="14" borderId="2" xfId="0" applyFont="1" applyFill="1" applyBorder="1" applyAlignment="1">
      <alignment vertical="center" wrapText="1"/>
    </xf>
    <xf numFmtId="0" fontId="4" fillId="14" borderId="2" xfId="0" applyFont="1" applyFill="1" applyBorder="1" applyAlignment="1">
      <alignment wrapText="1"/>
    </xf>
    <xf numFmtId="0" fontId="4" fillId="14" borderId="2" xfId="0" applyFont="1" applyFill="1" applyBorder="1"/>
    <xf numFmtId="0" fontId="4" fillId="14" borderId="3" xfId="0" applyFont="1" applyFill="1" applyBorder="1"/>
    <xf numFmtId="0" fontId="0" fillId="2" borderId="0" xfId="0" applyFill="1" applyAlignment="1">
      <alignment vertical="center"/>
    </xf>
    <xf numFmtId="0" fontId="4" fillId="0" borderId="0" xfId="0" applyFont="1" applyAlignment="1">
      <alignment horizontal="left" vertical="center" wrapText="1"/>
    </xf>
    <xf numFmtId="0" fontId="0" fillId="0" borderId="0" xfId="0" applyAlignment="1">
      <alignment horizontal="left" vertical="center" wrapText="1"/>
    </xf>
    <xf numFmtId="0" fontId="0" fillId="0" borderId="0" xfId="0" applyAlignment="1">
      <alignment vertical="center" wrapText="1"/>
    </xf>
    <xf numFmtId="0" fontId="6" fillId="0" borderId="0" xfId="0" applyFont="1" applyAlignment="1">
      <alignment horizontal="left" vertical="center" wrapText="1"/>
    </xf>
    <xf numFmtId="0" fontId="3" fillId="0" borderId="0" xfId="0" applyFont="1" applyAlignment="1">
      <alignment vertical="center" wrapText="1"/>
    </xf>
    <xf numFmtId="0" fontId="3" fillId="0" borderId="0" xfId="0" applyFont="1"/>
    <xf numFmtId="0" fontId="16" fillId="0" borderId="0" xfId="0" applyFont="1" applyAlignment="1">
      <alignment wrapText="1"/>
    </xf>
    <xf numFmtId="164" fontId="4" fillId="0" borderId="0" xfId="0" applyNumberFormat="1" applyFont="1" applyAlignment="1">
      <alignment horizontal="left" vertical="center" wrapText="1"/>
    </xf>
    <xf numFmtId="0" fontId="0" fillId="3" borderId="0" xfId="0" applyFill="1" applyAlignment="1">
      <alignment vertical="center" wrapText="1"/>
    </xf>
    <xf numFmtId="0" fontId="4" fillId="0" borderId="0" xfId="0" applyFont="1" applyAlignment="1">
      <alignment vertical="center" wrapText="1"/>
    </xf>
    <xf numFmtId="0" fontId="0" fillId="0" borderId="0" xfId="0" applyAlignment="1">
      <alignment vertical="center"/>
    </xf>
    <xf numFmtId="0" fontId="0" fillId="4" borderId="0" xfId="0" applyFill="1" applyAlignment="1">
      <alignment vertical="center"/>
    </xf>
    <xf numFmtId="0" fontId="4" fillId="6" borderId="0" xfId="0" applyFont="1" applyFill="1" applyAlignment="1">
      <alignment vertical="center" wrapText="1"/>
    </xf>
    <xf numFmtId="0" fontId="7" fillId="0" borderId="0" xfId="0" applyFont="1" applyAlignment="1">
      <alignment wrapText="1"/>
    </xf>
    <xf numFmtId="0" fontId="14" fillId="0" borderId="0" xfId="0" applyFont="1"/>
    <xf numFmtId="0" fontId="4" fillId="5" borderId="0" xfId="0" applyFont="1" applyFill="1" applyAlignment="1">
      <alignment vertical="center" wrapText="1"/>
    </xf>
    <xf numFmtId="0" fontId="4" fillId="15" borderId="0" xfId="0" applyFont="1" applyFill="1" applyAlignment="1">
      <alignment vertical="center" wrapText="1"/>
    </xf>
    <xf numFmtId="0" fontId="0" fillId="7" borderId="0" xfId="0" applyFill="1" applyAlignment="1">
      <alignment vertical="center" wrapText="1"/>
    </xf>
    <xf numFmtId="0" fontId="0" fillId="12" borderId="0" xfId="0" applyFill="1" applyAlignment="1">
      <alignment vertical="center"/>
    </xf>
    <xf numFmtId="0" fontId="3" fillId="0" borderId="0" xfId="0" applyFont="1" applyAlignment="1">
      <alignment wrapText="1"/>
    </xf>
    <xf numFmtId="0" fontId="4" fillId="0" borderId="0" xfId="0" applyFont="1" applyAlignment="1">
      <alignment wrapText="1"/>
    </xf>
    <xf numFmtId="0" fontId="9" fillId="11" borderId="0" xfId="0" applyFont="1" applyFill="1" applyAlignment="1">
      <alignment vertical="center"/>
    </xf>
    <xf numFmtId="0" fontId="0" fillId="16" borderId="0" xfId="0" applyFill="1"/>
    <xf numFmtId="0" fontId="1" fillId="16" borderId="0" xfId="0" applyFont="1" applyFill="1"/>
    <xf numFmtId="0" fontId="9" fillId="16" borderId="0" xfId="0" applyFont="1" applyFill="1"/>
    <xf numFmtId="0" fontId="10" fillId="16" borderId="0" xfId="0" applyFont="1" applyFill="1"/>
    <xf numFmtId="3" fontId="0" fillId="16" borderId="0" xfId="0" applyNumberFormat="1" applyFill="1"/>
    <xf numFmtId="0" fontId="14" fillId="16" borderId="0" xfId="0" applyFont="1" applyFill="1"/>
    <xf numFmtId="9" fontId="0" fillId="16" borderId="0" xfId="0" applyNumberFormat="1" applyFill="1"/>
    <xf numFmtId="0" fontId="0" fillId="17" borderId="0" xfId="0" applyFill="1"/>
    <xf numFmtId="3" fontId="0" fillId="16" borderId="0" xfId="0" applyNumberFormat="1" applyFill="1" applyAlignment="1">
      <alignment horizontal="right" vertical="top"/>
    </xf>
    <xf numFmtId="0" fontId="0" fillId="18" borderId="0" xfId="0" applyFill="1"/>
    <xf numFmtId="0" fontId="0" fillId="16" borderId="0" xfId="0" applyFill="1" applyAlignment="1">
      <alignment wrapText="1"/>
    </xf>
    <xf numFmtId="11" fontId="0" fillId="16" borderId="0" xfId="0" applyNumberFormat="1" applyFill="1"/>
    <xf numFmtId="0" fontId="0" fillId="0" borderId="0" xfId="0" applyAlignment="1">
      <alignment wrapText="1"/>
    </xf>
    <xf numFmtId="0" fontId="9" fillId="0" borderId="0" xfId="0" applyFont="1"/>
    <xf numFmtId="0" fontId="10" fillId="0" borderId="0" xfId="0" applyFont="1"/>
    <xf numFmtId="3" fontId="0" fillId="0" borderId="0" xfId="0" applyNumberFormat="1"/>
    <xf numFmtId="9" fontId="0" fillId="0" borderId="0" xfId="0" applyNumberFormat="1"/>
    <xf numFmtId="165" fontId="0" fillId="16" borderId="0" xfId="0" applyNumberFormat="1" applyFill="1"/>
    <xf numFmtId="165" fontId="0" fillId="0" borderId="0" xfId="0" applyNumberFormat="1"/>
    <xf numFmtId="11" fontId="10" fillId="0" borderId="0" xfId="0" applyNumberFormat="1" applyFont="1"/>
    <xf numFmtId="0" fontId="18" fillId="0" borderId="4" xfId="0" applyFont="1" applyBorder="1" applyAlignment="1">
      <alignment horizontal="left" vertical="center"/>
    </xf>
    <xf numFmtId="0" fontId="18" fillId="2" borderId="4" xfId="0" applyFont="1" applyFill="1" applyBorder="1" applyAlignment="1">
      <alignment horizontal="center" vertical="top"/>
    </xf>
    <xf numFmtId="0" fontId="19" fillId="2" borderId="4" xfId="0" applyFont="1" applyFill="1" applyBorder="1" applyAlignment="1">
      <alignment horizontal="center" vertical="top"/>
    </xf>
    <xf numFmtId="166" fontId="18" fillId="2" borderId="4" xfId="0" applyNumberFormat="1" applyFont="1" applyFill="1" applyBorder="1" applyAlignment="1">
      <alignment horizontal="center" vertical="top"/>
    </xf>
    <xf numFmtId="0" fontId="20" fillId="0" borderId="0" xfId="0" applyFont="1"/>
    <xf numFmtId="166" fontId="0" fillId="0" borderId="0" xfId="0" applyNumberFormat="1"/>
    <xf numFmtId="0" fontId="18" fillId="0" borderId="4" xfId="0" applyFont="1" applyBorder="1" applyAlignment="1">
      <alignment horizontal="center" vertical="top"/>
    </xf>
    <xf numFmtId="0" fontId="18" fillId="3" borderId="4" xfId="0" applyFont="1" applyFill="1" applyBorder="1" applyAlignment="1">
      <alignment horizontal="center" vertical="top"/>
    </xf>
    <xf numFmtId="166" fontId="18" fillId="0" borderId="4" xfId="0" applyNumberFormat="1" applyFont="1" applyBorder="1" applyAlignment="1">
      <alignment horizontal="center" vertical="top"/>
    </xf>
    <xf numFmtId="0" fontId="18" fillId="19" borderId="5" xfId="0" applyFont="1" applyFill="1" applyBorder="1" applyAlignment="1">
      <alignment horizontal="center" vertical="top"/>
    </xf>
    <xf numFmtId="0" fontId="18" fillId="20" borderId="5" xfId="0" applyFont="1" applyFill="1" applyBorder="1" applyAlignment="1">
      <alignment horizontal="center" vertical="top"/>
    </xf>
    <xf numFmtId="0" fontId="0" fillId="19" borderId="5" xfId="0" applyFill="1" applyBorder="1"/>
    <xf numFmtId="0" fontId="0" fillId="20" borderId="5" xfId="0" applyFill="1" applyBorder="1"/>
    <xf numFmtId="0" fontId="21" fillId="19" borderId="5" xfId="1" applyFill="1" applyBorder="1"/>
    <xf numFmtId="0" fontId="21" fillId="20" borderId="5" xfId="1" applyFill="1" applyBorder="1"/>
    <xf numFmtId="0" fontId="18" fillId="16" borderId="4" xfId="0" applyFont="1" applyFill="1" applyBorder="1" applyAlignment="1">
      <alignment horizontal="center" vertical="top"/>
    </xf>
    <xf numFmtId="0" fontId="18" fillId="21" borderId="4" xfId="0" applyFont="1" applyFill="1" applyBorder="1" applyAlignment="1">
      <alignment horizontal="center" vertical="top"/>
    </xf>
    <xf numFmtId="0" fontId="0" fillId="21" borderId="0" xfId="0" applyFill="1"/>
    <xf numFmtId="166" fontId="0" fillId="21" borderId="0" xfId="0" applyNumberFormat="1" applyFill="1"/>
    <xf numFmtId="0" fontId="0" fillId="21" borderId="5" xfId="0" applyFill="1" applyBorder="1"/>
    <xf numFmtId="0" fontId="0" fillId="21" borderId="0" xfId="0" applyFill="1" applyAlignment="1">
      <alignment horizontal="center"/>
    </xf>
    <xf numFmtId="0" fontId="0" fillId="22" borderId="5" xfId="0" applyFill="1" applyBorder="1"/>
    <xf numFmtId="0" fontId="0" fillId="23" borderId="5" xfId="0" applyFill="1" applyBorder="1"/>
    <xf numFmtId="0" fontId="0" fillId="24" borderId="5" xfId="0" applyFill="1" applyBorder="1"/>
    <xf numFmtId="0" fontId="0" fillId="16" borderId="5" xfId="0" applyFill="1" applyBorder="1"/>
    <xf numFmtId="0" fontId="18" fillId="0" borderId="4" xfId="0" applyFont="1" applyBorder="1" applyAlignment="1">
      <alignment horizontal="left" vertical="center"/>
    </xf>
  </cellXfs>
  <cellStyles count="2">
    <cellStyle name="Hyperlink" xfId="1" builtinId="8"/>
    <cellStyle name="Normal" xfId="0" builtinId="0"/>
  </cellStyles>
  <dxfs count="0"/>
  <tableStyles count="0" defaultTableStyle="TableStyleMedium2" defaultPivotStyle="PivotStyleLight16"/>
  <colors>
    <indexedColors>
      <rgbColor rgb="FF000000"/>
      <rgbColor rgb="FFF2F2F2"/>
      <rgbColor rgb="FFFF0000"/>
      <rgbColor rgb="FF00FF00"/>
      <rgbColor rgb="FF0000FF"/>
      <rgbColor rgb="FFFFFF00"/>
      <rgbColor rgb="FFFF00FF"/>
      <rgbColor rgb="FF00FFFF"/>
      <rgbColor rgb="FF800000"/>
      <rgbColor rgb="FF008000"/>
      <rgbColor rgb="FF000080"/>
      <rgbColor rgb="FF808000"/>
      <rgbColor rgb="FF800080"/>
      <rgbColor rgb="FF008080"/>
      <rgbColor rgb="FFC9C9C9"/>
      <rgbColor rgb="FF808080"/>
      <rgbColor rgb="FFA6A6A6"/>
      <rgbColor rgb="FF993366"/>
      <rgbColor rgb="FFFFF2CC"/>
      <rgbColor rgb="FFE7E6E6"/>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E2F0D9"/>
      <rgbColor rgb="FFFFD966"/>
      <rgbColor rgb="FFA9D18E"/>
      <rgbColor rgb="FFFF99CC"/>
      <rgbColor rgb="FFCC99FF"/>
      <rgbColor rgb="FFFFCC99"/>
      <rgbColor rgb="FF4472C4"/>
      <rgbColor rgb="FF33CCCC"/>
      <rgbColor rgb="FF99CC00"/>
      <rgbColor rgb="FFFFC000"/>
      <rgbColor rgb="FFFF9900"/>
      <rgbColor rgb="FFED7D31"/>
      <rgbColor rgb="FF666699"/>
      <rgbColor rgb="FFA5A5A5"/>
      <rgbColor rgb="FF003366"/>
      <rgbColor rgb="FF339966"/>
      <rgbColor rgb="FF003300"/>
      <rgbColor rgb="FF333300"/>
      <rgbColor rgb="FF993300"/>
      <rgbColor rgb="FF993366"/>
      <rgbColor rgb="FF333399"/>
      <rgbColor rgb="FF232323"/>
      <rgbColor rgb="00003366"/>
      <rgbColor rgb="00339966"/>
      <rgbColor rgb="00003300"/>
      <rgbColor rgb="00333300"/>
      <rgbColor rgb="00993300"/>
      <rgbColor rgb="00993366"/>
      <rgbColor rgb="00333399"/>
      <rgbColor rgb="00333333"/>
    </indexedColors>
    <mruColors>
      <color rgb="FFE5D0FE"/>
      <color rgb="FFE1BFFF"/>
      <color rgb="FFB096C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10</xdr:col>
      <xdr:colOff>297160</xdr:colOff>
      <xdr:row>52</xdr:row>
      <xdr:rowOff>60120</xdr:rowOff>
    </xdr:to>
    <xdr:sp macro="" textlink="">
      <xdr:nvSpPr>
        <xdr:cNvPr id="2" name="TextBox 1">
          <a:extLst>
            <a:ext uri="{FF2B5EF4-FFF2-40B4-BE49-F238E27FC236}">
              <a16:creationId xmlns:a16="http://schemas.microsoft.com/office/drawing/2014/main" id="{4936A436-A307-A540-93E1-1C335151C930}"/>
            </a:ext>
          </a:extLst>
        </xdr:cNvPr>
        <xdr:cNvSpPr/>
      </xdr:nvSpPr>
      <xdr:spPr>
        <a:xfrm>
          <a:off x="660400" y="194733"/>
          <a:ext cx="6240760" cy="9991520"/>
        </a:xfrm>
        <a:prstGeom prst="rect">
          <a:avLst/>
        </a:prstGeom>
        <a:solidFill>
          <a:srgbClr val="FFFFFF"/>
        </a:solidFill>
        <a:ln w="9525">
          <a:solidFill>
            <a:srgbClr val="BCBCBC"/>
          </a:solidFill>
          <a:round/>
        </a:ln>
      </xdr:spPr>
      <xdr:style>
        <a:lnRef idx="0">
          <a:scrgbClr r="0" g="0" b="0"/>
        </a:lnRef>
        <a:fillRef idx="0">
          <a:scrgbClr r="0" g="0" b="0"/>
        </a:fillRef>
        <a:effectRef idx="0">
          <a:scrgbClr r="0" g="0" b="0"/>
        </a:effectRef>
        <a:fontRef idx="minor"/>
      </xdr:style>
      <xdr:txBody>
        <a:bodyPr vertOverflow="clip" horzOverflow="clip" lIns="90000" tIns="45000" rIns="90000" bIns="45000" anchor="t">
          <a:noAutofit/>
        </a:bodyPr>
        <a:lstStyle/>
        <a:p>
          <a:pPr>
            <a:lnSpc>
              <a:spcPct val="100000"/>
            </a:lnSpc>
          </a:pPr>
          <a:r>
            <a:rPr lang="en-US" sz="1100" b="1" strike="noStrike" spc="-1">
              <a:solidFill>
                <a:srgbClr val="000000"/>
              </a:solidFill>
              <a:latin typeface="Calibri"/>
            </a:rPr>
            <a:t>ITR Input data template </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The ITR tool can compute the temperature alignment equivalent for companies in four highest emitting sectors: Utilities, Steel, Oil and Gas and Automobiles.</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To calculate  temperature alignment scores, the tool requires several types of data, in 2 separate tabs:</a:t>
          </a:r>
          <a:endParaRPr lang="en-US" sz="1100" b="0" strike="noStrike" spc="-1">
            <a:latin typeface="Times New Roman"/>
          </a:endParaRPr>
        </a:p>
        <a:p>
          <a:pPr>
            <a:lnSpc>
              <a:spcPct val="100000"/>
            </a:lnSpc>
          </a:pPr>
          <a:r>
            <a:rPr lang="en-US" sz="1100" b="0" i="1" strike="noStrike" spc="-1">
              <a:solidFill>
                <a:srgbClr val="000000"/>
              </a:solidFill>
              <a:latin typeface="Calibri"/>
            </a:rPr>
            <a:t>- </a:t>
          </a:r>
          <a:r>
            <a:rPr lang="en-US" sz="1100" b="0" i="1" u="sng" strike="noStrike" spc="-1">
              <a:solidFill>
                <a:srgbClr val="000000"/>
              </a:solidFill>
              <a:uFillTx/>
              <a:latin typeface="Calibri"/>
            </a:rPr>
            <a:t>ITR Input data</a:t>
          </a:r>
          <a:r>
            <a:rPr lang="en-US" sz="1100" b="0" strike="noStrike" spc="-1">
              <a:solidFill>
                <a:srgbClr val="000000"/>
              </a:solidFill>
              <a:latin typeface="Calibri"/>
            </a:rPr>
            <a:t>:</a:t>
          </a:r>
          <a:endParaRPr lang="en-US" sz="1100" b="0" strike="noStrike" spc="-1">
            <a:latin typeface="Times New Roman"/>
          </a:endParaRPr>
        </a:p>
        <a:p>
          <a:pPr>
            <a:lnSpc>
              <a:spcPct val="100000"/>
            </a:lnSpc>
          </a:pPr>
          <a:r>
            <a:rPr lang="en-US" sz="1100" b="1" strike="noStrike" spc="-1">
              <a:solidFill>
                <a:srgbClr val="000000"/>
              </a:solidFill>
              <a:latin typeface="Calibri"/>
            </a:rPr>
            <a:t>Fundamental data: </a:t>
          </a:r>
          <a:r>
            <a:rPr lang="en-US" sz="1100" b="0" strike="noStrike" spc="-1">
              <a:solidFill>
                <a:srgbClr val="000000"/>
              </a:solidFill>
              <a:latin typeface="Calibri"/>
            </a:rPr>
            <a:t>information on a security level about your investments such as name, identifiers, and investment values.</a:t>
          </a:r>
          <a:endParaRPr lang="en-US" sz="1100" b="0" strike="noStrike" spc="-1">
            <a:latin typeface="Times New Roman"/>
          </a:endParaRPr>
        </a:p>
        <a:p>
          <a:pPr>
            <a:lnSpc>
              <a:spcPct val="100000"/>
            </a:lnSpc>
          </a:pPr>
          <a:r>
            <a:rPr lang="en-US" sz="1100" b="1" strike="noStrike" spc="-1">
              <a:solidFill>
                <a:srgbClr val="000000"/>
              </a:solidFill>
              <a:latin typeface="Calibri"/>
            </a:rPr>
            <a:t>Emissions data: </a:t>
          </a:r>
          <a:r>
            <a:rPr lang="en-US" sz="1100" b="0" strike="noStrike" spc="-1">
              <a:solidFill>
                <a:srgbClr val="000000"/>
              </a:solidFill>
              <a:latin typeface="Calibri"/>
            </a:rPr>
            <a:t>Reported GHG emissions for the past 5 years (timeseries) for scope 1 and scope 2 of investee companies </a:t>
          </a:r>
          <a:endParaRPr lang="en-US" sz="1100" b="0" strike="noStrike" spc="-1">
            <a:latin typeface="Times New Roman"/>
          </a:endParaRPr>
        </a:p>
        <a:p>
          <a:pPr>
            <a:lnSpc>
              <a:spcPct val="100000"/>
            </a:lnSpc>
          </a:pPr>
          <a:r>
            <a:rPr lang="en-US" sz="1100" b="1" strike="noStrike" spc="-1">
              <a:solidFill>
                <a:srgbClr val="000000"/>
              </a:solidFill>
              <a:latin typeface="Calibri"/>
            </a:rPr>
            <a:t>Production data</a:t>
          </a:r>
          <a:r>
            <a:rPr lang="en-US" sz="1100" b="0" strike="noStrike" spc="-1">
              <a:solidFill>
                <a:srgbClr val="000000"/>
              </a:solidFill>
              <a:latin typeface="Calibri"/>
            </a:rPr>
            <a:t>: reported production data specific to each sector of investee companies, for the past 5 years</a:t>
          </a:r>
          <a:endParaRPr lang="en-US" sz="1100" b="0" strike="noStrike" spc="-1">
            <a:latin typeface="Times New Roman"/>
          </a:endParaRPr>
        </a:p>
        <a:p>
          <a:pPr>
            <a:lnSpc>
              <a:spcPct val="100000"/>
            </a:lnSpc>
          </a:pPr>
          <a:r>
            <a:rPr lang="en-US" sz="1100" b="0" i="1" strike="noStrike" spc="-1">
              <a:solidFill>
                <a:srgbClr val="000000"/>
              </a:solidFill>
              <a:latin typeface="Calibri"/>
            </a:rPr>
            <a:t>- </a:t>
          </a:r>
          <a:r>
            <a:rPr lang="en-US" sz="1100" b="0" i="1" u="sng" strike="noStrike" spc="-1">
              <a:solidFill>
                <a:srgbClr val="000000"/>
              </a:solidFill>
              <a:uFillTx/>
              <a:latin typeface="Calibri"/>
            </a:rPr>
            <a:t>ITR Target input data:</a:t>
          </a:r>
          <a:endParaRPr lang="en-US" sz="1100" b="0" strike="noStrike" spc="-1">
            <a:latin typeface="Times New Roman"/>
          </a:endParaRPr>
        </a:p>
        <a:p>
          <a:pPr>
            <a:lnSpc>
              <a:spcPct val="100000"/>
            </a:lnSpc>
          </a:pPr>
          <a:r>
            <a:rPr lang="en-US" sz="1100" b="1" strike="noStrike" spc="-1">
              <a:solidFill>
                <a:srgbClr val="000000"/>
              </a:solidFill>
              <a:latin typeface="Calibri"/>
            </a:rPr>
            <a:t>Target data: </a:t>
          </a:r>
          <a:r>
            <a:rPr lang="en-US" sz="1100" b="0" strike="noStrike" spc="-1">
              <a:solidFill>
                <a:srgbClr val="000000"/>
              </a:solidFill>
              <a:latin typeface="Calibri"/>
            </a:rPr>
            <a:t>Data about the scope &amp; characteristics of the target set by investee companies</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As a user, you will need to supply information about the portfolio and all investee companies on a security level in the "</a:t>
          </a:r>
          <a:r>
            <a:rPr lang="en-US" sz="1100" b="1" strike="noStrike" spc="-1">
              <a:solidFill>
                <a:srgbClr val="000000"/>
              </a:solidFill>
              <a:latin typeface="Calibri"/>
            </a:rPr>
            <a:t>ITR input data</a:t>
          </a:r>
          <a:r>
            <a:rPr lang="en-US" sz="1100" b="0" strike="noStrike" spc="-1">
              <a:solidFill>
                <a:srgbClr val="000000"/>
              </a:solidFill>
              <a:latin typeface="Calibri"/>
            </a:rPr>
            <a:t>" tab and in the "</a:t>
          </a:r>
          <a:r>
            <a:rPr lang="en-US" sz="1100" b="1" strike="noStrike" spc="-1">
              <a:solidFill>
                <a:srgbClr val="000000"/>
              </a:solidFill>
              <a:latin typeface="Calibri"/>
            </a:rPr>
            <a:t>ITR target input data</a:t>
          </a:r>
          <a:r>
            <a:rPr lang="en-US" sz="1100" b="0" strike="noStrike" spc="-1">
              <a:solidFill>
                <a:srgbClr val="000000"/>
              </a:solidFill>
              <a:latin typeface="Calibri"/>
            </a:rPr>
            <a:t>" tab. The </a:t>
          </a:r>
          <a:r>
            <a:rPr lang="en-US" sz="1100" b="1" strike="noStrike" spc="-1">
              <a:solidFill>
                <a:srgbClr val="000000"/>
              </a:solidFill>
              <a:latin typeface="Calibri"/>
            </a:rPr>
            <a:t>input data </a:t>
          </a:r>
          <a:r>
            <a:rPr lang="en-US" sz="1100" b="0" strike="noStrike" spc="-1">
              <a:solidFill>
                <a:srgbClr val="000000"/>
              </a:solidFill>
              <a:latin typeface="Calibri"/>
            </a:rPr>
            <a:t>includes both fundamental data as well as historic information on emissions and production levels for the past 5 years that are required to compute ITR results. The target data includes </a:t>
          </a:r>
          <a:r>
            <a:rPr lang="en-US" sz="1100" b="1" strike="noStrike" spc="-1">
              <a:solidFill>
                <a:srgbClr val="000000"/>
              </a:solidFill>
              <a:latin typeface="Calibri"/>
            </a:rPr>
            <a:t>reduction ambition, scope, begin and end year of the target </a:t>
          </a:r>
          <a:r>
            <a:rPr lang="en-US" sz="1100" b="0" strike="noStrike" spc="-1">
              <a:solidFill>
                <a:srgbClr val="000000"/>
              </a:solidFill>
              <a:latin typeface="Calibri"/>
            </a:rPr>
            <a:t>also required to compute the ITR result. </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Once you have filled the input and target templates... </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The tool comes with several scenarios related to emission intensity and production projections from OECM and TPI.  It is possible to add other benchmark scenarios to the tool, but beyond the scope of this document.</a:t>
          </a:r>
          <a:endParaRPr lang="en-US" sz="1100" b="0" strike="noStrike" spc="-1">
            <a:latin typeface="Times New Roman"/>
          </a:endParaRPr>
        </a:p>
        <a:p>
          <a:pPr>
            <a:lnSpc>
              <a:spcPct val="100000"/>
            </a:lnSpc>
          </a:pPr>
          <a:r>
            <a:rPr lang="en-US" sz="1100" b="0" strike="noStrike" spc="-1">
              <a:solidFill>
                <a:srgbClr val="000000"/>
              </a:solidFill>
              <a:latin typeface="Calibri"/>
            </a:rPr>
            <a:t>Please contact the ITR tool team if you would like to add additional scenarios for testing or evaluation purposes.</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The tool will compute projections based on benchmark projections, as well as both stated targets (target projections) and an extrapolation of the past 5 years of performance (trajectory projections).  The target projections are computed against both near-term (typically 2030) and long-term goals (stated netzero attainment goals, typically 2040 or 2050). With those projections computed, the tool will calculate the Implied Temperature Rise of each portfolio company as pair of temperature scores that that the user can then evaluate in a number of ways.</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Output:</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The GUI of the tool allows the user to assign, on a position-by-position basis,  a probability that the subject company will succeed in hitting their (presumably more aggressive) stated targets vs. merely continuing on the path of the past 5 years of carbon reductions.  When probabilities are not set the tool assigns a probability of 50%.</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The user can also select how they want to weight each position's temperature score to compute an overall temperature score for their portfolio.  The effects of the weightings can be visualized in the tools GUI, and can also be downloaded as an additional column of data as an enrichment to the submitted portfolio.  The weighting methods are:</a:t>
          </a:r>
          <a:endParaRPr lang="en-US" sz="1100" b="0" strike="noStrike" spc="-1">
            <a:latin typeface="Times New Roman"/>
          </a:endParaRPr>
        </a:p>
        <a:p>
          <a:pPr>
            <a:lnSpc>
              <a:spcPct val="100000"/>
            </a:lnSpc>
          </a:pPr>
          <a:r>
            <a:rPr lang="en-US" sz="1100" b="0" strike="noStrike" spc="-1">
              <a:solidFill>
                <a:srgbClr val="000000"/>
              </a:solidFill>
              <a:latin typeface="Calibri"/>
            </a:rPr>
            <a:t>* WATS = weighted average size of position in portfolio</a:t>
          </a:r>
          <a:endParaRPr lang="en-US" sz="1100" b="0" strike="noStrike" spc="-1">
            <a:latin typeface="Times New Roman"/>
          </a:endParaRPr>
        </a:p>
        <a:p>
          <a:pPr>
            <a:lnSpc>
              <a:spcPct val="100000"/>
            </a:lnSpc>
          </a:pPr>
          <a:r>
            <a:rPr lang="en-US" sz="1100" b="0" strike="noStrike" spc="-1">
              <a:solidFill>
                <a:srgbClr val="000000"/>
              </a:solidFill>
              <a:latin typeface="Calibri"/>
            </a:rPr>
            <a:t>* TETS = weighted based on total emissions</a:t>
          </a:r>
          <a:endParaRPr lang="en-US" sz="1100" b="0" strike="noStrike" spc="-1">
            <a:latin typeface="Times New Roman"/>
          </a:endParaRPr>
        </a:p>
        <a:p>
          <a:pPr>
            <a:lnSpc>
              <a:spcPct val="100000"/>
            </a:lnSpc>
          </a:pPr>
          <a:r>
            <a:rPr lang="en-US" sz="1100" b="0" strike="noStrike" spc="-1">
              <a:solidFill>
                <a:srgbClr val="000000"/>
              </a:solidFill>
              <a:latin typeface="Calibri"/>
            </a:rPr>
            <a:t>* MOTS = market cap weights</a:t>
          </a:r>
          <a:endParaRPr lang="en-US" sz="1100" b="0" strike="noStrike" spc="-1">
            <a:latin typeface="Times New Roman"/>
          </a:endParaRPr>
        </a:p>
        <a:p>
          <a:pPr>
            <a:lnSpc>
              <a:spcPct val="100000"/>
            </a:lnSpc>
          </a:pPr>
          <a:r>
            <a:rPr lang="en-US" sz="1100" b="0" strike="noStrike" spc="-1">
              <a:solidFill>
                <a:srgbClr val="000000"/>
              </a:solidFill>
              <a:latin typeface="Calibri"/>
            </a:rPr>
            <a:t>* EOTS = enterprise value weights</a:t>
          </a:r>
          <a:endParaRPr lang="en-US" sz="1100" b="0" strike="noStrike" spc="-1">
            <a:latin typeface="Times New Roman"/>
          </a:endParaRPr>
        </a:p>
        <a:p>
          <a:pPr>
            <a:lnSpc>
              <a:spcPct val="100000"/>
            </a:lnSpc>
          </a:pPr>
          <a:r>
            <a:rPr lang="en-US" sz="1100" b="0" strike="noStrike" spc="-1">
              <a:solidFill>
                <a:srgbClr val="000000"/>
              </a:solidFill>
              <a:latin typeface="Calibri"/>
            </a:rPr>
            <a:t>* ECOTS = EVIC weights</a:t>
          </a:r>
          <a:endParaRPr lang="en-US" sz="1100" b="0" strike="noStrike" spc="-1">
            <a:latin typeface="Times New Roman"/>
          </a:endParaRPr>
        </a:p>
        <a:p>
          <a:pPr>
            <a:lnSpc>
              <a:spcPct val="100000"/>
            </a:lnSpc>
          </a:pPr>
          <a:r>
            <a:rPr lang="en-US" sz="1100" b="0" strike="noStrike" spc="-1">
              <a:solidFill>
                <a:srgbClr val="000000"/>
              </a:solidFill>
              <a:latin typeface="Calibri"/>
            </a:rPr>
            <a:t>* AOTS = asset weights</a:t>
          </a:r>
          <a:endParaRPr lang="en-US" sz="1100" b="0" strike="noStrike" spc="-1">
            <a:latin typeface="Times New Roman"/>
          </a:endParaRPr>
        </a:p>
        <a:p>
          <a:pPr>
            <a:lnSpc>
              <a:spcPct val="100000"/>
            </a:lnSpc>
          </a:pPr>
          <a:r>
            <a:rPr lang="en-US" sz="1100" b="0" strike="noStrike" spc="-1">
              <a:solidFill>
                <a:srgbClr val="000000"/>
              </a:solidFill>
              <a:latin typeface="Calibri"/>
            </a:rPr>
            <a:t>* ROTS = revenue weights</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i="1" strike="noStrike" spc="-1">
              <a:solidFill>
                <a:srgbClr val="000000"/>
              </a:solidFill>
              <a:latin typeface="Calibri"/>
            </a:rPr>
            <a:t>If you have any questions, please reach out to: </a:t>
          </a:r>
          <a:endParaRPr lang="en-US" sz="1100" b="0" strike="noStrike" spc="-1">
            <a:latin typeface="Times New Roman"/>
          </a:endParaRPr>
        </a:p>
        <a:p>
          <a:pPr>
            <a:lnSpc>
              <a:spcPct val="100000"/>
            </a:lnSpc>
          </a:pPr>
          <a:r>
            <a:rPr lang="en-US" sz="1100" b="0" strike="noStrike" spc="-1">
              <a:solidFill>
                <a:srgbClr val="000000"/>
              </a:solidFill>
              <a:latin typeface="Calibri"/>
            </a:rPr>
            <a:t>Franz.Croonenbrock@metafinanz.de</a:t>
          </a:r>
          <a:endParaRPr lang="en-US" sz="1100" b="0" strike="noStrike" spc="-1">
            <a:latin typeface="Times New Roman"/>
          </a:endParaRPr>
        </a:p>
        <a:p>
          <a:pPr>
            <a:lnSpc>
              <a:spcPct val="100000"/>
            </a:lnSpc>
          </a:pPr>
          <a:r>
            <a:rPr lang="en-US" sz="1100" b="0" strike="noStrike" spc="-1">
              <a:solidFill>
                <a:srgbClr val="000000"/>
              </a:solidFill>
              <a:latin typeface="Calibri"/>
            </a:rPr>
            <a:t>roland.oehen-kanzow@metafinanz.de</a:t>
          </a:r>
          <a:endParaRPr lang="en-US" sz="1100" b="0" strike="noStrike" spc="-1">
            <a:latin typeface="Times New Roman"/>
          </a:endParaRPr>
        </a:p>
        <a:p>
          <a:pPr>
            <a:lnSpc>
              <a:spcPct val="100000"/>
            </a:lnSpc>
          </a:pPr>
          <a:endParaRPr lang="en-US" sz="1100" b="0" strike="noStrike" spc="-1">
            <a:latin typeface="Times New Roman"/>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hyperlink" Target="https://www.aes.com/sites/default/files/2021-02/AES-2019-Sustainability-Report.pdf" TargetMode="External"/><Relationship Id="rId7" Type="http://schemas.openxmlformats.org/officeDocument/2006/relationships/hyperlink" Target="https://www.bmwgroup.com/content/dam/grpw/websites/bmwgroup_com/responsibility/downloads/en/2020/2020-BMW-Group-SVR-2019-Englisch.pdf" TargetMode="External"/><Relationship Id="rId2" Type="http://schemas.openxmlformats.org/officeDocument/2006/relationships/hyperlink" Target="https://www.aes.com/sites/default/files/2022-05/2021%20Improving%20Lives%20report.pdf" TargetMode="External"/><Relationship Id="rId1" Type="http://schemas.openxmlformats.org/officeDocument/2006/relationships/hyperlink" Target="https://www.aes.com/sites/default/files/2021-09/2020%20Performance%20Indicators.pdf" TargetMode="External"/><Relationship Id="rId6" Type="http://schemas.openxmlformats.org/officeDocument/2006/relationships/hyperlink" Target="https://www.bmwgroup.com/content/dam/grpw/websites/bmwgroup_com/ir/downloads/en/2022/hv/E3.7.2.pdf" TargetMode="External"/><Relationship Id="rId5" Type="http://schemas.openxmlformats.org/officeDocument/2006/relationships/hyperlink" Target="https://www.bmwgroup.com/content/dam/grpw/websites/bmwgroup_com/ir/downloads/en/2022/hv/E3.7.1.pdf" TargetMode="External"/><Relationship Id="rId4" Type="http://schemas.openxmlformats.org/officeDocument/2006/relationships/hyperlink" Target="https://www.aes.com/sites/default/files/2021-02/2018-Sustainability-Report.pdf" TargetMode="External"/></Relationships>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zoomScale="150" zoomScaleNormal="150" workbookViewId="0">
      <selection activeCell="M12" sqref="M12"/>
    </sheetView>
  </sheetViews>
  <sheetFormatPr baseColWidth="10" defaultColWidth="8.6640625" defaultRowHeight="15"/>
  <sheetData/>
  <pageMargins left="0.7" right="0.7" top="0.75" bottom="0.75" header="0.3" footer="0.511811023622047"/>
  <pageSetup paperSize="9" orientation="portrait" horizontalDpi="300" verticalDpi="300"/>
  <headerFooter>
    <oddHeader>&amp;C&amp;1 Confidential#</oddHeader>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P77"/>
  <sheetViews>
    <sheetView tabSelected="1" zoomScale="150" zoomScaleNormal="150" workbookViewId="0">
      <selection activeCell="F11" sqref="F11"/>
    </sheetView>
  </sheetViews>
  <sheetFormatPr baseColWidth="10" defaultColWidth="8.83203125" defaultRowHeight="15"/>
  <cols>
    <col min="1" max="1" width="38" customWidth="1"/>
    <col min="2" max="2" width="24" customWidth="1"/>
    <col min="3" max="3" width="16" customWidth="1"/>
    <col min="4" max="4" width="9" customWidth="1"/>
    <col min="5" max="5" width="15" customWidth="1"/>
    <col min="6" max="6" width="24" customWidth="1"/>
    <col min="7" max="9" width="10" customWidth="1"/>
    <col min="10" max="10" width="9" customWidth="1"/>
    <col min="11" max="11" width="13" customWidth="1"/>
    <col min="12" max="14" width="19" customWidth="1"/>
    <col min="15" max="15" width="20" customWidth="1"/>
    <col min="16" max="16" width="19" customWidth="1"/>
  </cols>
  <sheetData>
    <row r="1" spans="1:16">
      <c r="A1" s="90" t="s">
        <v>0</v>
      </c>
      <c r="B1" s="90" t="s">
        <v>1</v>
      </c>
      <c r="C1" s="90" t="s">
        <v>2</v>
      </c>
      <c r="D1" s="91" t="s">
        <v>3</v>
      </c>
      <c r="E1" s="92" t="s">
        <v>4</v>
      </c>
      <c r="F1" s="91" t="s">
        <v>5</v>
      </c>
      <c r="G1" s="91" t="s">
        <v>6</v>
      </c>
      <c r="H1" s="91" t="s">
        <v>7</v>
      </c>
      <c r="I1" s="91" t="s">
        <v>416</v>
      </c>
      <c r="J1" s="91" t="s">
        <v>417</v>
      </c>
      <c r="K1" s="93" t="s">
        <v>8</v>
      </c>
      <c r="L1" s="91" t="s">
        <v>9</v>
      </c>
      <c r="M1" s="91" t="s">
        <v>10</v>
      </c>
      <c r="N1" s="91" t="s">
        <v>11</v>
      </c>
      <c r="O1" s="91" t="s">
        <v>12</v>
      </c>
      <c r="P1" s="91" t="s">
        <v>13</v>
      </c>
    </row>
    <row r="2" spans="1:16">
      <c r="A2" s="90" t="s">
        <v>51</v>
      </c>
      <c r="B2" s="90" t="s">
        <v>52</v>
      </c>
      <c r="C2" s="90" t="s">
        <v>53</v>
      </c>
      <c r="D2" t="s">
        <v>54</v>
      </c>
      <c r="E2" s="94"/>
      <c r="F2" t="s">
        <v>55</v>
      </c>
      <c r="G2" t="s">
        <v>56</v>
      </c>
      <c r="H2" t="s">
        <v>57</v>
      </c>
      <c r="J2">
        <v>1</v>
      </c>
      <c r="K2" s="95">
        <v>44196</v>
      </c>
      <c r="L2">
        <v>9420000000</v>
      </c>
      <c r="M2">
        <v>10189000000</v>
      </c>
      <c r="N2">
        <v>8652000000</v>
      </c>
      <c r="O2">
        <v>9681000000</v>
      </c>
      <c r="P2">
        <v>33648000000</v>
      </c>
    </row>
    <row r="3" spans="1:16">
      <c r="A3" s="90" t="s">
        <v>60</v>
      </c>
      <c r="B3" s="90" t="s">
        <v>61</v>
      </c>
      <c r="C3" s="90" t="s">
        <v>62</v>
      </c>
      <c r="D3" t="s">
        <v>54</v>
      </c>
      <c r="E3" s="94" t="s">
        <v>63</v>
      </c>
      <c r="F3" t="s">
        <v>55</v>
      </c>
      <c r="G3" t="s">
        <v>56</v>
      </c>
      <c r="H3" t="s">
        <v>57</v>
      </c>
      <c r="J3">
        <v>1</v>
      </c>
      <c r="K3" s="95">
        <v>43830</v>
      </c>
      <c r="L3">
        <v>4285299935</v>
      </c>
      <c r="M3">
        <v>1240500000</v>
      </c>
      <c r="N3">
        <v>5829799935</v>
      </c>
      <c r="O3">
        <v>5899099935</v>
      </c>
      <c r="P3">
        <v>5482800000</v>
      </c>
    </row>
    <row r="4" spans="1:16">
      <c r="A4" s="90" t="s">
        <v>66</v>
      </c>
      <c r="B4" s="90" t="s">
        <v>67</v>
      </c>
      <c r="C4" s="90" t="s">
        <v>68</v>
      </c>
      <c r="D4" t="s">
        <v>54</v>
      </c>
      <c r="E4" s="94" t="s">
        <v>63</v>
      </c>
      <c r="F4" t="s">
        <v>55</v>
      </c>
      <c r="G4" t="s">
        <v>56</v>
      </c>
      <c r="H4" t="s">
        <v>57</v>
      </c>
      <c r="J4">
        <v>1</v>
      </c>
      <c r="K4" s="95">
        <v>43830</v>
      </c>
      <c r="L4">
        <v>11600000000</v>
      </c>
      <c r="M4">
        <v>3647700000</v>
      </c>
      <c r="N4">
        <v>18503600000</v>
      </c>
      <c r="O4">
        <v>18519900000</v>
      </c>
      <c r="P4">
        <v>16700700000</v>
      </c>
    </row>
    <row r="5" spans="1:16">
      <c r="A5" s="90" t="s">
        <v>69</v>
      </c>
      <c r="B5" s="90" t="s">
        <v>70</v>
      </c>
      <c r="C5" s="90" t="s">
        <v>71</v>
      </c>
      <c r="D5" t="s">
        <v>54</v>
      </c>
      <c r="E5" s="94" t="s">
        <v>63</v>
      </c>
      <c r="F5" t="s">
        <v>55</v>
      </c>
      <c r="G5" t="s">
        <v>56</v>
      </c>
      <c r="H5" t="s">
        <v>57</v>
      </c>
      <c r="J5">
        <v>1</v>
      </c>
      <c r="K5" s="95">
        <v>43830</v>
      </c>
      <c r="L5">
        <v>18378774986</v>
      </c>
      <c r="M5">
        <v>5910000000</v>
      </c>
      <c r="N5">
        <v>27804774986</v>
      </c>
      <c r="O5">
        <v>27820774986</v>
      </c>
      <c r="P5">
        <v>28933000000</v>
      </c>
    </row>
    <row r="6" spans="1:16">
      <c r="A6" s="90" t="s">
        <v>72</v>
      </c>
      <c r="B6" s="90" t="s">
        <v>73</v>
      </c>
      <c r="C6" s="90" t="s">
        <v>74</v>
      </c>
      <c r="D6" t="s">
        <v>54</v>
      </c>
      <c r="E6" s="94" t="s">
        <v>63</v>
      </c>
      <c r="F6" t="s">
        <v>55</v>
      </c>
      <c r="G6" t="s">
        <v>56</v>
      </c>
      <c r="H6" t="s">
        <v>57</v>
      </c>
      <c r="J6">
        <v>1</v>
      </c>
      <c r="K6" s="95">
        <v>43830</v>
      </c>
      <c r="L6">
        <v>43491855142</v>
      </c>
      <c r="M6">
        <v>15561400000</v>
      </c>
      <c r="N6">
        <v>73417055142</v>
      </c>
      <c r="O6">
        <v>73663855142</v>
      </c>
      <c r="P6">
        <v>75892300000</v>
      </c>
    </row>
    <row r="7" spans="1:16">
      <c r="A7" s="90" t="s">
        <v>75</v>
      </c>
      <c r="B7" s="90" t="s">
        <v>76</v>
      </c>
      <c r="C7" s="90" t="s">
        <v>77</v>
      </c>
      <c r="D7" t="s">
        <v>54</v>
      </c>
      <c r="E7" s="94"/>
      <c r="F7" t="s">
        <v>55</v>
      </c>
      <c r="G7" t="s">
        <v>56</v>
      </c>
      <c r="H7" t="s">
        <v>57</v>
      </c>
      <c r="J7">
        <v>1</v>
      </c>
      <c r="K7" s="95">
        <v>44561</v>
      </c>
      <c r="L7">
        <v>19310000000</v>
      </c>
      <c r="M7">
        <v>6974000000</v>
      </c>
      <c r="N7">
        <v>25930000000</v>
      </c>
      <c r="O7">
        <v>26341000000</v>
      </c>
      <c r="P7">
        <v>39504000000</v>
      </c>
    </row>
    <row r="8" spans="1:16">
      <c r="A8" s="90" t="s">
        <v>78</v>
      </c>
      <c r="B8" s="90" t="s">
        <v>76</v>
      </c>
      <c r="C8" s="90" t="s">
        <v>79</v>
      </c>
      <c r="D8" t="s">
        <v>54</v>
      </c>
      <c r="E8" s="94"/>
      <c r="F8" t="s">
        <v>80</v>
      </c>
      <c r="G8" t="s">
        <v>56</v>
      </c>
      <c r="H8" t="s">
        <v>57</v>
      </c>
      <c r="J8">
        <v>1</v>
      </c>
      <c r="K8" s="95">
        <v>44561</v>
      </c>
      <c r="L8">
        <v>19310000000</v>
      </c>
      <c r="M8">
        <v>6974000000</v>
      </c>
      <c r="N8">
        <v>25930000000</v>
      </c>
      <c r="O8">
        <v>26341000000</v>
      </c>
      <c r="P8">
        <v>39504000000</v>
      </c>
    </row>
    <row r="9" spans="1:16">
      <c r="A9" s="90" t="s">
        <v>81</v>
      </c>
      <c r="B9" s="90" t="s">
        <v>82</v>
      </c>
      <c r="C9" s="90" t="s">
        <v>83</v>
      </c>
      <c r="D9" t="s">
        <v>54</v>
      </c>
      <c r="E9" s="94"/>
      <c r="F9" t="s">
        <v>55</v>
      </c>
      <c r="G9" t="s">
        <v>56</v>
      </c>
      <c r="H9" t="s">
        <v>57</v>
      </c>
      <c r="J9">
        <v>1</v>
      </c>
      <c r="K9" s="95">
        <v>44196</v>
      </c>
      <c r="L9">
        <v>3528768075</v>
      </c>
      <c r="M9">
        <v>1734900000</v>
      </c>
      <c r="N9">
        <v>6659087075</v>
      </c>
      <c r="O9">
        <v>6668864075</v>
      </c>
      <c r="P9">
        <v>7558457000</v>
      </c>
    </row>
    <row r="10" spans="1:16">
      <c r="A10" s="90" t="s">
        <v>85</v>
      </c>
      <c r="B10" s="90" t="s">
        <v>86</v>
      </c>
      <c r="C10" s="90" t="s">
        <v>87</v>
      </c>
      <c r="D10" t="s">
        <v>88</v>
      </c>
      <c r="E10" s="94"/>
      <c r="F10" t="s">
        <v>89</v>
      </c>
      <c r="G10" t="s">
        <v>56</v>
      </c>
      <c r="H10" t="s">
        <v>57</v>
      </c>
      <c r="J10">
        <v>1</v>
      </c>
      <c r="K10" s="95">
        <v>44561</v>
      </c>
      <c r="L10">
        <v>65110000000</v>
      </c>
      <c r="M10">
        <v>122400000000</v>
      </c>
      <c r="N10">
        <v>126440000000</v>
      </c>
      <c r="O10">
        <v>145070000000</v>
      </c>
      <c r="P10">
        <v>229527000000</v>
      </c>
    </row>
    <row r="11" spans="1:16">
      <c r="A11" s="90" t="s">
        <v>91</v>
      </c>
      <c r="B11" s="90" t="s">
        <v>92</v>
      </c>
      <c r="C11" s="90" t="s">
        <v>93</v>
      </c>
      <c r="D11" t="s">
        <v>94</v>
      </c>
      <c r="E11" s="94" t="s">
        <v>95</v>
      </c>
      <c r="F11" t="s">
        <v>462</v>
      </c>
      <c r="G11" t="s">
        <v>56</v>
      </c>
      <c r="H11" t="s">
        <v>57</v>
      </c>
      <c r="J11">
        <v>1</v>
      </c>
      <c r="K11" s="95">
        <v>44561</v>
      </c>
      <c r="L11">
        <v>88050000000</v>
      </c>
      <c r="M11">
        <v>157730000000</v>
      </c>
      <c r="N11">
        <v>129010000000</v>
      </c>
      <c r="O11">
        <v>162250000000</v>
      </c>
      <c r="P11">
        <v>287272000000</v>
      </c>
    </row>
    <row r="12" spans="1:16">
      <c r="A12" s="90" t="s">
        <v>98</v>
      </c>
      <c r="B12" s="90" t="s">
        <v>99</v>
      </c>
      <c r="C12" s="90" t="s">
        <v>100</v>
      </c>
      <c r="D12" t="s">
        <v>54</v>
      </c>
      <c r="E12" s="94" t="s">
        <v>63</v>
      </c>
      <c r="F12" t="s">
        <v>101</v>
      </c>
      <c r="G12" t="s">
        <v>56</v>
      </c>
      <c r="H12" t="s">
        <v>57</v>
      </c>
      <c r="J12">
        <v>1</v>
      </c>
      <c r="K12" s="95">
        <v>43830</v>
      </c>
      <c r="L12">
        <v>1687208892</v>
      </c>
      <c r="M12">
        <v>2380200000</v>
      </c>
      <c r="N12">
        <v>2210808892</v>
      </c>
      <c r="O12">
        <v>2237808892</v>
      </c>
      <c r="P12">
        <v>3187800000</v>
      </c>
    </row>
    <row r="13" spans="1:16">
      <c r="A13" s="90" t="s">
        <v>103</v>
      </c>
      <c r="B13" s="90" t="s">
        <v>104</v>
      </c>
      <c r="C13" s="90" t="s">
        <v>105</v>
      </c>
      <c r="D13" t="s">
        <v>54</v>
      </c>
      <c r="E13" s="94"/>
      <c r="F13" t="s">
        <v>462</v>
      </c>
      <c r="G13" t="s">
        <v>56</v>
      </c>
      <c r="H13" t="s">
        <v>57</v>
      </c>
      <c r="J13">
        <v>1</v>
      </c>
      <c r="K13" s="95">
        <v>44561</v>
      </c>
      <c r="L13">
        <v>226210000000</v>
      </c>
      <c r="M13">
        <v>162465000000</v>
      </c>
      <c r="N13">
        <v>250506000000</v>
      </c>
      <c r="O13">
        <v>256146000000</v>
      </c>
      <c r="P13">
        <v>239535000000</v>
      </c>
    </row>
    <row r="14" spans="1:16">
      <c r="A14" s="90" t="s">
        <v>106</v>
      </c>
      <c r="B14" s="90" t="s">
        <v>107</v>
      </c>
      <c r="C14" s="90" t="s">
        <v>108</v>
      </c>
      <c r="D14" t="s">
        <v>54</v>
      </c>
      <c r="E14" s="94" t="s">
        <v>63</v>
      </c>
      <c r="F14" t="s">
        <v>101</v>
      </c>
      <c r="G14" t="s">
        <v>56</v>
      </c>
      <c r="H14" t="s">
        <v>57</v>
      </c>
      <c r="J14">
        <v>1</v>
      </c>
      <c r="K14" s="95">
        <v>43830</v>
      </c>
      <c r="L14">
        <v>2839987963</v>
      </c>
      <c r="M14">
        <v>1989900000</v>
      </c>
      <c r="N14">
        <v>4601187963</v>
      </c>
      <c r="O14">
        <v>4953787963</v>
      </c>
      <c r="P14">
        <v>3503800000</v>
      </c>
    </row>
    <row r="15" spans="1:16">
      <c r="A15" s="90" t="s">
        <v>109</v>
      </c>
      <c r="B15" s="90" t="s">
        <v>110</v>
      </c>
      <c r="C15" s="90" t="s">
        <v>111</v>
      </c>
      <c r="D15" t="s">
        <v>54</v>
      </c>
      <c r="E15" s="94" t="s">
        <v>63</v>
      </c>
      <c r="F15" t="s">
        <v>55</v>
      </c>
      <c r="G15" t="s">
        <v>56</v>
      </c>
      <c r="H15" t="s">
        <v>57</v>
      </c>
      <c r="J15">
        <v>1</v>
      </c>
      <c r="K15" s="95">
        <v>43830</v>
      </c>
      <c r="L15">
        <v>16352000000</v>
      </c>
      <c r="M15">
        <v>6845000000</v>
      </c>
      <c r="N15">
        <v>28163000000</v>
      </c>
      <c r="O15">
        <v>28303000000</v>
      </c>
      <c r="P15">
        <v>26837000000</v>
      </c>
    </row>
    <row r="16" spans="1:16">
      <c r="A16" s="90" t="s">
        <v>112</v>
      </c>
      <c r="B16" s="90" t="s">
        <v>113</v>
      </c>
      <c r="C16" s="90" t="s">
        <v>114</v>
      </c>
      <c r="D16" t="s">
        <v>54</v>
      </c>
      <c r="E16" s="94" t="s">
        <v>63</v>
      </c>
      <c r="F16" t="s">
        <v>101</v>
      </c>
      <c r="G16" t="s">
        <v>56</v>
      </c>
      <c r="H16" t="s">
        <v>57</v>
      </c>
      <c r="J16">
        <v>1</v>
      </c>
      <c r="K16" s="95">
        <v>43830</v>
      </c>
      <c r="L16">
        <v>1900000000</v>
      </c>
      <c r="M16">
        <v>5829002000</v>
      </c>
      <c r="N16">
        <v>3154921000</v>
      </c>
      <c r="O16">
        <v>3154921000</v>
      </c>
      <c r="P16">
        <v>3758771000</v>
      </c>
    </row>
    <row r="17" spans="1:16">
      <c r="A17" s="90" t="s">
        <v>115</v>
      </c>
      <c r="B17" s="90" t="s">
        <v>116</v>
      </c>
      <c r="C17" s="90" t="s">
        <v>117</v>
      </c>
      <c r="D17" t="s">
        <v>54</v>
      </c>
      <c r="E17" s="94" t="s">
        <v>63</v>
      </c>
      <c r="F17" t="s">
        <v>55</v>
      </c>
      <c r="G17" t="s">
        <v>56</v>
      </c>
      <c r="H17" t="s">
        <v>57</v>
      </c>
      <c r="J17">
        <v>1</v>
      </c>
      <c r="K17" s="95">
        <v>43830</v>
      </c>
      <c r="L17">
        <v>3528768075</v>
      </c>
      <c r="M17">
        <v>1639605000</v>
      </c>
      <c r="N17">
        <v>6659087075</v>
      </c>
      <c r="O17">
        <v>6668864075</v>
      </c>
      <c r="P17">
        <v>7476298000</v>
      </c>
    </row>
    <row r="18" spans="1:16">
      <c r="A18" s="90" t="s">
        <v>118</v>
      </c>
      <c r="B18" s="90" t="s">
        <v>119</v>
      </c>
      <c r="C18" s="90" t="s">
        <v>120</v>
      </c>
      <c r="D18" t="s">
        <v>54</v>
      </c>
      <c r="E18" s="94" t="s">
        <v>63</v>
      </c>
      <c r="F18" t="s">
        <v>55</v>
      </c>
      <c r="G18" t="s">
        <v>56</v>
      </c>
      <c r="H18" t="s">
        <v>57</v>
      </c>
      <c r="J18">
        <v>1</v>
      </c>
      <c r="K18" s="95">
        <v>43830</v>
      </c>
      <c r="L18">
        <v>29100000000</v>
      </c>
      <c r="M18">
        <v>12574000000</v>
      </c>
      <c r="N18">
        <v>48092000000</v>
      </c>
      <c r="O18">
        <v>49073000000</v>
      </c>
      <c r="P18">
        <v>58079000000</v>
      </c>
    </row>
    <row r="19" spans="1:16">
      <c r="A19" s="90" t="s">
        <v>121</v>
      </c>
      <c r="B19" s="90" t="s">
        <v>122</v>
      </c>
      <c r="C19" s="90" t="s">
        <v>123</v>
      </c>
      <c r="D19" t="s">
        <v>54</v>
      </c>
      <c r="E19" s="94" t="s">
        <v>63</v>
      </c>
      <c r="F19" t="s">
        <v>55</v>
      </c>
      <c r="G19" t="s">
        <v>56</v>
      </c>
      <c r="H19" t="s">
        <v>57</v>
      </c>
      <c r="J19">
        <v>1</v>
      </c>
      <c r="K19" s="95">
        <v>44561</v>
      </c>
      <c r="L19">
        <v>23150000000</v>
      </c>
      <c r="M19">
        <v>14964000000</v>
      </c>
      <c r="N19">
        <v>40810000000</v>
      </c>
      <c r="O19">
        <v>40877000000</v>
      </c>
      <c r="P19">
        <v>39719000000</v>
      </c>
    </row>
    <row r="20" spans="1:16">
      <c r="A20" s="90" t="s">
        <v>124</v>
      </c>
      <c r="B20" s="90" t="s">
        <v>125</v>
      </c>
      <c r="C20" s="90" t="s">
        <v>126</v>
      </c>
      <c r="D20" t="s">
        <v>54</v>
      </c>
      <c r="E20" s="94" t="s">
        <v>63</v>
      </c>
      <c r="F20" t="s">
        <v>55</v>
      </c>
      <c r="G20" t="s">
        <v>56</v>
      </c>
      <c r="H20" t="s">
        <v>57</v>
      </c>
      <c r="J20">
        <v>1</v>
      </c>
      <c r="K20" s="95">
        <v>43830</v>
      </c>
      <c r="L20">
        <v>62000000000</v>
      </c>
      <c r="M20">
        <v>16572000000</v>
      </c>
      <c r="N20">
        <v>95658000000</v>
      </c>
      <c r="O20">
        <v>95824000000</v>
      </c>
      <c r="P20">
        <v>103823000000</v>
      </c>
    </row>
    <row r="21" spans="1:16">
      <c r="A21" s="90" t="s">
        <v>127</v>
      </c>
      <c r="B21" s="90" t="s">
        <v>128</v>
      </c>
      <c r="C21" s="90" t="s">
        <v>129</v>
      </c>
      <c r="D21" t="s">
        <v>54</v>
      </c>
      <c r="E21" s="94" t="s">
        <v>63</v>
      </c>
      <c r="F21" t="s">
        <v>55</v>
      </c>
      <c r="G21" t="s">
        <v>56</v>
      </c>
      <c r="H21" t="s">
        <v>57</v>
      </c>
      <c r="J21">
        <v>1</v>
      </c>
      <c r="K21" s="95">
        <v>43830</v>
      </c>
      <c r="L21">
        <v>64230558771</v>
      </c>
      <c r="M21">
        <v>25079000000</v>
      </c>
      <c r="N21">
        <v>126981558771</v>
      </c>
      <c r="O21">
        <v>127292558771</v>
      </c>
      <c r="P21">
        <v>158838000000</v>
      </c>
    </row>
    <row r="22" spans="1:16">
      <c r="A22" s="90" t="s">
        <v>130</v>
      </c>
      <c r="B22" s="90" t="s">
        <v>131</v>
      </c>
      <c r="C22" s="90" t="s">
        <v>132</v>
      </c>
      <c r="D22" t="s">
        <v>133</v>
      </c>
      <c r="E22" s="94" t="s">
        <v>95</v>
      </c>
      <c r="F22" t="s">
        <v>55</v>
      </c>
      <c r="G22" t="s">
        <v>56</v>
      </c>
      <c r="H22" t="s">
        <v>57</v>
      </c>
      <c r="J22">
        <v>1</v>
      </c>
      <c r="K22" s="95">
        <v>44561</v>
      </c>
      <c r="L22">
        <v>50211000000</v>
      </c>
      <c r="M22">
        <v>84461000000</v>
      </c>
      <c r="N22">
        <v>83280000000</v>
      </c>
      <c r="O22">
        <v>93199000000</v>
      </c>
      <c r="P22">
        <v>360966000000</v>
      </c>
    </row>
    <row r="23" spans="1:16">
      <c r="A23" s="90" t="s">
        <v>134</v>
      </c>
      <c r="B23" s="90" t="s">
        <v>135</v>
      </c>
      <c r="C23" s="90" t="s">
        <v>136</v>
      </c>
      <c r="D23" t="s">
        <v>54</v>
      </c>
      <c r="E23" s="94" t="s">
        <v>63</v>
      </c>
      <c r="F23" t="s">
        <v>55</v>
      </c>
      <c r="G23" t="s">
        <v>56</v>
      </c>
      <c r="H23" t="s">
        <v>57</v>
      </c>
      <c r="J23">
        <v>1</v>
      </c>
      <c r="K23" s="95">
        <v>44561</v>
      </c>
      <c r="L23">
        <v>25920000000</v>
      </c>
      <c r="M23">
        <v>14905000000</v>
      </c>
      <c r="N23">
        <v>55360000000</v>
      </c>
      <c r="O23">
        <v>55750000000</v>
      </c>
      <c r="P23">
        <v>74745000000</v>
      </c>
    </row>
    <row r="24" spans="1:16">
      <c r="A24" s="90" t="s">
        <v>137</v>
      </c>
      <c r="B24" s="90" t="s">
        <v>138</v>
      </c>
      <c r="C24" s="90" t="s">
        <v>139</v>
      </c>
      <c r="D24" t="s">
        <v>140</v>
      </c>
      <c r="E24" s="94" t="s">
        <v>141</v>
      </c>
      <c r="F24" t="s">
        <v>55</v>
      </c>
      <c r="G24" t="s">
        <v>56</v>
      </c>
      <c r="H24" t="s">
        <v>57</v>
      </c>
      <c r="J24">
        <v>1</v>
      </c>
      <c r="K24" s="95">
        <v>44196</v>
      </c>
      <c r="L24">
        <v>8105859000</v>
      </c>
      <c r="M24">
        <v>12064489000</v>
      </c>
      <c r="N24">
        <v>11943556000</v>
      </c>
      <c r="O24">
        <v>13593042000</v>
      </c>
      <c r="P24">
        <v>26933558000</v>
      </c>
    </row>
    <row r="25" spans="1:16">
      <c r="A25" s="90" t="s">
        <v>143</v>
      </c>
      <c r="B25" s="90" t="s">
        <v>144</v>
      </c>
      <c r="C25" s="90" t="s">
        <v>145</v>
      </c>
      <c r="D25" t="s">
        <v>54</v>
      </c>
      <c r="E25" s="94" t="s">
        <v>63</v>
      </c>
      <c r="F25" t="s">
        <v>55</v>
      </c>
      <c r="G25" t="s">
        <v>56</v>
      </c>
      <c r="H25" t="s">
        <v>57</v>
      </c>
      <c r="J25">
        <v>1</v>
      </c>
      <c r="K25" s="95">
        <v>43830</v>
      </c>
      <c r="L25">
        <v>20500000000</v>
      </c>
      <c r="M25">
        <v>10878673000</v>
      </c>
      <c r="N25">
        <v>39134228000</v>
      </c>
      <c r="O25">
        <v>39559950000</v>
      </c>
      <c r="P25">
        <v>51723912000</v>
      </c>
    </row>
    <row r="26" spans="1:16">
      <c r="A26" s="90" t="s">
        <v>146</v>
      </c>
      <c r="B26" s="90" t="s">
        <v>147</v>
      </c>
      <c r="C26" s="90" t="s">
        <v>148</v>
      </c>
      <c r="D26" t="s">
        <v>54</v>
      </c>
      <c r="E26" s="94" t="s">
        <v>63</v>
      </c>
      <c r="F26" t="s">
        <v>55</v>
      </c>
      <c r="G26" t="s">
        <v>56</v>
      </c>
      <c r="H26" t="s">
        <v>57</v>
      </c>
      <c r="J26">
        <v>1</v>
      </c>
      <c r="K26" s="95">
        <v>43830</v>
      </c>
      <c r="L26">
        <v>14138041261</v>
      </c>
      <c r="M26">
        <v>5147800000</v>
      </c>
      <c r="N26">
        <v>22861541261</v>
      </c>
      <c r="O26">
        <v>22884741261</v>
      </c>
      <c r="P26">
        <v>25975900000</v>
      </c>
    </row>
    <row r="27" spans="1:16">
      <c r="A27" s="90" t="s">
        <v>149</v>
      </c>
      <c r="B27" s="90" t="s">
        <v>150</v>
      </c>
      <c r="C27" s="90" t="s">
        <v>151</v>
      </c>
      <c r="D27" t="s">
        <v>54</v>
      </c>
      <c r="E27" s="94" t="s">
        <v>63</v>
      </c>
      <c r="F27" t="s">
        <v>55</v>
      </c>
      <c r="G27" t="s">
        <v>56</v>
      </c>
      <c r="H27" t="s">
        <v>57</v>
      </c>
      <c r="J27">
        <v>1</v>
      </c>
      <c r="K27" s="95">
        <v>43830</v>
      </c>
      <c r="L27">
        <v>24486439602</v>
      </c>
      <c r="M27">
        <v>8526470000</v>
      </c>
      <c r="N27">
        <v>38241835602</v>
      </c>
      <c r="O27">
        <v>38257267602</v>
      </c>
      <c r="P27">
        <v>41123915000</v>
      </c>
    </row>
    <row r="28" spans="1:16">
      <c r="A28" s="90" t="s">
        <v>152</v>
      </c>
      <c r="B28" s="90" t="s">
        <v>153</v>
      </c>
      <c r="C28" s="90" t="s">
        <v>154</v>
      </c>
      <c r="D28" t="s">
        <v>54</v>
      </c>
      <c r="E28" s="94"/>
      <c r="F28" t="s">
        <v>55</v>
      </c>
      <c r="G28" t="s">
        <v>56</v>
      </c>
      <c r="H28" t="s">
        <v>57</v>
      </c>
      <c r="J28">
        <v>1</v>
      </c>
      <c r="K28" s="95">
        <v>44196</v>
      </c>
      <c r="L28">
        <v>35402501369</v>
      </c>
      <c r="M28">
        <v>34438000000</v>
      </c>
      <c r="N28">
        <v>66144501369</v>
      </c>
      <c r="O28">
        <v>66731501369</v>
      </c>
      <c r="P28">
        <v>124977000000</v>
      </c>
    </row>
    <row r="29" spans="1:16">
      <c r="A29" s="90" t="s">
        <v>155</v>
      </c>
      <c r="B29" s="90" t="s">
        <v>156</v>
      </c>
      <c r="C29" s="90" t="s">
        <v>157</v>
      </c>
      <c r="D29" t="s">
        <v>54</v>
      </c>
      <c r="E29" s="94" t="s">
        <v>63</v>
      </c>
      <c r="F29" t="s">
        <v>462</v>
      </c>
      <c r="G29" t="s">
        <v>56</v>
      </c>
      <c r="H29" t="s">
        <v>57</v>
      </c>
      <c r="J29">
        <v>1</v>
      </c>
      <c r="K29" s="95">
        <v>44196</v>
      </c>
      <c r="L29">
        <v>174280000000</v>
      </c>
      <c r="M29">
        <v>181502000000</v>
      </c>
      <c r="N29">
        <v>310294000000</v>
      </c>
      <c r="O29">
        <v>314658000000</v>
      </c>
      <c r="P29">
        <v>332750000000</v>
      </c>
    </row>
    <row r="30" spans="1:16">
      <c r="A30" s="90" t="s">
        <v>159</v>
      </c>
      <c r="B30" s="90" t="s">
        <v>160</v>
      </c>
      <c r="C30" s="90" t="s">
        <v>161</v>
      </c>
      <c r="D30" t="s">
        <v>54</v>
      </c>
      <c r="E30" s="94"/>
      <c r="F30" t="s">
        <v>55</v>
      </c>
      <c r="G30" t="s">
        <v>56</v>
      </c>
      <c r="H30" t="s">
        <v>57</v>
      </c>
      <c r="J30">
        <v>1</v>
      </c>
      <c r="K30" s="95">
        <v>44196</v>
      </c>
      <c r="L30">
        <v>20967401361</v>
      </c>
      <c r="M30">
        <v>11035000000</v>
      </c>
      <c r="N30">
        <v>39958401361</v>
      </c>
      <c r="O30">
        <v>40585401361</v>
      </c>
      <c r="P30">
        <v>42301000000</v>
      </c>
    </row>
    <row r="31" spans="1:16">
      <c r="A31" s="90" t="s">
        <v>162</v>
      </c>
      <c r="B31" s="90" t="s">
        <v>163</v>
      </c>
      <c r="C31" s="90" t="s">
        <v>164</v>
      </c>
      <c r="D31" t="s">
        <v>54</v>
      </c>
      <c r="E31" s="94"/>
      <c r="F31" t="s">
        <v>89</v>
      </c>
      <c r="G31" t="s">
        <v>56</v>
      </c>
      <c r="H31" t="s">
        <v>57</v>
      </c>
      <c r="J31">
        <v>1</v>
      </c>
      <c r="K31" s="95">
        <v>44561</v>
      </c>
      <c r="L31">
        <v>83000000000</v>
      </c>
      <c r="M31">
        <v>136300000000</v>
      </c>
      <c r="N31">
        <v>185040000000</v>
      </c>
      <c r="O31">
        <v>205580000000</v>
      </c>
      <c r="P31">
        <v>257035000000</v>
      </c>
    </row>
    <row r="32" spans="1:16">
      <c r="A32" s="90" t="s">
        <v>166</v>
      </c>
      <c r="B32" s="90" t="s">
        <v>167</v>
      </c>
      <c r="C32" s="90" t="s">
        <v>168</v>
      </c>
      <c r="D32" t="s">
        <v>169</v>
      </c>
      <c r="E32" s="94"/>
      <c r="F32" t="s">
        <v>55</v>
      </c>
      <c r="G32" t="s">
        <v>56</v>
      </c>
      <c r="H32" t="s">
        <v>57</v>
      </c>
      <c r="J32">
        <v>1</v>
      </c>
      <c r="K32" s="95">
        <v>44196</v>
      </c>
      <c r="L32">
        <v>21370500000</v>
      </c>
      <c r="M32">
        <v>6736467578.2073498</v>
      </c>
      <c r="N32">
        <v>21370500000</v>
      </c>
      <c r="O32">
        <v>21370500000</v>
      </c>
      <c r="P32">
        <v>40960299959.761497</v>
      </c>
    </row>
    <row r="33" spans="1:16">
      <c r="A33" s="90" t="s">
        <v>170</v>
      </c>
      <c r="B33" s="90" t="s">
        <v>171</v>
      </c>
      <c r="C33" s="90" t="s">
        <v>172</v>
      </c>
      <c r="D33" t="s">
        <v>54</v>
      </c>
      <c r="E33" s="94"/>
      <c r="F33" t="s">
        <v>89</v>
      </c>
      <c r="G33" t="s">
        <v>56</v>
      </c>
      <c r="H33" t="s">
        <v>57</v>
      </c>
      <c r="J33">
        <v>1</v>
      </c>
      <c r="K33" s="95">
        <v>44561</v>
      </c>
      <c r="L33">
        <v>59590000000</v>
      </c>
      <c r="M33">
        <v>122000000000</v>
      </c>
      <c r="N33">
        <v>144100000000</v>
      </c>
      <c r="O33">
        <v>164092000000</v>
      </c>
      <c r="P33">
        <v>235194000000</v>
      </c>
    </row>
    <row r="34" spans="1:16">
      <c r="A34" s="90" t="s">
        <v>174</v>
      </c>
      <c r="B34" s="90" t="s">
        <v>175</v>
      </c>
      <c r="C34" s="90" t="s">
        <v>176</v>
      </c>
      <c r="D34" t="s">
        <v>177</v>
      </c>
      <c r="E34" s="94" t="s">
        <v>141</v>
      </c>
      <c r="F34" t="s">
        <v>101</v>
      </c>
      <c r="G34" t="s">
        <v>56</v>
      </c>
      <c r="H34" t="s">
        <v>57</v>
      </c>
      <c r="J34">
        <v>1</v>
      </c>
      <c r="K34" s="95">
        <v>43830</v>
      </c>
      <c r="L34">
        <v>1912433600</v>
      </c>
      <c r="M34">
        <v>9835514922.9662399</v>
      </c>
      <c r="N34">
        <v>1912433600</v>
      </c>
      <c r="O34">
        <v>1912433600</v>
      </c>
      <c r="P34">
        <v>13397913513.7817</v>
      </c>
    </row>
    <row r="35" spans="1:16">
      <c r="A35" s="90" t="s">
        <v>178</v>
      </c>
      <c r="B35" s="90" t="s">
        <v>179</v>
      </c>
      <c r="C35" s="90" t="s">
        <v>180</v>
      </c>
      <c r="D35" t="s">
        <v>54</v>
      </c>
      <c r="E35" s="94" t="s">
        <v>63</v>
      </c>
      <c r="F35" t="s">
        <v>55</v>
      </c>
      <c r="G35" t="s">
        <v>56</v>
      </c>
      <c r="H35" t="s">
        <v>57</v>
      </c>
      <c r="J35">
        <v>1</v>
      </c>
      <c r="K35" s="95">
        <v>43830</v>
      </c>
      <c r="L35">
        <v>4745752027</v>
      </c>
      <c r="M35">
        <v>2874601000</v>
      </c>
      <c r="N35">
        <v>6513304027</v>
      </c>
      <c r="O35">
        <v>6710117027</v>
      </c>
      <c r="P35">
        <v>13745251000</v>
      </c>
    </row>
    <row r="36" spans="1:16">
      <c r="A36" s="90" t="s">
        <v>181</v>
      </c>
      <c r="B36" s="90" t="s">
        <v>182</v>
      </c>
      <c r="C36" s="90" t="s">
        <v>183</v>
      </c>
      <c r="D36" t="s">
        <v>184</v>
      </c>
      <c r="E36" s="94" t="s">
        <v>95</v>
      </c>
      <c r="F36" t="s">
        <v>55</v>
      </c>
      <c r="G36" t="s">
        <v>56</v>
      </c>
      <c r="H36" t="s">
        <v>57</v>
      </c>
      <c r="J36">
        <v>1</v>
      </c>
      <c r="K36" s="95">
        <v>44561</v>
      </c>
      <c r="L36">
        <v>66271000000</v>
      </c>
      <c r="M36">
        <v>39114000000</v>
      </c>
      <c r="N36">
        <v>27152000000</v>
      </c>
      <c r="O36">
        <v>31204000000</v>
      </c>
      <c r="P36">
        <v>141752000000</v>
      </c>
    </row>
    <row r="37" spans="1:16">
      <c r="A37" s="90" t="s">
        <v>185</v>
      </c>
      <c r="B37" s="90" t="s">
        <v>186</v>
      </c>
      <c r="C37" s="90" t="s">
        <v>187</v>
      </c>
      <c r="D37" t="s">
        <v>54</v>
      </c>
      <c r="E37" s="94"/>
      <c r="F37" t="s">
        <v>462</v>
      </c>
      <c r="G37" t="s">
        <v>56</v>
      </c>
      <c r="H37" t="s">
        <v>57</v>
      </c>
      <c r="J37">
        <v>1</v>
      </c>
      <c r="K37" s="95">
        <v>44561</v>
      </c>
      <c r="L37">
        <v>39390000000</v>
      </c>
      <c r="M37">
        <v>119983000000</v>
      </c>
      <c r="N37">
        <v>52590000000</v>
      </c>
      <c r="O37">
        <v>57881000000</v>
      </c>
      <c r="P37">
        <v>85373000000</v>
      </c>
    </row>
    <row r="38" spans="1:16">
      <c r="A38" s="90" t="s">
        <v>189</v>
      </c>
      <c r="B38" s="90" t="s">
        <v>190</v>
      </c>
      <c r="C38" s="90" t="s">
        <v>191</v>
      </c>
      <c r="D38" t="s">
        <v>54</v>
      </c>
      <c r="E38" s="94" t="s">
        <v>63</v>
      </c>
      <c r="F38" t="s">
        <v>55</v>
      </c>
      <c r="G38" t="s">
        <v>56</v>
      </c>
      <c r="H38" t="s">
        <v>57</v>
      </c>
      <c r="J38">
        <v>1</v>
      </c>
      <c r="K38" s="95">
        <v>43830</v>
      </c>
      <c r="L38">
        <v>5134204876</v>
      </c>
      <c r="M38">
        <v>5336776000</v>
      </c>
      <c r="N38">
        <v>7310852876</v>
      </c>
      <c r="O38">
        <v>7377311876</v>
      </c>
      <c r="P38">
        <v>7683059000</v>
      </c>
    </row>
    <row r="39" spans="1:16">
      <c r="A39" s="90" t="s">
        <v>192</v>
      </c>
      <c r="B39" s="90" t="s">
        <v>193</v>
      </c>
      <c r="C39" s="90" t="s">
        <v>194</v>
      </c>
      <c r="D39" t="s">
        <v>94</v>
      </c>
      <c r="E39" s="94" t="s">
        <v>95</v>
      </c>
      <c r="F39" t="s">
        <v>55</v>
      </c>
      <c r="G39" t="s">
        <v>56</v>
      </c>
      <c r="H39" t="s">
        <v>57</v>
      </c>
      <c r="J39">
        <v>1</v>
      </c>
      <c r="K39" s="95">
        <v>43830</v>
      </c>
      <c r="L39">
        <v>40783780623.597</v>
      </c>
      <c r="M39">
        <v>19393506493.5065</v>
      </c>
      <c r="N39">
        <v>40783780623.597</v>
      </c>
      <c r="O39">
        <v>40783780623.597</v>
      </c>
      <c r="P39">
        <v>81770129870.129898</v>
      </c>
    </row>
    <row r="40" spans="1:16">
      <c r="A40" s="90" t="s">
        <v>195</v>
      </c>
      <c r="B40" s="90" t="s">
        <v>196</v>
      </c>
      <c r="C40" s="90" t="s">
        <v>197</v>
      </c>
      <c r="D40" t="s">
        <v>54</v>
      </c>
      <c r="E40" s="94" t="s">
        <v>63</v>
      </c>
      <c r="F40" t="s">
        <v>55</v>
      </c>
      <c r="G40" t="s">
        <v>56</v>
      </c>
      <c r="H40" t="s">
        <v>57</v>
      </c>
      <c r="J40">
        <v>1</v>
      </c>
      <c r="K40" s="95">
        <v>43830</v>
      </c>
      <c r="L40">
        <v>97905404884</v>
      </c>
      <c r="M40">
        <v>19204000000</v>
      </c>
      <c r="N40">
        <v>134848404884</v>
      </c>
      <c r="O40">
        <v>135448404884</v>
      </c>
      <c r="P40">
        <v>117691000000</v>
      </c>
    </row>
    <row r="41" spans="1:16">
      <c r="A41" s="90" t="s">
        <v>198</v>
      </c>
      <c r="B41" s="90" t="s">
        <v>199</v>
      </c>
      <c r="C41" s="90" t="s">
        <v>200</v>
      </c>
      <c r="D41" t="s">
        <v>201</v>
      </c>
      <c r="E41" s="94" t="s">
        <v>202</v>
      </c>
      <c r="F41" t="s">
        <v>101</v>
      </c>
      <c r="G41" t="s">
        <v>56</v>
      </c>
      <c r="H41" t="s">
        <v>57</v>
      </c>
      <c r="J41">
        <v>1</v>
      </c>
      <c r="K41" s="95">
        <v>43830</v>
      </c>
      <c r="L41">
        <v>8148628613.7879906</v>
      </c>
      <c r="M41">
        <v>54869347664.936989</v>
      </c>
      <c r="N41">
        <v>33892605633.802818</v>
      </c>
      <c r="O41">
        <v>31209608969.607121</v>
      </c>
      <c r="P41">
        <v>68985961823.573013</v>
      </c>
    </row>
    <row r="42" spans="1:16">
      <c r="A42" s="90" t="s">
        <v>203</v>
      </c>
      <c r="B42" s="90" t="s">
        <v>204</v>
      </c>
      <c r="C42" s="90" t="s">
        <v>205</v>
      </c>
      <c r="D42" t="s">
        <v>54</v>
      </c>
      <c r="E42" s="94" t="s">
        <v>63</v>
      </c>
      <c r="F42" t="s">
        <v>55</v>
      </c>
      <c r="G42" t="s">
        <v>56</v>
      </c>
      <c r="H42" t="s">
        <v>57</v>
      </c>
      <c r="J42">
        <v>1</v>
      </c>
      <c r="K42" s="95">
        <v>43830</v>
      </c>
      <c r="L42">
        <v>10713311150</v>
      </c>
      <c r="M42">
        <v>5053400000</v>
      </c>
      <c r="N42">
        <v>19338411150</v>
      </c>
      <c r="O42">
        <v>19477711150</v>
      </c>
      <c r="P42">
        <v>22659800000</v>
      </c>
    </row>
    <row r="43" spans="1:16">
      <c r="A43" s="90" t="s">
        <v>206</v>
      </c>
      <c r="B43" s="90" t="s">
        <v>207</v>
      </c>
      <c r="C43" s="90" t="s">
        <v>208</v>
      </c>
      <c r="D43" t="s">
        <v>54</v>
      </c>
      <c r="E43" s="94" t="s">
        <v>63</v>
      </c>
      <c r="F43" t="s">
        <v>55</v>
      </c>
      <c r="G43" t="s">
        <v>56</v>
      </c>
      <c r="H43" t="s">
        <v>57</v>
      </c>
      <c r="J43">
        <v>1</v>
      </c>
      <c r="K43" s="95">
        <v>43830</v>
      </c>
      <c r="L43">
        <v>3639448000</v>
      </c>
      <c r="M43">
        <v>1257910000</v>
      </c>
      <c r="N43">
        <v>6051117000</v>
      </c>
      <c r="O43">
        <v>6056262000</v>
      </c>
      <c r="P43">
        <v>5910702000</v>
      </c>
    </row>
    <row r="44" spans="1:16">
      <c r="A44" s="90" t="s">
        <v>209</v>
      </c>
      <c r="B44" s="90" t="s">
        <v>210</v>
      </c>
      <c r="C44" s="90" t="s">
        <v>211</v>
      </c>
      <c r="D44" t="s">
        <v>54</v>
      </c>
      <c r="E44" s="94" t="s">
        <v>63</v>
      </c>
      <c r="F44" t="s">
        <v>101</v>
      </c>
      <c r="G44" t="s">
        <v>56</v>
      </c>
      <c r="H44" t="s">
        <v>57</v>
      </c>
      <c r="J44">
        <v>1</v>
      </c>
      <c r="K44" s="95">
        <v>43830</v>
      </c>
      <c r="L44">
        <v>16580000000</v>
      </c>
      <c r="M44">
        <v>22588858000</v>
      </c>
      <c r="N44">
        <v>19336696000</v>
      </c>
      <c r="O44">
        <v>20871301000</v>
      </c>
      <c r="P44">
        <v>18344666000</v>
      </c>
    </row>
    <row r="45" spans="1:16">
      <c r="A45" s="90" t="s">
        <v>212</v>
      </c>
      <c r="B45" s="90" t="s">
        <v>213</v>
      </c>
      <c r="C45" s="90" t="s">
        <v>214</v>
      </c>
      <c r="D45" t="s">
        <v>54</v>
      </c>
      <c r="E45" s="94"/>
      <c r="F45" t="s">
        <v>55</v>
      </c>
      <c r="G45" t="s">
        <v>56</v>
      </c>
      <c r="H45" t="s">
        <v>57</v>
      </c>
      <c r="J45">
        <v>1</v>
      </c>
      <c r="K45" s="95">
        <v>44196</v>
      </c>
      <c r="L45">
        <v>6077156282</v>
      </c>
      <c r="M45">
        <v>2231600000</v>
      </c>
      <c r="N45">
        <v>6077156282</v>
      </c>
      <c r="O45">
        <v>6077156282</v>
      </c>
      <c r="P45">
        <v>11024300000</v>
      </c>
    </row>
    <row r="46" spans="1:16">
      <c r="A46" s="90" t="s">
        <v>215</v>
      </c>
      <c r="B46" s="90" t="s">
        <v>216</v>
      </c>
      <c r="C46" s="90" t="s">
        <v>217</v>
      </c>
      <c r="D46" t="s">
        <v>177</v>
      </c>
      <c r="E46" s="94"/>
      <c r="F46" t="s">
        <v>462</v>
      </c>
      <c r="G46" t="s">
        <v>56</v>
      </c>
      <c r="H46" t="s">
        <v>57</v>
      </c>
      <c r="J46">
        <v>1</v>
      </c>
      <c r="K46" s="95">
        <v>44561</v>
      </c>
      <c r="L46">
        <v>69590000000</v>
      </c>
      <c r="M46">
        <v>83970000000</v>
      </c>
      <c r="N46">
        <v>656100000000</v>
      </c>
      <c r="O46">
        <v>756370000000</v>
      </c>
      <c r="P46">
        <v>174000000000</v>
      </c>
    </row>
    <row r="47" spans="1:16">
      <c r="A47" s="90" t="s">
        <v>218</v>
      </c>
      <c r="B47" s="90" t="s">
        <v>219</v>
      </c>
      <c r="C47" s="90" t="s">
        <v>220</v>
      </c>
      <c r="D47" t="s">
        <v>221</v>
      </c>
      <c r="E47" s="94"/>
      <c r="F47" t="s">
        <v>462</v>
      </c>
      <c r="G47" t="s">
        <v>56</v>
      </c>
      <c r="H47" t="s">
        <v>57</v>
      </c>
      <c r="J47">
        <v>1</v>
      </c>
      <c r="K47" s="95">
        <v>44561</v>
      </c>
      <c r="L47">
        <v>1</v>
      </c>
      <c r="M47">
        <v>59371200000</v>
      </c>
      <c r="N47">
        <v>1</v>
      </c>
      <c r="O47">
        <v>1</v>
      </c>
      <c r="P47">
        <v>152019000000</v>
      </c>
    </row>
    <row r="48" spans="1:16">
      <c r="A48" s="90" t="s">
        <v>223</v>
      </c>
      <c r="B48" s="90" t="s">
        <v>224</v>
      </c>
      <c r="C48" s="90" t="s">
        <v>225</v>
      </c>
      <c r="D48" t="s">
        <v>54</v>
      </c>
      <c r="E48" s="94" t="s">
        <v>63</v>
      </c>
      <c r="F48" t="s">
        <v>55</v>
      </c>
      <c r="G48" t="s">
        <v>56</v>
      </c>
      <c r="H48" t="s">
        <v>57</v>
      </c>
      <c r="J48">
        <v>1</v>
      </c>
      <c r="K48" s="95">
        <v>43830</v>
      </c>
      <c r="L48">
        <v>12130000000</v>
      </c>
      <c r="M48">
        <v>17129000000</v>
      </c>
      <c r="N48">
        <v>32736000000</v>
      </c>
      <c r="O48">
        <v>34306000000</v>
      </c>
      <c r="P48">
        <v>85196000000</v>
      </c>
    </row>
    <row r="49" spans="1:16">
      <c r="A49" s="90" t="s">
        <v>226</v>
      </c>
      <c r="B49" s="90" t="s">
        <v>227</v>
      </c>
      <c r="C49" s="90" t="s">
        <v>228</v>
      </c>
      <c r="D49" t="s">
        <v>54</v>
      </c>
      <c r="E49" s="94" t="s">
        <v>63</v>
      </c>
      <c r="F49" t="s">
        <v>55</v>
      </c>
      <c r="G49" t="s">
        <v>56</v>
      </c>
      <c r="H49" t="s">
        <v>57</v>
      </c>
      <c r="J49">
        <v>1</v>
      </c>
      <c r="K49" s="95">
        <v>43830</v>
      </c>
      <c r="L49">
        <v>4055165998</v>
      </c>
      <c r="M49">
        <v>1457603000</v>
      </c>
      <c r="N49">
        <v>6568781998</v>
      </c>
      <c r="O49">
        <v>6572614998</v>
      </c>
      <c r="P49">
        <v>7298774000</v>
      </c>
    </row>
    <row r="50" spans="1:16">
      <c r="A50" s="90" t="s">
        <v>229</v>
      </c>
      <c r="B50" s="90" t="s">
        <v>230</v>
      </c>
      <c r="C50" s="90" t="s">
        <v>231</v>
      </c>
      <c r="D50" t="s">
        <v>232</v>
      </c>
      <c r="E50" s="94" t="s">
        <v>202</v>
      </c>
      <c r="F50" t="s">
        <v>101</v>
      </c>
      <c r="G50" t="s">
        <v>56</v>
      </c>
      <c r="H50" t="s">
        <v>57</v>
      </c>
      <c r="J50">
        <v>1</v>
      </c>
      <c r="K50" s="95">
        <v>43830</v>
      </c>
      <c r="L50">
        <v>20260000000</v>
      </c>
      <c r="M50">
        <v>55955872344.100899</v>
      </c>
      <c r="N50">
        <v>20260000000</v>
      </c>
      <c r="O50">
        <v>20260000000</v>
      </c>
      <c r="P50">
        <v>68553124892.036598</v>
      </c>
    </row>
    <row r="51" spans="1:16">
      <c r="A51" s="90" t="s">
        <v>233</v>
      </c>
      <c r="B51" s="90" t="s">
        <v>234</v>
      </c>
      <c r="C51" s="90" t="s">
        <v>235</v>
      </c>
      <c r="D51" t="s">
        <v>54</v>
      </c>
      <c r="E51" s="94" t="s">
        <v>63</v>
      </c>
      <c r="F51" t="s">
        <v>55</v>
      </c>
      <c r="G51" t="s">
        <v>56</v>
      </c>
      <c r="H51" t="s">
        <v>57</v>
      </c>
      <c r="J51">
        <v>1</v>
      </c>
      <c r="K51" s="95">
        <v>43830</v>
      </c>
      <c r="L51">
        <v>22384264788</v>
      </c>
      <c r="M51">
        <v>7769000000</v>
      </c>
      <c r="N51">
        <v>43462264788</v>
      </c>
      <c r="O51">
        <v>44277264788</v>
      </c>
      <c r="P51">
        <v>45680000000</v>
      </c>
    </row>
    <row r="52" spans="1:16">
      <c r="A52" s="90" t="s">
        <v>236</v>
      </c>
      <c r="B52" s="90" t="s">
        <v>237</v>
      </c>
      <c r="C52" s="90" t="s">
        <v>238</v>
      </c>
      <c r="D52" t="s">
        <v>54</v>
      </c>
      <c r="E52" s="94" t="s">
        <v>63</v>
      </c>
      <c r="F52" t="s">
        <v>55</v>
      </c>
      <c r="G52" t="s">
        <v>56</v>
      </c>
      <c r="H52" t="s">
        <v>57</v>
      </c>
      <c r="J52">
        <v>1</v>
      </c>
      <c r="K52" s="95">
        <v>43830</v>
      </c>
      <c r="L52">
        <v>10536165750</v>
      </c>
      <c r="M52">
        <v>3471209000</v>
      </c>
      <c r="N52">
        <v>16720274750</v>
      </c>
      <c r="O52">
        <v>16730557750</v>
      </c>
      <c r="P52">
        <v>18479247000</v>
      </c>
    </row>
    <row r="53" spans="1:16">
      <c r="A53" s="90" t="s">
        <v>239</v>
      </c>
      <c r="B53" s="90" t="s">
        <v>240</v>
      </c>
      <c r="C53" s="90" t="s">
        <v>241</v>
      </c>
      <c r="D53" t="s">
        <v>54</v>
      </c>
      <c r="E53" s="94" t="s">
        <v>63</v>
      </c>
      <c r="F53" t="s">
        <v>55</v>
      </c>
      <c r="G53" t="s">
        <v>56</v>
      </c>
      <c r="H53" t="s">
        <v>57</v>
      </c>
      <c r="J53">
        <v>1</v>
      </c>
      <c r="K53" s="95">
        <v>43830</v>
      </c>
      <c r="L53">
        <v>4823580272</v>
      </c>
      <c r="M53">
        <v>2123000000</v>
      </c>
      <c r="N53">
        <v>7832580272</v>
      </c>
      <c r="O53">
        <v>7862580272</v>
      </c>
      <c r="P53">
        <v>8394000000</v>
      </c>
    </row>
    <row r="54" spans="1:16">
      <c r="A54" s="90" t="s">
        <v>242</v>
      </c>
      <c r="B54" s="90" t="s">
        <v>243</v>
      </c>
      <c r="C54" s="90" t="s">
        <v>244</v>
      </c>
      <c r="D54" t="s">
        <v>54</v>
      </c>
      <c r="E54" s="94" t="s">
        <v>63</v>
      </c>
      <c r="F54" t="s">
        <v>55</v>
      </c>
      <c r="G54" t="s">
        <v>56</v>
      </c>
      <c r="H54" t="s">
        <v>57</v>
      </c>
      <c r="J54">
        <v>1</v>
      </c>
      <c r="K54" s="95">
        <v>43830</v>
      </c>
      <c r="L54">
        <v>29513402185</v>
      </c>
      <c r="M54">
        <v>10076000000</v>
      </c>
      <c r="N54">
        <v>46089402185</v>
      </c>
      <c r="O54">
        <v>46236402185</v>
      </c>
      <c r="P54">
        <v>47730000000</v>
      </c>
    </row>
    <row r="55" spans="1:16">
      <c r="A55" s="90" t="s">
        <v>245</v>
      </c>
      <c r="B55" s="90" t="s">
        <v>246</v>
      </c>
      <c r="C55" s="90" t="s">
        <v>247</v>
      </c>
      <c r="D55" t="s">
        <v>248</v>
      </c>
      <c r="E55" s="94"/>
      <c r="F55" t="s">
        <v>462</v>
      </c>
      <c r="G55" t="s">
        <v>56</v>
      </c>
      <c r="H55" t="s">
        <v>57</v>
      </c>
      <c r="J55">
        <v>1</v>
      </c>
      <c r="K55" s="95">
        <v>44561</v>
      </c>
      <c r="L55">
        <v>1908000000000</v>
      </c>
      <c r="M55">
        <v>359460000000</v>
      </c>
      <c r="N55">
        <v>7400000000000</v>
      </c>
      <c r="O55">
        <v>7756460000000</v>
      </c>
      <c r="P55">
        <v>576700000000</v>
      </c>
    </row>
    <row r="56" spans="1:16">
      <c r="A56" s="90" t="s">
        <v>249</v>
      </c>
      <c r="B56" s="90" t="s">
        <v>250</v>
      </c>
      <c r="C56" s="90" t="s">
        <v>251</v>
      </c>
      <c r="D56" t="s">
        <v>54</v>
      </c>
      <c r="E56" s="94" t="s">
        <v>63</v>
      </c>
      <c r="F56" t="s">
        <v>55</v>
      </c>
      <c r="G56" t="s">
        <v>56</v>
      </c>
      <c r="H56" t="s">
        <v>57</v>
      </c>
      <c r="J56">
        <v>1</v>
      </c>
      <c r="K56" s="95">
        <v>43830</v>
      </c>
      <c r="L56">
        <v>37700000000</v>
      </c>
      <c r="M56">
        <v>10829000000</v>
      </c>
      <c r="N56">
        <v>58377000000</v>
      </c>
      <c r="O56">
        <v>58485000000</v>
      </c>
      <c r="P56">
        <v>65665000000</v>
      </c>
    </row>
    <row r="57" spans="1:16">
      <c r="A57" s="90" t="s">
        <v>252</v>
      </c>
      <c r="B57" s="90" t="s">
        <v>253</v>
      </c>
      <c r="C57" s="90" t="s">
        <v>254</v>
      </c>
      <c r="D57" t="s">
        <v>94</v>
      </c>
      <c r="E57" s="94" t="s">
        <v>95</v>
      </c>
      <c r="F57" t="s">
        <v>462</v>
      </c>
      <c r="G57" t="s">
        <v>56</v>
      </c>
      <c r="H57" t="s">
        <v>57</v>
      </c>
      <c r="J57">
        <v>1</v>
      </c>
      <c r="K57" s="95">
        <v>44561</v>
      </c>
      <c r="L57">
        <v>89760000000</v>
      </c>
      <c r="M57">
        <v>261500000000</v>
      </c>
      <c r="N57">
        <v>147090000000</v>
      </c>
      <c r="O57">
        <v>186060000000</v>
      </c>
      <c r="P57">
        <v>404379000000</v>
      </c>
    </row>
    <row r="58" spans="1:16">
      <c r="A58" s="90" t="s">
        <v>256</v>
      </c>
      <c r="B58" s="90" t="s">
        <v>257</v>
      </c>
      <c r="C58" s="90" t="s">
        <v>258</v>
      </c>
      <c r="D58" t="s">
        <v>259</v>
      </c>
      <c r="E58" s="94"/>
      <c r="F58" t="s">
        <v>462</v>
      </c>
      <c r="G58" t="s">
        <v>56</v>
      </c>
      <c r="H58" t="s">
        <v>57</v>
      </c>
      <c r="J58">
        <v>1</v>
      </c>
      <c r="K58" s="95">
        <v>44561</v>
      </c>
      <c r="L58">
        <v>75290000000</v>
      </c>
      <c r="M58">
        <v>401300000000</v>
      </c>
      <c r="N58">
        <v>778290000000</v>
      </c>
      <c r="O58">
        <v>1013240000000</v>
      </c>
      <c r="P58">
        <v>44619130000</v>
      </c>
    </row>
    <row r="59" spans="1:16">
      <c r="A59" s="90" t="s">
        <v>260</v>
      </c>
      <c r="B59" s="90" t="s">
        <v>261</v>
      </c>
      <c r="C59" s="90" t="s">
        <v>262</v>
      </c>
      <c r="D59" t="s">
        <v>232</v>
      </c>
      <c r="E59" s="94"/>
      <c r="F59" t="s">
        <v>462</v>
      </c>
      <c r="G59" t="s">
        <v>56</v>
      </c>
      <c r="H59" t="s">
        <v>57</v>
      </c>
      <c r="J59">
        <v>1</v>
      </c>
      <c r="K59" s="95">
        <v>44561</v>
      </c>
      <c r="L59">
        <v>16740000000</v>
      </c>
      <c r="M59">
        <v>40270000000</v>
      </c>
      <c r="N59">
        <v>25217920941.39727</v>
      </c>
      <c r="O59">
        <v>34470660446.24617</v>
      </c>
      <c r="P59">
        <v>41687797260.028313</v>
      </c>
    </row>
    <row r="60" spans="1:16">
      <c r="A60" s="90" t="s">
        <v>264</v>
      </c>
      <c r="B60" s="90" t="s">
        <v>265</v>
      </c>
      <c r="C60" s="90" t="s">
        <v>266</v>
      </c>
      <c r="D60" t="s">
        <v>54</v>
      </c>
      <c r="E60" s="94" t="s">
        <v>63</v>
      </c>
      <c r="F60" t="s">
        <v>55</v>
      </c>
      <c r="G60" t="s">
        <v>56</v>
      </c>
      <c r="H60" t="s">
        <v>57</v>
      </c>
      <c r="J60">
        <v>1</v>
      </c>
      <c r="K60" s="95">
        <v>43830</v>
      </c>
      <c r="L60">
        <v>57800000000</v>
      </c>
      <c r="M60">
        <v>21419000000</v>
      </c>
      <c r="N60">
        <v>97623000000</v>
      </c>
      <c r="O60">
        <v>99598000000</v>
      </c>
      <c r="P60">
        <v>118700000000</v>
      </c>
    </row>
    <row r="61" spans="1:16">
      <c r="A61" s="90" t="s">
        <v>267</v>
      </c>
      <c r="B61" s="90" t="s">
        <v>268</v>
      </c>
      <c r="C61" s="90" t="s">
        <v>269</v>
      </c>
      <c r="D61" t="s">
        <v>54</v>
      </c>
      <c r="E61" s="94" t="s">
        <v>63</v>
      </c>
      <c r="F61" t="s">
        <v>101</v>
      </c>
      <c r="G61" t="s">
        <v>56</v>
      </c>
      <c r="H61" t="s">
        <v>57</v>
      </c>
      <c r="J61">
        <v>1</v>
      </c>
      <c r="K61" s="95">
        <v>43830</v>
      </c>
      <c r="L61">
        <v>5000000000</v>
      </c>
      <c r="M61">
        <v>10464991000</v>
      </c>
      <c r="N61">
        <v>6352884000</v>
      </c>
      <c r="O61">
        <v>7734344000</v>
      </c>
      <c r="P61">
        <v>8275765000</v>
      </c>
    </row>
    <row r="62" spans="1:16">
      <c r="A62" s="90" t="s">
        <v>270</v>
      </c>
      <c r="B62" s="90" t="s">
        <v>271</v>
      </c>
      <c r="C62" s="90" t="s">
        <v>272</v>
      </c>
      <c r="D62" t="s">
        <v>169</v>
      </c>
      <c r="E62" s="94" t="s">
        <v>63</v>
      </c>
      <c r="F62" t="s">
        <v>55</v>
      </c>
      <c r="G62" t="s">
        <v>56</v>
      </c>
      <c r="H62" t="s">
        <v>57</v>
      </c>
      <c r="J62">
        <v>1</v>
      </c>
      <c r="K62" s="95">
        <v>43830</v>
      </c>
      <c r="L62">
        <v>50030000000</v>
      </c>
      <c r="M62">
        <v>10175225448.559799</v>
      </c>
      <c r="N62">
        <v>50030000000</v>
      </c>
      <c r="O62">
        <v>50030000000</v>
      </c>
      <c r="P62">
        <v>76211709340.442902</v>
      </c>
    </row>
    <row r="63" spans="1:16">
      <c r="A63" s="90" t="s">
        <v>273</v>
      </c>
      <c r="B63" s="90" t="s">
        <v>274</v>
      </c>
      <c r="C63" s="90" t="s">
        <v>275</v>
      </c>
      <c r="D63" t="s">
        <v>276</v>
      </c>
      <c r="E63" s="94" t="s">
        <v>95</v>
      </c>
      <c r="F63" t="s">
        <v>101</v>
      </c>
      <c r="G63" t="s">
        <v>56</v>
      </c>
      <c r="H63" t="s">
        <v>57</v>
      </c>
      <c r="J63">
        <v>1</v>
      </c>
      <c r="K63" s="95">
        <v>43830</v>
      </c>
      <c r="L63">
        <v>590000000</v>
      </c>
      <c r="M63">
        <v>7294055000</v>
      </c>
      <c r="N63">
        <v>590000000</v>
      </c>
      <c r="O63">
        <v>590000000</v>
      </c>
      <c r="P63">
        <v>14842991000</v>
      </c>
    </row>
    <row r="64" spans="1:16">
      <c r="A64" s="90" t="s">
        <v>277</v>
      </c>
      <c r="B64" s="90" t="s">
        <v>278</v>
      </c>
      <c r="C64" s="90" t="s">
        <v>279</v>
      </c>
      <c r="D64" t="s">
        <v>201</v>
      </c>
      <c r="E64" s="94"/>
      <c r="F64" t="s">
        <v>55</v>
      </c>
      <c r="G64" t="s">
        <v>56</v>
      </c>
      <c r="H64" t="s">
        <v>57</v>
      </c>
      <c r="J64">
        <v>1</v>
      </c>
      <c r="K64" s="95">
        <v>44561</v>
      </c>
      <c r="L64">
        <v>4140000000</v>
      </c>
      <c r="M64">
        <v>461314048710.8158</v>
      </c>
      <c r="N64">
        <v>39800000000</v>
      </c>
      <c r="O64">
        <v>46035502216.260452</v>
      </c>
      <c r="P64">
        <v>111638364676.0576</v>
      </c>
    </row>
    <row r="65" spans="1:16">
      <c r="A65" s="90" t="s">
        <v>280</v>
      </c>
      <c r="B65" s="90" t="s">
        <v>281</v>
      </c>
      <c r="C65" s="90" t="s">
        <v>282</v>
      </c>
      <c r="D65" t="s">
        <v>276</v>
      </c>
      <c r="E65" s="94" t="s">
        <v>95</v>
      </c>
      <c r="F65" t="s">
        <v>101</v>
      </c>
      <c r="G65" t="s">
        <v>56</v>
      </c>
      <c r="H65" t="s">
        <v>57</v>
      </c>
      <c r="J65">
        <v>1</v>
      </c>
      <c r="K65" s="95">
        <v>43830</v>
      </c>
      <c r="L65">
        <v>352130000</v>
      </c>
      <c r="M65">
        <v>10192818000</v>
      </c>
      <c r="N65">
        <v>352130000</v>
      </c>
      <c r="O65">
        <v>352130000</v>
      </c>
      <c r="P65">
        <v>12935533000</v>
      </c>
    </row>
    <row r="66" spans="1:16">
      <c r="A66" s="90" t="s">
        <v>283</v>
      </c>
      <c r="B66" s="90" t="s">
        <v>284</v>
      </c>
      <c r="C66" s="90" t="s">
        <v>285</v>
      </c>
      <c r="D66" t="s">
        <v>54</v>
      </c>
      <c r="E66" s="94" t="s">
        <v>63</v>
      </c>
      <c r="F66" t="s">
        <v>89</v>
      </c>
      <c r="G66" t="s">
        <v>56</v>
      </c>
      <c r="H66" t="s">
        <v>57</v>
      </c>
      <c r="J66">
        <v>1</v>
      </c>
      <c r="K66" s="95">
        <v>44561</v>
      </c>
      <c r="L66">
        <v>1061000000000</v>
      </c>
      <c r="M66">
        <v>53820000000</v>
      </c>
      <c r="N66">
        <v>1090000000000</v>
      </c>
      <c r="O66">
        <v>1108920000000</v>
      </c>
      <c r="P66">
        <v>62131000000</v>
      </c>
    </row>
    <row r="67" spans="1:16">
      <c r="A67" s="90" t="s">
        <v>286</v>
      </c>
      <c r="B67" s="90" t="s">
        <v>287</v>
      </c>
      <c r="C67" s="90" t="s">
        <v>288</v>
      </c>
      <c r="D67" t="s">
        <v>54</v>
      </c>
      <c r="E67" s="94" t="s">
        <v>63</v>
      </c>
      <c r="F67" t="s">
        <v>101</v>
      </c>
      <c r="G67" t="s">
        <v>56</v>
      </c>
      <c r="H67" t="s">
        <v>57</v>
      </c>
      <c r="J67">
        <v>1</v>
      </c>
      <c r="K67" s="95">
        <v>43830</v>
      </c>
      <c r="L67">
        <v>337525844</v>
      </c>
      <c r="M67">
        <v>1208800000</v>
      </c>
      <c r="N67">
        <v>400425844</v>
      </c>
      <c r="O67">
        <v>427525844</v>
      </c>
      <c r="P67">
        <v>1085200000</v>
      </c>
    </row>
    <row r="68" spans="1:16">
      <c r="A68" s="90" t="s">
        <v>289</v>
      </c>
      <c r="B68" s="90" t="s">
        <v>290</v>
      </c>
      <c r="C68" s="90" t="s">
        <v>291</v>
      </c>
      <c r="D68" t="s">
        <v>201</v>
      </c>
      <c r="E68" s="94"/>
      <c r="F68" t="s">
        <v>89</v>
      </c>
      <c r="G68" t="s">
        <v>56</v>
      </c>
      <c r="H68" t="s">
        <v>57</v>
      </c>
      <c r="J68">
        <v>1</v>
      </c>
      <c r="K68" s="95">
        <v>44196</v>
      </c>
      <c r="L68">
        <v>216000000000</v>
      </c>
      <c r="M68">
        <v>251620000000</v>
      </c>
      <c r="N68">
        <v>372000000000</v>
      </c>
      <c r="O68">
        <v>424400000000</v>
      </c>
      <c r="P68">
        <v>484660000000</v>
      </c>
    </row>
    <row r="69" spans="1:16">
      <c r="A69" s="90" t="s">
        <v>293</v>
      </c>
      <c r="B69" s="90" t="s">
        <v>294</v>
      </c>
      <c r="C69" s="90" t="s">
        <v>295</v>
      </c>
      <c r="D69" t="s">
        <v>54</v>
      </c>
      <c r="E69" s="94" t="s">
        <v>63</v>
      </c>
      <c r="F69" t="s">
        <v>101</v>
      </c>
      <c r="G69" t="s">
        <v>56</v>
      </c>
      <c r="H69" t="s">
        <v>57</v>
      </c>
      <c r="J69">
        <v>1</v>
      </c>
      <c r="K69" s="95">
        <v>43830</v>
      </c>
      <c r="L69">
        <v>2600000000</v>
      </c>
      <c r="M69">
        <v>12937000000</v>
      </c>
      <c r="N69">
        <v>5630000000</v>
      </c>
      <c r="O69">
        <v>6379000000</v>
      </c>
      <c r="P69">
        <v>11608000000</v>
      </c>
    </row>
    <row r="70" spans="1:16">
      <c r="A70" s="90" t="s">
        <v>296</v>
      </c>
      <c r="B70" s="90" t="s">
        <v>297</v>
      </c>
      <c r="C70" s="90" t="s">
        <v>298</v>
      </c>
      <c r="D70" t="s">
        <v>299</v>
      </c>
      <c r="E70" s="94" t="s">
        <v>95</v>
      </c>
      <c r="F70" t="s">
        <v>55</v>
      </c>
      <c r="G70" t="s">
        <v>56</v>
      </c>
      <c r="H70" t="s">
        <v>57</v>
      </c>
      <c r="J70">
        <v>1</v>
      </c>
      <c r="K70" s="95">
        <v>44561</v>
      </c>
      <c r="L70">
        <v>34359400000</v>
      </c>
      <c r="M70">
        <v>4776600000</v>
      </c>
      <c r="N70">
        <v>37551600000</v>
      </c>
      <c r="O70">
        <v>37870200000</v>
      </c>
      <c r="P70">
        <v>17111600000</v>
      </c>
    </row>
    <row r="71" spans="1:16">
      <c r="A71" s="90" t="s">
        <v>300</v>
      </c>
      <c r="B71" s="90" t="s">
        <v>301</v>
      </c>
      <c r="C71" s="90" t="s">
        <v>302</v>
      </c>
      <c r="D71" t="s">
        <v>169</v>
      </c>
      <c r="E71" s="94" t="s">
        <v>63</v>
      </c>
      <c r="F71" t="s">
        <v>55</v>
      </c>
      <c r="G71" t="s">
        <v>56</v>
      </c>
      <c r="H71" t="s">
        <v>57</v>
      </c>
      <c r="J71">
        <v>1</v>
      </c>
      <c r="K71" s="95">
        <v>43830</v>
      </c>
      <c r="L71">
        <v>34359400000</v>
      </c>
      <c r="M71">
        <v>4691120536.8652601</v>
      </c>
      <c r="N71">
        <v>37551600000</v>
      </c>
      <c r="O71">
        <v>37870200000</v>
      </c>
      <c r="P71">
        <v>24443570632.443699</v>
      </c>
    </row>
    <row r="72" spans="1:16">
      <c r="A72" s="90" t="s">
        <v>303</v>
      </c>
      <c r="B72" s="90" t="s">
        <v>304</v>
      </c>
      <c r="C72" s="90" t="s">
        <v>305</v>
      </c>
      <c r="D72" t="s">
        <v>54</v>
      </c>
      <c r="E72" s="94" t="s">
        <v>63</v>
      </c>
      <c r="F72" t="s">
        <v>55</v>
      </c>
      <c r="G72" t="s">
        <v>56</v>
      </c>
      <c r="H72" t="s">
        <v>57</v>
      </c>
      <c r="J72">
        <v>1</v>
      </c>
      <c r="K72" s="95">
        <v>44561</v>
      </c>
      <c r="L72">
        <v>10980000000</v>
      </c>
      <c r="M72">
        <v>12100000000</v>
      </c>
      <c r="N72">
        <v>24980000000</v>
      </c>
      <c r="O72">
        <v>26890000000</v>
      </c>
      <c r="P72">
        <v>29683000000</v>
      </c>
    </row>
    <row r="73" spans="1:16">
      <c r="A73" s="90" t="s">
        <v>306</v>
      </c>
      <c r="B73" s="90" t="s">
        <v>307</v>
      </c>
      <c r="C73" s="90" t="s">
        <v>308</v>
      </c>
      <c r="D73" t="s">
        <v>54</v>
      </c>
      <c r="E73" s="94" t="s">
        <v>63</v>
      </c>
      <c r="F73" t="s">
        <v>55</v>
      </c>
      <c r="G73" t="s">
        <v>56</v>
      </c>
      <c r="H73" t="s">
        <v>57</v>
      </c>
      <c r="J73">
        <v>1</v>
      </c>
      <c r="K73" s="95">
        <v>43830</v>
      </c>
      <c r="L73">
        <v>26300000000</v>
      </c>
      <c r="M73">
        <v>7523100000</v>
      </c>
      <c r="N73">
        <v>38120800000</v>
      </c>
      <c r="O73">
        <v>38158300000</v>
      </c>
      <c r="P73">
        <v>34951800000</v>
      </c>
    </row>
    <row r="74" spans="1:16">
      <c r="A74" s="90" t="s">
        <v>309</v>
      </c>
      <c r="B74" s="90" t="s">
        <v>310</v>
      </c>
      <c r="C74" s="90" t="s">
        <v>311</v>
      </c>
      <c r="D74" t="s">
        <v>54</v>
      </c>
      <c r="E74" s="94" t="s">
        <v>63</v>
      </c>
      <c r="F74" t="s">
        <v>101</v>
      </c>
      <c r="G74" t="s">
        <v>56</v>
      </c>
      <c r="H74" t="s">
        <v>57</v>
      </c>
      <c r="J74">
        <v>1</v>
      </c>
      <c r="K74" s="95">
        <v>43830</v>
      </c>
      <c r="L74">
        <v>1633376617</v>
      </c>
      <c r="M74">
        <v>3759556000</v>
      </c>
      <c r="N74">
        <v>2294113617</v>
      </c>
      <c r="O74">
        <v>2386476617</v>
      </c>
      <c r="P74">
        <v>2510796000</v>
      </c>
    </row>
    <row r="75" spans="1:16">
      <c r="A75" s="90" t="s">
        <v>312</v>
      </c>
      <c r="B75" s="90" t="s">
        <v>313</v>
      </c>
      <c r="C75" s="90" t="s">
        <v>314</v>
      </c>
      <c r="D75" t="s">
        <v>54</v>
      </c>
      <c r="E75" s="94" t="s">
        <v>63</v>
      </c>
      <c r="F75" t="s">
        <v>55</v>
      </c>
      <c r="G75" t="s">
        <v>56</v>
      </c>
      <c r="H75" t="s">
        <v>57</v>
      </c>
      <c r="J75">
        <v>1</v>
      </c>
      <c r="K75" s="95">
        <v>43830</v>
      </c>
      <c r="L75">
        <v>30629347167</v>
      </c>
      <c r="M75">
        <v>11529000000</v>
      </c>
      <c r="N75">
        <v>50608347167</v>
      </c>
      <c r="O75">
        <v>50856347167</v>
      </c>
      <c r="P75">
        <v>50448000000</v>
      </c>
    </row>
    <row r="76" spans="1:16">
      <c r="A76" s="90" t="s">
        <v>315</v>
      </c>
      <c r="B76" s="90" t="s">
        <v>316</v>
      </c>
      <c r="C76" s="90" t="s">
        <v>317</v>
      </c>
      <c r="D76" t="s">
        <v>94</v>
      </c>
      <c r="E76" s="94"/>
      <c r="F76" t="s">
        <v>318</v>
      </c>
      <c r="G76" t="s">
        <v>56</v>
      </c>
      <c r="H76" t="s">
        <v>57</v>
      </c>
      <c r="J76">
        <v>1</v>
      </c>
      <c r="K76" s="95">
        <v>44561</v>
      </c>
      <c r="L76">
        <v>2260000000</v>
      </c>
      <c r="M76">
        <v>9690000000</v>
      </c>
      <c r="N76">
        <v>1810000000</v>
      </c>
      <c r="O76">
        <v>2920000000</v>
      </c>
      <c r="P76">
        <v>4846000000</v>
      </c>
    </row>
    <row r="77" spans="1:16">
      <c r="A77" s="90" t="s">
        <v>319</v>
      </c>
      <c r="B77" s="90" t="s">
        <v>320</v>
      </c>
      <c r="C77" s="90" t="s">
        <v>321</v>
      </c>
      <c r="D77" t="s">
        <v>54</v>
      </c>
      <c r="E77" s="94"/>
      <c r="F77" t="s">
        <v>322</v>
      </c>
      <c r="G77" t="s">
        <v>56</v>
      </c>
      <c r="H77" t="s">
        <v>57</v>
      </c>
      <c r="J77">
        <v>1</v>
      </c>
      <c r="K77" s="95">
        <v>44561</v>
      </c>
      <c r="L77">
        <v>36310000000</v>
      </c>
      <c r="M77">
        <v>27740000000</v>
      </c>
      <c r="N77">
        <v>37840000000</v>
      </c>
      <c r="O77">
        <v>39030000000</v>
      </c>
      <c r="P77">
        <v>22073000000</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M523"/>
  <sheetViews>
    <sheetView zoomScaleNormal="100" workbookViewId="0">
      <pane xSplit="1" ySplit="1" topLeftCell="C2" activePane="bottomRight" state="frozen"/>
      <selection pane="topRight" activeCell="B1" sqref="B1"/>
      <selection pane="bottomLeft" activeCell="A2" sqref="A2"/>
      <selection pane="bottomRight" activeCell="E2" sqref="E2"/>
    </sheetView>
  </sheetViews>
  <sheetFormatPr baseColWidth="10" defaultColWidth="8.83203125" defaultRowHeight="15"/>
  <cols>
    <col min="1" max="1" width="38" customWidth="1"/>
    <col min="2" max="2" width="24" customWidth="1"/>
    <col min="3" max="3" width="16" customWidth="1"/>
    <col min="4" max="5" width="12" customWidth="1"/>
    <col min="6" max="6" width="17" customWidth="1"/>
    <col min="7" max="7" width="13" customWidth="1"/>
    <col min="8" max="13" width="14" customWidth="1"/>
  </cols>
  <sheetData>
    <row r="1" spans="1:13">
      <c r="A1" s="90" t="s">
        <v>0</v>
      </c>
      <c r="B1" s="90" t="s">
        <v>1</v>
      </c>
      <c r="C1" s="90" t="s">
        <v>2</v>
      </c>
      <c r="D1" s="96" t="s">
        <v>418</v>
      </c>
      <c r="E1" s="96" t="s">
        <v>461</v>
      </c>
      <c r="F1" s="97" t="s">
        <v>419</v>
      </c>
      <c r="G1" s="98" t="s">
        <v>8</v>
      </c>
      <c r="H1" s="99">
        <v>2016</v>
      </c>
      <c r="I1" s="100">
        <v>2017</v>
      </c>
      <c r="J1" s="99">
        <v>2018</v>
      </c>
      <c r="K1" s="100">
        <v>2019</v>
      </c>
      <c r="L1" s="99">
        <v>2020</v>
      </c>
      <c r="M1" s="100">
        <v>2021</v>
      </c>
    </row>
    <row r="2" spans="1:13">
      <c r="A2" s="115" t="s">
        <v>51</v>
      </c>
      <c r="B2" s="115" t="s">
        <v>52</v>
      </c>
      <c r="C2" s="115" t="s">
        <v>53</v>
      </c>
      <c r="D2" s="96" t="s">
        <v>420</v>
      </c>
      <c r="F2" t="s">
        <v>436</v>
      </c>
      <c r="G2" s="95">
        <v>43523</v>
      </c>
      <c r="H2" s="101">
        <v>70457</v>
      </c>
      <c r="I2" s="102">
        <v>63497</v>
      </c>
      <c r="J2" s="111">
        <v>51878</v>
      </c>
      <c r="K2" s="102"/>
      <c r="L2" s="101"/>
      <c r="M2" s="102"/>
    </row>
    <row r="3" spans="1:13">
      <c r="A3" s="115"/>
      <c r="B3" s="115"/>
      <c r="C3" s="115"/>
      <c r="D3" s="96" t="s">
        <v>421</v>
      </c>
      <c r="E3" t="s">
        <v>422</v>
      </c>
      <c r="F3" t="s">
        <v>436</v>
      </c>
      <c r="G3" s="95">
        <v>43523</v>
      </c>
      <c r="H3" s="101">
        <v>306</v>
      </c>
      <c r="I3" s="102">
        <v>226</v>
      </c>
      <c r="J3" s="101">
        <v>360</v>
      </c>
      <c r="K3" s="102"/>
      <c r="L3" s="101"/>
      <c r="M3" s="102"/>
    </row>
    <row r="4" spans="1:13">
      <c r="A4" s="115"/>
      <c r="B4" s="115"/>
      <c r="C4" s="115"/>
      <c r="D4" s="96" t="s">
        <v>421</v>
      </c>
      <c r="E4" t="s">
        <v>429</v>
      </c>
      <c r="F4" t="s">
        <v>436</v>
      </c>
      <c r="G4" s="95">
        <v>43523</v>
      </c>
      <c r="H4" s="101">
        <v>309</v>
      </c>
      <c r="I4" s="102">
        <v>230</v>
      </c>
      <c r="J4" s="101">
        <v>362</v>
      </c>
      <c r="K4" s="102"/>
      <c r="L4" s="101"/>
      <c r="M4" s="102"/>
    </row>
    <row r="5" spans="1:13">
      <c r="A5" s="115"/>
      <c r="B5" s="115"/>
      <c r="C5" s="115"/>
      <c r="D5" s="96" t="s">
        <v>423</v>
      </c>
      <c r="E5" t="s">
        <v>422</v>
      </c>
      <c r="F5" t="s">
        <v>436</v>
      </c>
      <c r="G5" s="95">
        <v>43523</v>
      </c>
      <c r="H5" s="101">
        <f>H2+H3</f>
        <v>70763</v>
      </c>
      <c r="I5" s="102">
        <f>I2+I3</f>
        <v>63723</v>
      </c>
      <c r="J5" s="101">
        <f>J2+J3</f>
        <v>52238</v>
      </c>
      <c r="K5" s="102"/>
      <c r="L5" s="101"/>
      <c r="M5" s="102"/>
    </row>
    <row r="6" spans="1:13">
      <c r="A6" s="115"/>
      <c r="B6" s="115"/>
      <c r="C6" s="115"/>
      <c r="D6" s="105" t="s">
        <v>424</v>
      </c>
      <c r="E6" s="70" t="s">
        <v>425</v>
      </c>
      <c r="F6" t="s">
        <v>436</v>
      </c>
      <c r="G6" s="95">
        <v>43523</v>
      </c>
      <c r="H6" s="101">
        <f>H7+H8</f>
        <v>5865.8</v>
      </c>
      <c r="I6" s="102">
        <f t="shared" ref="I6" si="0">I7+I8</f>
        <v>15422</v>
      </c>
      <c r="J6" s="101">
        <f t="shared" ref="J6" si="1">J7+J8</f>
        <v>10894.3</v>
      </c>
      <c r="K6" s="102"/>
      <c r="L6" s="101"/>
      <c r="M6" s="102"/>
    </row>
    <row r="7" spans="1:13">
      <c r="A7" s="115"/>
      <c r="B7" s="115"/>
      <c r="C7" s="115"/>
      <c r="D7" s="96" t="s">
        <v>424</v>
      </c>
      <c r="E7" t="s">
        <v>459</v>
      </c>
      <c r="F7" t="s">
        <v>436</v>
      </c>
      <c r="G7" s="95">
        <v>43523</v>
      </c>
      <c r="H7" s="101">
        <v>5864</v>
      </c>
      <c r="I7" s="102">
        <v>15421</v>
      </c>
      <c r="J7" s="101">
        <v>10893</v>
      </c>
      <c r="K7" s="102"/>
      <c r="L7" s="101"/>
      <c r="M7" s="102"/>
    </row>
    <row r="8" spans="1:13">
      <c r="A8" s="115"/>
      <c r="B8" s="115"/>
      <c r="C8" s="115"/>
      <c r="D8" s="96" t="s">
        <v>424</v>
      </c>
      <c r="E8" t="s">
        <v>460</v>
      </c>
      <c r="F8" t="s">
        <v>436</v>
      </c>
      <c r="G8" s="95">
        <v>43523</v>
      </c>
      <c r="H8" s="101">
        <v>1.8</v>
      </c>
      <c r="I8" s="102">
        <v>1</v>
      </c>
      <c r="J8" s="101">
        <v>1.3</v>
      </c>
      <c r="K8" s="102"/>
      <c r="L8" s="101"/>
      <c r="M8" s="102"/>
    </row>
    <row r="9" spans="1:13">
      <c r="A9" s="115"/>
      <c r="B9" s="115"/>
      <c r="C9" s="115"/>
      <c r="D9" s="96" t="s">
        <v>426</v>
      </c>
      <c r="E9" t="s">
        <v>56</v>
      </c>
      <c r="F9" t="s">
        <v>59</v>
      </c>
      <c r="G9" s="95">
        <v>43523</v>
      </c>
      <c r="H9" s="101"/>
      <c r="I9" s="102"/>
      <c r="J9" s="111">
        <v>81670.055999999997</v>
      </c>
      <c r="K9" s="102"/>
      <c r="L9" s="101"/>
      <c r="M9" s="102"/>
    </row>
    <row r="10" spans="1:13">
      <c r="A10" s="115"/>
      <c r="B10" s="115"/>
      <c r="C10" s="115"/>
      <c r="D10" s="96" t="s">
        <v>427</v>
      </c>
      <c r="G10" s="95">
        <v>43523</v>
      </c>
      <c r="H10" s="101"/>
      <c r="I10" s="102"/>
      <c r="J10" s="103" t="s">
        <v>435</v>
      </c>
      <c r="K10" s="102"/>
      <c r="L10" s="102"/>
      <c r="M10" s="102"/>
    </row>
    <row r="11" spans="1:13">
      <c r="A11" s="115" t="s">
        <v>51</v>
      </c>
      <c r="B11" s="115" t="s">
        <v>52</v>
      </c>
      <c r="C11" s="115" t="s">
        <v>53</v>
      </c>
      <c r="D11" s="96" t="s">
        <v>420</v>
      </c>
      <c r="F11" t="s">
        <v>436</v>
      </c>
      <c r="G11" s="95">
        <v>43888</v>
      </c>
      <c r="H11" s="101">
        <v>70457</v>
      </c>
      <c r="I11" s="102">
        <v>64527</v>
      </c>
      <c r="J11" s="111">
        <v>54154</v>
      </c>
      <c r="K11" s="112">
        <v>49092</v>
      </c>
      <c r="L11" s="101"/>
      <c r="M11" s="102"/>
    </row>
    <row r="12" spans="1:13">
      <c r="A12" s="115"/>
      <c r="B12" s="115"/>
      <c r="C12" s="115"/>
      <c r="D12" s="96" t="s">
        <v>421</v>
      </c>
      <c r="E12" t="s">
        <v>422</v>
      </c>
      <c r="F12" t="s">
        <v>436</v>
      </c>
      <c r="G12" s="95">
        <v>43888</v>
      </c>
      <c r="H12" s="101">
        <v>306</v>
      </c>
      <c r="I12" s="112">
        <v>226</v>
      </c>
      <c r="J12" s="112">
        <v>360</v>
      </c>
      <c r="K12" s="112">
        <v>359</v>
      </c>
      <c r="L12" s="101"/>
      <c r="M12" s="102"/>
    </row>
    <row r="13" spans="1:13">
      <c r="A13" s="115"/>
      <c r="B13" s="115"/>
      <c r="C13" s="115"/>
      <c r="D13" s="96" t="s">
        <v>421</v>
      </c>
      <c r="E13" t="s">
        <v>429</v>
      </c>
      <c r="F13" t="s">
        <v>436</v>
      </c>
      <c r="G13" s="95">
        <v>43888</v>
      </c>
      <c r="H13" s="101">
        <v>309</v>
      </c>
      <c r="I13" s="112">
        <v>230</v>
      </c>
      <c r="J13" s="112">
        <v>362</v>
      </c>
      <c r="K13" s="112">
        <v>360</v>
      </c>
      <c r="L13" s="101"/>
      <c r="M13" s="102"/>
    </row>
    <row r="14" spans="1:13">
      <c r="A14" s="115"/>
      <c r="B14" s="115"/>
      <c r="C14" s="115"/>
      <c r="D14" s="96" t="s">
        <v>423</v>
      </c>
      <c r="E14" t="s">
        <v>422</v>
      </c>
      <c r="F14" t="s">
        <v>436</v>
      </c>
      <c r="G14" s="95">
        <v>43888</v>
      </c>
      <c r="H14" s="101">
        <f>H11+H12</f>
        <v>70763</v>
      </c>
      <c r="I14" s="102">
        <f>I11+I12</f>
        <v>64753</v>
      </c>
      <c r="J14" s="101">
        <f>J11+J12</f>
        <v>54514</v>
      </c>
      <c r="K14" s="102">
        <f>K11+K12</f>
        <v>49451</v>
      </c>
      <c r="L14" s="101"/>
      <c r="M14" s="102"/>
    </row>
    <row r="15" spans="1:13">
      <c r="A15" s="115"/>
      <c r="B15" s="115"/>
      <c r="C15" s="115"/>
      <c r="D15" s="105" t="s">
        <v>424</v>
      </c>
      <c r="E15" s="70" t="s">
        <v>452</v>
      </c>
      <c r="F15" t="s">
        <v>436</v>
      </c>
      <c r="G15" s="95">
        <v>43888</v>
      </c>
      <c r="H15" s="101">
        <f>H16+H17</f>
        <v>5865.8</v>
      </c>
      <c r="I15" s="112">
        <f t="shared" ref="I15:K15" si="2">I16+I17</f>
        <v>15422</v>
      </c>
      <c r="J15" s="101">
        <f t="shared" si="2"/>
        <v>10894.3</v>
      </c>
      <c r="K15" s="112">
        <f t="shared" si="2"/>
        <v>10139.200000000001</v>
      </c>
      <c r="L15" s="101"/>
      <c r="M15" s="102"/>
    </row>
    <row r="16" spans="1:13">
      <c r="A16" s="115"/>
      <c r="B16" s="115"/>
      <c r="C16" s="115"/>
      <c r="D16" s="96" t="s">
        <v>424</v>
      </c>
      <c r="E16" t="s">
        <v>459</v>
      </c>
      <c r="F16" t="s">
        <v>436</v>
      </c>
      <c r="G16" s="95">
        <v>43888</v>
      </c>
      <c r="H16" s="101">
        <v>5864</v>
      </c>
      <c r="I16" s="112">
        <v>15421</v>
      </c>
      <c r="J16" s="101">
        <v>10893</v>
      </c>
      <c r="K16" s="112">
        <v>10138</v>
      </c>
      <c r="L16" s="101"/>
      <c r="M16" s="102"/>
    </row>
    <row r="17" spans="1:13">
      <c r="A17" s="115"/>
      <c r="B17" s="115"/>
      <c r="C17" s="115"/>
      <c r="D17" s="96" t="s">
        <v>424</v>
      </c>
      <c r="E17" t="s">
        <v>460</v>
      </c>
      <c r="F17" t="s">
        <v>436</v>
      </c>
      <c r="G17" s="95">
        <v>43888</v>
      </c>
      <c r="H17" s="101">
        <v>1.8</v>
      </c>
      <c r="I17" s="112">
        <v>1</v>
      </c>
      <c r="J17" s="101">
        <v>1.3</v>
      </c>
      <c r="K17" s="102">
        <v>1.2</v>
      </c>
      <c r="L17" s="101"/>
      <c r="M17" s="102"/>
    </row>
    <row r="18" spans="1:13">
      <c r="A18" s="115"/>
      <c r="B18" s="115"/>
      <c r="C18" s="115"/>
      <c r="D18" s="96" t="s">
        <v>426</v>
      </c>
      <c r="E18" t="s">
        <v>56</v>
      </c>
      <c r="F18" t="s">
        <v>59</v>
      </c>
      <c r="G18" s="95">
        <v>43888</v>
      </c>
      <c r="H18" s="101"/>
      <c r="I18" s="102"/>
      <c r="J18" s="111">
        <v>81694.925000000003</v>
      </c>
      <c r="K18" s="112">
        <v>75140.111000000004</v>
      </c>
      <c r="L18" s="101"/>
      <c r="M18" s="102"/>
    </row>
    <row r="19" spans="1:13">
      <c r="A19" s="115"/>
      <c r="B19" s="115"/>
      <c r="C19" s="115"/>
      <c r="D19" s="96" t="s">
        <v>426</v>
      </c>
      <c r="E19" t="s">
        <v>430</v>
      </c>
      <c r="F19" t="s">
        <v>59</v>
      </c>
      <c r="G19" s="95">
        <v>43888</v>
      </c>
      <c r="H19" s="101"/>
      <c r="I19" s="102"/>
      <c r="J19" s="101">
        <v>139311.10500000001</v>
      </c>
      <c r="K19" s="102">
        <v>132341.18400000001</v>
      </c>
      <c r="L19" s="101"/>
      <c r="M19" s="102"/>
    </row>
    <row r="20" spans="1:13">
      <c r="A20" s="115"/>
      <c r="B20" s="115"/>
      <c r="C20" s="115"/>
      <c r="D20" s="96" t="s">
        <v>427</v>
      </c>
      <c r="G20" s="95">
        <v>43888</v>
      </c>
      <c r="H20" s="101"/>
      <c r="I20" s="102"/>
      <c r="J20" s="101"/>
      <c r="K20" s="104" t="s">
        <v>434</v>
      </c>
      <c r="L20" s="102"/>
      <c r="M20" s="102"/>
    </row>
    <row r="21" spans="1:13">
      <c r="A21" s="115" t="s">
        <v>51</v>
      </c>
      <c r="B21" s="115" t="s">
        <v>52</v>
      </c>
      <c r="C21" s="115" t="s">
        <v>53</v>
      </c>
      <c r="D21" s="96" t="s">
        <v>420</v>
      </c>
      <c r="F21" t="s">
        <v>436</v>
      </c>
      <c r="G21" s="95">
        <v>44440</v>
      </c>
      <c r="H21" s="101"/>
      <c r="I21" s="102">
        <v>59804</v>
      </c>
      <c r="J21" s="101">
        <v>50291</v>
      </c>
      <c r="K21" s="112">
        <v>45611</v>
      </c>
      <c r="L21" s="101">
        <v>42961</v>
      </c>
      <c r="M21" s="102"/>
    </row>
    <row r="22" spans="1:13">
      <c r="A22" s="115"/>
      <c r="B22" s="115"/>
      <c r="C22" s="115"/>
      <c r="D22" s="96" t="s">
        <v>421</v>
      </c>
      <c r="E22" t="s">
        <v>422</v>
      </c>
      <c r="F22" t="s">
        <v>436</v>
      </c>
      <c r="G22" s="95">
        <v>44440</v>
      </c>
      <c r="H22" s="101"/>
      <c r="I22" s="112">
        <v>220</v>
      </c>
      <c r="J22" s="112">
        <v>314</v>
      </c>
      <c r="K22" s="112">
        <v>324</v>
      </c>
      <c r="L22" s="101">
        <v>254</v>
      </c>
      <c r="M22" s="102"/>
    </row>
    <row r="23" spans="1:13">
      <c r="A23" s="115"/>
      <c r="B23" s="115"/>
      <c r="C23" s="115"/>
      <c r="D23" s="96" t="s">
        <v>421</v>
      </c>
      <c r="E23" t="s">
        <v>429</v>
      </c>
      <c r="F23" t="s">
        <v>436</v>
      </c>
      <c r="G23" s="95">
        <v>44440</v>
      </c>
      <c r="H23" s="101"/>
      <c r="I23" s="112">
        <v>228</v>
      </c>
      <c r="J23" s="112">
        <v>318</v>
      </c>
      <c r="K23" s="112">
        <v>328</v>
      </c>
      <c r="L23" s="101">
        <v>256</v>
      </c>
      <c r="M23" s="102"/>
    </row>
    <row r="24" spans="1:13">
      <c r="A24" s="115"/>
      <c r="B24" s="115"/>
      <c r="C24" s="115"/>
      <c r="D24" s="96" t="s">
        <v>423</v>
      </c>
      <c r="E24" t="s">
        <v>422</v>
      </c>
      <c r="F24" t="s">
        <v>436</v>
      </c>
      <c r="G24" s="95">
        <v>44440</v>
      </c>
      <c r="H24" s="101"/>
      <c r="I24" s="102">
        <f>I21+I22</f>
        <v>60024</v>
      </c>
      <c r="J24" s="101">
        <f t="shared" ref="J24:L24" si="3">J21+J22</f>
        <v>50605</v>
      </c>
      <c r="K24" s="102">
        <f t="shared" si="3"/>
        <v>45935</v>
      </c>
      <c r="L24" s="101">
        <f t="shared" si="3"/>
        <v>43215</v>
      </c>
      <c r="M24" s="102"/>
    </row>
    <row r="25" spans="1:13">
      <c r="A25" s="115"/>
      <c r="B25" s="115"/>
      <c r="C25" s="115"/>
      <c r="D25" s="105" t="s">
        <v>424</v>
      </c>
      <c r="E25" s="70" t="s">
        <v>453</v>
      </c>
      <c r="F25" t="s">
        <v>436</v>
      </c>
      <c r="G25" s="95">
        <v>44440</v>
      </c>
      <c r="H25" s="101"/>
      <c r="I25" s="112">
        <v>13871.8</v>
      </c>
      <c r="J25" s="101">
        <v>10071.1</v>
      </c>
      <c r="K25" s="112">
        <v>9973.2000000000007</v>
      </c>
      <c r="L25" s="101">
        <v>7269.2</v>
      </c>
      <c r="M25" s="102"/>
    </row>
    <row r="26" spans="1:13">
      <c r="A26" s="115"/>
      <c r="B26" s="115"/>
      <c r="C26" s="115"/>
      <c r="D26" s="96" t="s">
        <v>424</v>
      </c>
      <c r="E26" t="s">
        <v>459</v>
      </c>
      <c r="F26" t="s">
        <v>436</v>
      </c>
      <c r="G26" s="95">
        <v>44440</v>
      </c>
      <c r="H26" s="101"/>
      <c r="I26" s="112">
        <v>13871</v>
      </c>
      <c r="J26" s="101">
        <v>10070</v>
      </c>
      <c r="K26" s="112">
        <v>9972</v>
      </c>
      <c r="L26" s="101">
        <v>7269</v>
      </c>
      <c r="M26" s="102"/>
    </row>
    <row r="27" spans="1:13">
      <c r="A27" s="115"/>
      <c r="B27" s="115"/>
      <c r="C27" s="115"/>
      <c r="D27" s="96" t="s">
        <v>424</v>
      </c>
      <c r="E27" t="s">
        <v>460</v>
      </c>
      <c r="F27" t="s">
        <v>436</v>
      </c>
      <c r="G27" s="95">
        <v>44440</v>
      </c>
      <c r="H27" s="101"/>
      <c r="I27" s="112">
        <v>0.8</v>
      </c>
      <c r="J27" s="101">
        <v>1.1000000000000001</v>
      </c>
      <c r="K27" s="102">
        <v>1.2</v>
      </c>
      <c r="L27" s="101">
        <v>0.2</v>
      </c>
      <c r="M27" s="102"/>
    </row>
    <row r="28" spans="1:13">
      <c r="A28" s="115"/>
      <c r="B28" s="115"/>
      <c r="C28" s="115"/>
      <c r="D28" s="96" t="s">
        <v>426</v>
      </c>
      <c r="E28" t="s">
        <v>56</v>
      </c>
      <c r="F28" t="s">
        <v>59</v>
      </c>
      <c r="G28" s="95">
        <v>44440</v>
      </c>
      <c r="H28" s="101"/>
      <c r="I28" s="102"/>
      <c r="J28" s="113">
        <v>83985.94</v>
      </c>
      <c r="K28" s="112">
        <v>75043.539999999994</v>
      </c>
      <c r="L28" s="101">
        <v>75271.521999999997</v>
      </c>
      <c r="M28" s="102"/>
    </row>
    <row r="29" spans="1:13">
      <c r="A29" s="115"/>
      <c r="B29" s="115"/>
      <c r="C29" s="115"/>
      <c r="D29" s="96" t="s">
        <v>426</v>
      </c>
      <c r="E29" t="s">
        <v>430</v>
      </c>
      <c r="F29" t="s">
        <v>59</v>
      </c>
      <c r="G29" s="95">
        <v>44440</v>
      </c>
      <c r="H29" s="101"/>
      <c r="I29" s="102"/>
      <c r="J29" s="101">
        <v>130781.59</v>
      </c>
      <c r="K29" s="102">
        <v>120964.446</v>
      </c>
      <c r="L29" s="101">
        <v>115564.879</v>
      </c>
      <c r="M29" s="102"/>
    </row>
    <row r="30" spans="1:13">
      <c r="A30" s="115"/>
      <c r="B30" s="115"/>
      <c r="C30" s="115"/>
      <c r="D30" s="96" t="s">
        <v>427</v>
      </c>
      <c r="G30" s="95">
        <v>44440</v>
      </c>
      <c r="H30" s="101"/>
      <c r="I30" s="102"/>
      <c r="J30" s="101"/>
      <c r="K30" s="102"/>
      <c r="L30" s="103" t="s">
        <v>428</v>
      </c>
      <c r="M30" s="102"/>
    </row>
    <row r="31" spans="1:13">
      <c r="A31" s="115" t="s">
        <v>51</v>
      </c>
      <c r="B31" s="115" t="s">
        <v>52</v>
      </c>
      <c r="C31" s="115" t="s">
        <v>53</v>
      </c>
      <c r="D31" s="96" t="s">
        <v>420</v>
      </c>
      <c r="F31" t="s">
        <v>437</v>
      </c>
      <c r="G31" s="95">
        <v>44699</v>
      </c>
      <c r="H31" s="101"/>
      <c r="I31" s="102"/>
      <c r="J31" s="101"/>
      <c r="K31" s="102"/>
      <c r="L31" s="101"/>
      <c r="M31" s="102">
        <v>41202392</v>
      </c>
    </row>
    <row r="32" spans="1:13">
      <c r="A32" s="115"/>
      <c r="B32" s="115"/>
      <c r="C32" s="115"/>
      <c r="D32" s="96" t="s">
        <v>421</v>
      </c>
      <c r="E32" t="s">
        <v>422</v>
      </c>
      <c r="F32" t="s">
        <v>437</v>
      </c>
      <c r="G32" s="95">
        <v>44699</v>
      </c>
      <c r="H32" s="101"/>
      <c r="I32" s="102"/>
      <c r="J32" s="101"/>
      <c r="K32" s="102"/>
      <c r="L32" s="101"/>
      <c r="M32" s="102">
        <v>253302</v>
      </c>
    </row>
    <row r="33" spans="1:13">
      <c r="A33" s="115"/>
      <c r="B33" s="115"/>
      <c r="C33" s="115"/>
      <c r="D33" s="96" t="s">
        <v>421</v>
      </c>
      <c r="E33" t="s">
        <v>429</v>
      </c>
      <c r="F33" t="s">
        <v>437</v>
      </c>
      <c r="G33" s="95">
        <v>44699</v>
      </c>
      <c r="H33" s="101"/>
      <c r="I33" s="102"/>
      <c r="J33" s="101"/>
      <c r="K33" s="102"/>
      <c r="L33" s="101"/>
      <c r="M33" s="102">
        <v>253302</v>
      </c>
    </row>
    <row r="34" spans="1:13">
      <c r="A34" s="115"/>
      <c r="B34" s="115"/>
      <c r="C34" s="115"/>
      <c r="D34" s="96" t="s">
        <v>423</v>
      </c>
      <c r="E34" t="s">
        <v>422</v>
      </c>
      <c r="F34" t="s">
        <v>437</v>
      </c>
      <c r="G34" s="95">
        <v>44699</v>
      </c>
      <c r="H34" s="101"/>
      <c r="I34" s="102"/>
      <c r="J34" s="101"/>
      <c r="K34" s="102"/>
      <c r="L34" s="101"/>
      <c r="M34" s="102">
        <v>41455694</v>
      </c>
    </row>
    <row r="35" spans="1:13">
      <c r="A35" s="115"/>
      <c r="B35" s="115"/>
      <c r="C35" s="115"/>
      <c r="D35" s="105" t="s">
        <v>424</v>
      </c>
      <c r="E35" s="70"/>
      <c r="F35" t="s">
        <v>437</v>
      </c>
      <c r="G35" s="95">
        <v>44699</v>
      </c>
      <c r="H35" s="101"/>
      <c r="I35" s="102"/>
      <c r="J35" s="101"/>
      <c r="K35" s="102"/>
      <c r="L35" s="101"/>
      <c r="M35" s="102">
        <v>7351038</v>
      </c>
    </row>
    <row r="36" spans="1:13">
      <c r="A36" s="115"/>
      <c r="B36" s="115"/>
      <c r="C36" s="115"/>
      <c r="D36" s="96" t="s">
        <v>424</v>
      </c>
      <c r="E36" t="s">
        <v>459</v>
      </c>
      <c r="F36" t="s">
        <v>437</v>
      </c>
      <c r="G36" s="95">
        <v>44699</v>
      </c>
      <c r="H36" s="101"/>
      <c r="I36" s="102"/>
      <c r="J36" s="101"/>
      <c r="K36" s="102"/>
      <c r="L36" s="101"/>
      <c r="M36" s="102">
        <v>7350511</v>
      </c>
    </row>
    <row r="37" spans="1:13">
      <c r="A37" s="115"/>
      <c r="B37" s="115"/>
      <c r="C37" s="115"/>
      <c r="D37" s="96" t="s">
        <v>424</v>
      </c>
      <c r="E37" t="s">
        <v>460</v>
      </c>
      <c r="F37" t="s">
        <v>437</v>
      </c>
      <c r="G37" s="95">
        <v>44699</v>
      </c>
      <c r="H37" s="101"/>
      <c r="I37" s="102"/>
      <c r="J37" s="101"/>
      <c r="K37" s="102"/>
      <c r="L37" s="101"/>
      <c r="M37" s="102">
        <v>527</v>
      </c>
    </row>
    <row r="38" spans="1:13">
      <c r="A38" s="115"/>
      <c r="B38" s="115"/>
      <c r="C38" s="115"/>
      <c r="D38" s="96" t="s">
        <v>426</v>
      </c>
      <c r="E38" t="s">
        <v>432</v>
      </c>
      <c r="F38" t="s">
        <v>59</v>
      </c>
      <c r="G38" s="95">
        <v>44699</v>
      </c>
      <c r="H38" s="101"/>
      <c r="I38" s="102"/>
      <c r="J38" s="101"/>
      <c r="K38" s="102"/>
      <c r="L38" s="101"/>
      <c r="M38" s="102">
        <v>72506.148000000001</v>
      </c>
    </row>
    <row r="39" spans="1:13">
      <c r="A39" s="115"/>
      <c r="B39" s="115"/>
      <c r="C39" s="115"/>
      <c r="D39" s="96" t="s">
        <v>426</v>
      </c>
      <c r="E39" t="s">
        <v>433</v>
      </c>
      <c r="F39" t="s">
        <v>59</v>
      </c>
      <c r="G39" s="95">
        <v>44699</v>
      </c>
      <c r="H39" s="101"/>
      <c r="I39" s="102"/>
      <c r="J39" s="101"/>
      <c r="K39" s="102"/>
      <c r="L39" s="101"/>
      <c r="M39" s="102">
        <v>67920.774999999994</v>
      </c>
    </row>
    <row r="40" spans="1:13">
      <c r="A40" s="115"/>
      <c r="B40" s="115"/>
      <c r="C40" s="115"/>
      <c r="D40" s="96" t="s">
        <v>427</v>
      </c>
      <c r="G40" s="95">
        <v>44699</v>
      </c>
      <c r="H40" s="101"/>
      <c r="I40" s="102"/>
      <c r="J40" s="101"/>
      <c r="K40" s="102"/>
      <c r="L40" s="102"/>
      <c r="M40" s="104" t="s">
        <v>431</v>
      </c>
    </row>
    <row r="41" spans="1:13">
      <c r="A41" s="115" t="s">
        <v>60</v>
      </c>
      <c r="B41" s="115" t="s">
        <v>61</v>
      </c>
      <c r="C41" s="115" t="s">
        <v>62</v>
      </c>
      <c r="D41" s="96" t="s">
        <v>420</v>
      </c>
      <c r="F41" t="s">
        <v>438</v>
      </c>
      <c r="G41" s="95">
        <v>44561</v>
      </c>
      <c r="H41" s="101">
        <v>8.0287915246316803</v>
      </c>
      <c r="I41" s="102">
        <v>6.5660701667357202</v>
      </c>
      <c r="J41" s="101">
        <v>6.62201886746863</v>
      </c>
      <c r="K41" s="102">
        <v>4.2233661489335503</v>
      </c>
      <c r="L41" s="101">
        <v>3.7507315607425</v>
      </c>
      <c r="M41" s="102">
        <v>4.2233661489335503</v>
      </c>
    </row>
    <row r="42" spans="1:13">
      <c r="A42" s="115"/>
      <c r="B42" s="115"/>
      <c r="C42" s="115"/>
      <c r="D42" s="96" t="s">
        <v>421</v>
      </c>
      <c r="E42" t="s">
        <v>422</v>
      </c>
      <c r="F42" t="s">
        <v>438</v>
      </c>
      <c r="G42" s="95">
        <v>44561</v>
      </c>
      <c r="H42" s="101">
        <v>0</v>
      </c>
      <c r="I42" s="102">
        <v>0</v>
      </c>
      <c r="J42" s="101">
        <v>0</v>
      </c>
      <c r="K42" s="102">
        <v>0</v>
      </c>
      <c r="L42" s="101">
        <v>0</v>
      </c>
      <c r="M42" s="102">
        <v>0</v>
      </c>
    </row>
    <row r="43" spans="1:13">
      <c r="A43" s="115"/>
      <c r="B43" s="115"/>
      <c r="C43" s="115"/>
      <c r="D43" s="96" t="s">
        <v>423</v>
      </c>
      <c r="E43" t="s">
        <v>422</v>
      </c>
      <c r="F43" t="s">
        <v>438</v>
      </c>
      <c r="G43" s="95">
        <v>44561</v>
      </c>
      <c r="H43" s="101">
        <v>8.0287915246316803</v>
      </c>
      <c r="I43" s="102">
        <v>6.5660701667357202</v>
      </c>
      <c r="J43" s="101">
        <v>6.62201886746863</v>
      </c>
      <c r="K43" s="102">
        <v>4.2233661489335503</v>
      </c>
      <c r="L43" s="101">
        <v>3.7507315607425</v>
      </c>
      <c r="M43" s="102">
        <v>4.2233661489335503</v>
      </c>
    </row>
    <row r="44" spans="1:13">
      <c r="A44" s="115"/>
      <c r="B44" s="115"/>
      <c r="C44" s="115"/>
      <c r="D44" s="96" t="s">
        <v>424</v>
      </c>
      <c r="E44" t="s">
        <v>425</v>
      </c>
      <c r="F44" t="s">
        <v>438</v>
      </c>
      <c r="G44" s="95">
        <v>44561</v>
      </c>
      <c r="H44" s="101"/>
      <c r="I44" s="102"/>
      <c r="J44" s="101"/>
      <c r="K44" s="102"/>
      <c r="L44" s="101"/>
      <c r="M44" s="102"/>
    </row>
    <row r="45" spans="1:13">
      <c r="A45" s="115"/>
      <c r="B45" s="115"/>
      <c r="C45" s="115"/>
      <c r="D45" s="96" t="s">
        <v>426</v>
      </c>
      <c r="F45" t="s">
        <v>65</v>
      </c>
      <c r="G45" s="95">
        <v>44561</v>
      </c>
      <c r="H45" s="101">
        <v>10.311126979999999</v>
      </c>
      <c r="I45" s="102">
        <v>9.0333661999999997</v>
      </c>
      <c r="J45" s="101">
        <v>8.7434580000000004</v>
      </c>
      <c r="K45" s="102">
        <v>6.4909062000000004</v>
      </c>
      <c r="L45" s="101">
        <v>6.0783424000000004</v>
      </c>
      <c r="M45" s="102">
        <v>6.4909062000000004</v>
      </c>
    </row>
    <row r="46" spans="1:13">
      <c r="A46" s="115"/>
      <c r="B46" s="115"/>
      <c r="C46" s="115"/>
      <c r="D46" s="96" t="s">
        <v>427</v>
      </c>
      <c r="G46" s="95"/>
      <c r="H46" s="101"/>
      <c r="I46" s="102"/>
      <c r="J46" s="101"/>
      <c r="K46" s="102"/>
      <c r="L46" s="101"/>
      <c r="M46" s="102"/>
    </row>
    <row r="47" spans="1:13">
      <c r="A47" s="115" t="s">
        <v>66</v>
      </c>
      <c r="B47" s="115" t="s">
        <v>67</v>
      </c>
      <c r="C47" s="115" t="s">
        <v>68</v>
      </c>
      <c r="D47" s="96" t="s">
        <v>420</v>
      </c>
      <c r="F47" t="s">
        <v>438</v>
      </c>
      <c r="G47" s="95">
        <v>44561</v>
      </c>
      <c r="H47" s="101">
        <v>12.247083817892101</v>
      </c>
      <c r="I47" s="102">
        <v>13.5958064794906</v>
      </c>
      <c r="J47" s="101">
        <v>14.5804238153298</v>
      </c>
      <c r="K47" s="102">
        <v>11.098764958614</v>
      </c>
      <c r="L47" s="101">
        <v>11.0377558529367</v>
      </c>
      <c r="M47" s="102"/>
    </row>
    <row r="48" spans="1:13">
      <c r="A48" s="115"/>
      <c r="B48" s="115"/>
      <c r="C48" s="115"/>
      <c r="D48" s="96" t="s">
        <v>421</v>
      </c>
      <c r="E48" t="s">
        <v>422</v>
      </c>
      <c r="F48" t="s">
        <v>438</v>
      </c>
      <c r="G48" s="95">
        <v>44561</v>
      </c>
      <c r="H48" s="101">
        <v>0</v>
      </c>
      <c r="I48" s="102">
        <v>0</v>
      </c>
      <c r="J48" s="101">
        <v>0</v>
      </c>
      <c r="K48" s="102">
        <v>0</v>
      </c>
      <c r="L48" s="101">
        <v>0</v>
      </c>
      <c r="M48" s="102"/>
    </row>
    <row r="49" spans="1:13">
      <c r="A49" s="115"/>
      <c r="B49" s="115"/>
      <c r="C49" s="115"/>
      <c r="D49" s="96" t="s">
        <v>423</v>
      </c>
      <c r="E49" t="s">
        <v>422</v>
      </c>
      <c r="F49" t="s">
        <v>438</v>
      </c>
      <c r="G49" s="95">
        <v>44561</v>
      </c>
      <c r="H49" s="101">
        <v>12.247083817892101</v>
      </c>
      <c r="I49" s="102">
        <v>13.5958064794906</v>
      </c>
      <c r="J49" s="101">
        <v>14.5804238153298</v>
      </c>
      <c r="K49" s="102">
        <v>11.098764958614</v>
      </c>
      <c r="L49" s="101">
        <v>11.0377558529367</v>
      </c>
      <c r="M49" s="102"/>
    </row>
    <row r="50" spans="1:13">
      <c r="A50" s="115"/>
      <c r="B50" s="115"/>
      <c r="C50" s="115"/>
      <c r="D50" s="96" t="s">
        <v>424</v>
      </c>
      <c r="E50" t="s">
        <v>425</v>
      </c>
      <c r="F50" t="s">
        <v>438</v>
      </c>
      <c r="G50" s="95">
        <v>44561</v>
      </c>
      <c r="H50" s="101"/>
      <c r="I50" s="102"/>
      <c r="J50" s="101"/>
      <c r="K50" s="102"/>
      <c r="L50" s="101"/>
      <c r="M50" s="102"/>
    </row>
    <row r="51" spans="1:13">
      <c r="A51" s="115"/>
      <c r="B51" s="115"/>
      <c r="C51" s="115"/>
      <c r="D51" s="96" t="s">
        <v>426</v>
      </c>
      <c r="F51" t="s">
        <v>65</v>
      </c>
      <c r="G51" s="95">
        <v>44561</v>
      </c>
      <c r="H51" s="101">
        <v>16.476443515</v>
      </c>
      <c r="I51" s="102">
        <v>18.56133809</v>
      </c>
      <c r="J51" s="101">
        <v>21.667851862999999</v>
      </c>
      <c r="K51" s="102">
        <v>20.524337211500001</v>
      </c>
      <c r="L51" s="101">
        <v>22.008184386</v>
      </c>
      <c r="M51" s="102"/>
    </row>
    <row r="52" spans="1:13">
      <c r="A52" s="115"/>
      <c r="B52" s="115"/>
      <c r="C52" s="115"/>
      <c r="D52" s="96" t="s">
        <v>427</v>
      </c>
      <c r="G52" s="95"/>
      <c r="H52" s="101"/>
      <c r="I52" s="102"/>
      <c r="J52" s="101"/>
      <c r="K52" s="102"/>
      <c r="L52" s="101"/>
      <c r="M52" s="102"/>
    </row>
    <row r="53" spans="1:13">
      <c r="A53" s="115" t="s">
        <v>69</v>
      </c>
      <c r="B53" s="115" t="s">
        <v>70</v>
      </c>
      <c r="C53" s="115" t="s">
        <v>71</v>
      </c>
      <c r="D53" s="96" t="s">
        <v>420</v>
      </c>
      <c r="F53" t="s">
        <v>438</v>
      </c>
      <c r="G53" s="95">
        <v>44561</v>
      </c>
      <c r="H53" s="101">
        <v>28.146923974777199</v>
      </c>
      <c r="I53" s="102">
        <v>31.187509563115398</v>
      </c>
      <c r="J53" s="101">
        <v>30.6720137556736</v>
      </c>
      <c r="K53" s="102">
        <v>23.409708274206501</v>
      </c>
      <c r="L53" s="101">
        <v>25.799494098497401</v>
      </c>
      <c r="M53" s="102"/>
    </row>
    <row r="54" spans="1:13">
      <c r="A54" s="115"/>
      <c r="B54" s="115"/>
      <c r="C54" s="115"/>
      <c r="D54" s="96" t="s">
        <v>421</v>
      </c>
      <c r="E54" t="s">
        <v>422</v>
      </c>
      <c r="F54" t="s">
        <v>438</v>
      </c>
      <c r="G54" s="95">
        <v>44561</v>
      </c>
      <c r="H54" s="101">
        <v>0</v>
      </c>
      <c r="I54" s="102">
        <v>0</v>
      </c>
      <c r="J54" s="101">
        <v>0</v>
      </c>
      <c r="K54" s="102">
        <v>0</v>
      </c>
      <c r="L54" s="101">
        <v>0</v>
      </c>
      <c r="M54" s="102"/>
    </row>
    <row r="55" spans="1:13">
      <c r="A55" s="115"/>
      <c r="B55" s="115"/>
      <c r="C55" s="115"/>
      <c r="D55" s="96" t="s">
        <v>423</v>
      </c>
      <c r="E55" t="s">
        <v>422</v>
      </c>
      <c r="F55" t="s">
        <v>438</v>
      </c>
      <c r="G55" s="95">
        <v>44561</v>
      </c>
      <c r="H55" s="101">
        <v>28.146923974777199</v>
      </c>
      <c r="I55" s="102">
        <v>31.187509563115398</v>
      </c>
      <c r="J55" s="101">
        <v>30.6720137556736</v>
      </c>
      <c r="K55" s="102">
        <v>23.409708274206501</v>
      </c>
      <c r="L55" s="101">
        <v>25.799494098497401</v>
      </c>
      <c r="M55" s="102"/>
    </row>
    <row r="56" spans="1:13">
      <c r="A56" s="115"/>
      <c r="B56" s="115"/>
      <c r="C56" s="115"/>
      <c r="D56" s="96" t="s">
        <v>424</v>
      </c>
      <c r="E56" t="s">
        <v>425</v>
      </c>
      <c r="F56" t="s">
        <v>438</v>
      </c>
      <c r="G56" s="95">
        <v>44561</v>
      </c>
      <c r="H56" s="101"/>
      <c r="I56" s="102"/>
      <c r="J56" s="101"/>
      <c r="K56" s="102"/>
      <c r="L56" s="101"/>
      <c r="M56" s="102"/>
    </row>
    <row r="57" spans="1:13">
      <c r="A57" s="115"/>
      <c r="B57" s="115"/>
      <c r="C57" s="115"/>
      <c r="D57" s="96" t="s">
        <v>426</v>
      </c>
      <c r="F57" t="s">
        <v>65</v>
      </c>
      <c r="G57" s="95">
        <v>44561</v>
      </c>
      <c r="H57" s="101">
        <v>38.509234999999997</v>
      </c>
      <c r="I57" s="102">
        <v>40.953088000000001</v>
      </c>
      <c r="J57" s="101">
        <v>42.757387999999999</v>
      </c>
      <c r="K57" s="102">
        <v>35.416853000000003</v>
      </c>
      <c r="L57" s="101">
        <v>35.824987</v>
      </c>
      <c r="M57" s="102"/>
    </row>
    <row r="58" spans="1:13">
      <c r="A58" s="115"/>
      <c r="B58" s="115"/>
      <c r="C58" s="115"/>
      <c r="D58" s="96" t="s">
        <v>427</v>
      </c>
      <c r="G58" s="95"/>
      <c r="H58" s="101"/>
      <c r="I58" s="102"/>
      <c r="J58" s="101"/>
      <c r="K58" s="102"/>
      <c r="L58" s="101"/>
      <c r="M58" s="102"/>
    </row>
    <row r="59" spans="1:13">
      <c r="A59" s="115" t="s">
        <v>72</v>
      </c>
      <c r="B59" s="115" t="s">
        <v>73</v>
      </c>
      <c r="C59" s="115" t="s">
        <v>74</v>
      </c>
      <c r="D59" s="96" t="s">
        <v>420</v>
      </c>
      <c r="F59" t="s">
        <v>438</v>
      </c>
      <c r="G59" s="95">
        <v>44561</v>
      </c>
      <c r="H59" s="101">
        <v>91.800593776570196</v>
      </c>
      <c r="I59" s="102">
        <v>66.975500250346002</v>
      </c>
      <c r="J59" s="101">
        <v>66.441625876883506</v>
      </c>
      <c r="K59" s="102">
        <v>58.130282313466502</v>
      </c>
      <c r="L59" s="101">
        <v>43.9616275947863</v>
      </c>
      <c r="M59" s="102"/>
    </row>
    <row r="60" spans="1:13">
      <c r="A60" s="115"/>
      <c r="B60" s="115"/>
      <c r="C60" s="115"/>
      <c r="D60" s="96" t="s">
        <v>421</v>
      </c>
      <c r="E60" t="s">
        <v>422</v>
      </c>
      <c r="F60" t="s">
        <v>438</v>
      </c>
      <c r="G60" s="95">
        <v>44561</v>
      </c>
      <c r="H60" s="101">
        <v>0</v>
      </c>
      <c r="I60" s="102">
        <v>0</v>
      </c>
      <c r="J60" s="101">
        <v>0</v>
      </c>
      <c r="K60" s="102">
        <v>0</v>
      </c>
      <c r="L60" s="101">
        <v>0</v>
      </c>
      <c r="M60" s="102"/>
    </row>
    <row r="61" spans="1:13">
      <c r="A61" s="115"/>
      <c r="B61" s="115"/>
      <c r="C61" s="115"/>
      <c r="D61" s="96" t="s">
        <v>423</v>
      </c>
      <c r="E61" t="s">
        <v>422</v>
      </c>
      <c r="F61" t="s">
        <v>438</v>
      </c>
      <c r="G61" s="95">
        <v>44561</v>
      </c>
      <c r="H61" s="101">
        <v>91.800593776570196</v>
      </c>
      <c r="I61" s="102">
        <v>66.975500250346002</v>
      </c>
      <c r="J61" s="101">
        <v>66.441625876883506</v>
      </c>
      <c r="K61" s="102">
        <v>58.130282313466502</v>
      </c>
      <c r="L61" s="101">
        <v>43.9616275947863</v>
      </c>
      <c r="M61" s="102"/>
    </row>
    <row r="62" spans="1:13">
      <c r="A62" s="115"/>
      <c r="B62" s="115"/>
      <c r="C62" s="115"/>
      <c r="D62" s="96" t="s">
        <v>424</v>
      </c>
      <c r="E62" t="s">
        <v>425</v>
      </c>
      <c r="F62" t="s">
        <v>438</v>
      </c>
      <c r="G62" s="95">
        <v>44561</v>
      </c>
      <c r="H62" s="101"/>
      <c r="I62" s="102"/>
      <c r="J62" s="101"/>
      <c r="K62" s="102"/>
      <c r="L62" s="101"/>
      <c r="M62" s="102"/>
    </row>
    <row r="63" spans="1:13">
      <c r="A63" s="115"/>
      <c r="B63" s="115"/>
      <c r="C63" s="115"/>
      <c r="D63" s="96" t="s">
        <v>426</v>
      </c>
      <c r="F63" t="s">
        <v>65</v>
      </c>
      <c r="G63" s="95">
        <v>44561</v>
      </c>
      <c r="H63" s="101">
        <v>127.7698075333</v>
      </c>
      <c r="I63" s="102">
        <v>93.827355038848793</v>
      </c>
      <c r="J63" s="101">
        <v>93.541288949491104</v>
      </c>
      <c r="K63" s="102">
        <v>83.962493096499898</v>
      </c>
      <c r="L63" s="101">
        <v>71.7325673733</v>
      </c>
      <c r="M63" s="102"/>
    </row>
    <row r="64" spans="1:13">
      <c r="A64" s="115"/>
      <c r="B64" s="115"/>
      <c r="C64" s="115"/>
      <c r="D64" s="96" t="s">
        <v>427</v>
      </c>
      <c r="G64" s="95"/>
      <c r="H64" s="101"/>
      <c r="I64" s="102"/>
      <c r="J64" s="101"/>
      <c r="K64" s="102"/>
      <c r="L64" s="101"/>
      <c r="M64" s="102"/>
    </row>
    <row r="65" spans="1:13">
      <c r="A65" s="115" t="s">
        <v>75</v>
      </c>
      <c r="B65" s="115" t="s">
        <v>76</v>
      </c>
      <c r="C65" s="115" t="s">
        <v>77</v>
      </c>
      <c r="D65" s="96" t="s">
        <v>420</v>
      </c>
      <c r="F65" t="s">
        <v>437</v>
      </c>
      <c r="G65" s="95">
        <v>44561</v>
      </c>
      <c r="H65" s="101">
        <v>1040335</v>
      </c>
      <c r="I65" s="102">
        <v>965570</v>
      </c>
      <c r="J65" s="101">
        <v>1363231</v>
      </c>
      <c r="K65" s="102">
        <v>1934393</v>
      </c>
      <c r="L65" s="101">
        <v>1416448</v>
      </c>
      <c r="M65" s="102">
        <v>1590305</v>
      </c>
    </row>
    <row r="66" spans="1:13">
      <c r="A66" s="115"/>
      <c r="B66" s="115"/>
      <c r="C66" s="115"/>
      <c r="D66" s="96" t="s">
        <v>421</v>
      </c>
      <c r="E66" t="s">
        <v>422</v>
      </c>
      <c r="F66" t="s">
        <v>437</v>
      </c>
      <c r="G66" s="95">
        <v>44561</v>
      </c>
      <c r="H66" s="101">
        <v>0</v>
      </c>
      <c r="I66" s="102">
        <v>0</v>
      </c>
      <c r="J66" s="101">
        <v>381533</v>
      </c>
      <c r="K66" s="102">
        <v>231192</v>
      </c>
      <c r="L66" s="101">
        <v>297283</v>
      </c>
      <c r="M66" s="102">
        <v>273432</v>
      </c>
    </row>
    <row r="67" spans="1:13">
      <c r="A67" s="115"/>
      <c r="B67" s="115"/>
      <c r="C67" s="115"/>
      <c r="D67" s="96" t="s">
        <v>423</v>
      </c>
      <c r="E67" t="s">
        <v>422</v>
      </c>
      <c r="F67" t="s">
        <v>437</v>
      </c>
      <c r="G67" s="95">
        <v>44561</v>
      </c>
      <c r="H67" s="101">
        <v>1040335</v>
      </c>
      <c r="I67" s="102">
        <v>965570</v>
      </c>
      <c r="J67" s="101">
        <v>1744764</v>
      </c>
      <c r="K67" s="102">
        <v>2165585</v>
      </c>
      <c r="L67" s="101">
        <v>1713731</v>
      </c>
      <c r="M67" s="102">
        <v>1863737</v>
      </c>
    </row>
    <row r="68" spans="1:13">
      <c r="A68" s="115"/>
      <c r="B68" s="115"/>
      <c r="C68" s="115"/>
      <c r="D68" s="96" t="s">
        <v>424</v>
      </c>
      <c r="E68" t="s">
        <v>425</v>
      </c>
      <c r="F68" t="s">
        <v>437</v>
      </c>
      <c r="G68" s="95">
        <v>44561</v>
      </c>
      <c r="H68" s="101"/>
      <c r="I68" s="102"/>
      <c r="J68" s="101">
        <v>21590220</v>
      </c>
      <c r="K68" s="102">
        <v>19892852</v>
      </c>
      <c r="L68" s="101">
        <v>24528246</v>
      </c>
      <c r="M68" s="102">
        <v>21996103</v>
      </c>
    </row>
    <row r="69" spans="1:13">
      <c r="A69" s="115"/>
      <c r="B69" s="115"/>
      <c r="C69" s="115"/>
      <c r="D69" s="96" t="s">
        <v>426</v>
      </c>
      <c r="F69" t="s">
        <v>59</v>
      </c>
      <c r="G69" s="95">
        <v>44561</v>
      </c>
      <c r="H69" s="101">
        <v>17912</v>
      </c>
      <c r="I69" s="102">
        <v>18104</v>
      </c>
      <c r="J69" s="101">
        <v>20057</v>
      </c>
      <c r="K69" s="102">
        <v>20960</v>
      </c>
      <c r="L69" s="101">
        <v>22142</v>
      </c>
      <c r="M69" s="102">
        <v>22591</v>
      </c>
    </row>
    <row r="70" spans="1:13">
      <c r="A70" s="115"/>
      <c r="B70" s="115"/>
      <c r="C70" s="115"/>
      <c r="D70" s="96" t="s">
        <v>427</v>
      </c>
      <c r="G70" s="95"/>
      <c r="H70" s="101"/>
      <c r="I70" s="102"/>
      <c r="J70" s="101"/>
      <c r="K70" s="102"/>
      <c r="L70" s="101"/>
      <c r="M70" s="102"/>
    </row>
    <row r="71" spans="1:13">
      <c r="A71" s="115" t="s">
        <v>78</v>
      </c>
      <c r="B71" s="115" t="s">
        <v>76</v>
      </c>
      <c r="C71" s="115" t="s">
        <v>79</v>
      </c>
      <c r="D71" s="96" t="s">
        <v>420</v>
      </c>
      <c r="F71" t="s">
        <v>437</v>
      </c>
      <c r="G71" s="95">
        <v>44561</v>
      </c>
      <c r="H71" s="101">
        <v>1040335</v>
      </c>
      <c r="I71" s="102">
        <v>965570</v>
      </c>
      <c r="J71" s="101">
        <v>1363231</v>
      </c>
      <c r="K71" s="102">
        <v>1934393</v>
      </c>
      <c r="L71" s="101">
        <v>1416448</v>
      </c>
      <c r="M71" s="102">
        <v>1590305</v>
      </c>
    </row>
    <row r="72" spans="1:13">
      <c r="A72" s="115"/>
      <c r="B72" s="115"/>
      <c r="C72" s="115"/>
      <c r="D72" s="96" t="s">
        <v>421</v>
      </c>
      <c r="E72" t="s">
        <v>422</v>
      </c>
      <c r="F72" t="s">
        <v>437</v>
      </c>
      <c r="G72" s="95">
        <v>44561</v>
      </c>
      <c r="H72" s="101">
        <v>0</v>
      </c>
      <c r="I72" s="102">
        <v>0</v>
      </c>
      <c r="J72" s="101">
        <v>381533</v>
      </c>
      <c r="K72" s="102">
        <v>231192</v>
      </c>
      <c r="L72" s="101">
        <v>297283</v>
      </c>
      <c r="M72" s="102">
        <v>273432</v>
      </c>
    </row>
    <row r="73" spans="1:13">
      <c r="A73" s="115"/>
      <c r="B73" s="115"/>
      <c r="C73" s="115"/>
      <c r="D73" s="96" t="s">
        <v>423</v>
      </c>
      <c r="E73" t="s">
        <v>422</v>
      </c>
      <c r="F73" t="s">
        <v>437</v>
      </c>
      <c r="G73" s="95">
        <v>44561</v>
      </c>
      <c r="H73" s="101">
        <v>1040335</v>
      </c>
      <c r="I73" s="102">
        <v>965570</v>
      </c>
      <c r="J73" s="101">
        <v>1744764</v>
      </c>
      <c r="K73" s="102">
        <v>2165585</v>
      </c>
      <c r="L73" s="101">
        <v>1713731</v>
      </c>
      <c r="M73" s="102">
        <v>1863737</v>
      </c>
    </row>
    <row r="74" spans="1:13">
      <c r="A74" s="115"/>
      <c r="B74" s="115"/>
      <c r="C74" s="115"/>
      <c r="D74" s="96" t="s">
        <v>424</v>
      </c>
      <c r="E74" t="s">
        <v>425</v>
      </c>
      <c r="F74" t="s">
        <v>437</v>
      </c>
      <c r="G74" s="95">
        <v>44561</v>
      </c>
      <c r="H74" s="101"/>
      <c r="I74" s="102"/>
      <c r="J74" s="101">
        <v>21590220</v>
      </c>
      <c r="K74" s="102">
        <v>19892852</v>
      </c>
      <c r="L74" s="101">
        <v>24528246</v>
      </c>
      <c r="M74" s="102">
        <v>21996103</v>
      </c>
    </row>
    <row r="75" spans="1:13">
      <c r="A75" s="115"/>
      <c r="B75" s="115"/>
      <c r="C75" s="115"/>
      <c r="D75" s="96" t="s">
        <v>426</v>
      </c>
      <c r="F75" t="s">
        <v>59</v>
      </c>
      <c r="G75" s="95">
        <v>44561</v>
      </c>
      <c r="H75" s="101">
        <v>17912</v>
      </c>
      <c r="I75" s="102">
        <v>18104</v>
      </c>
      <c r="J75" s="101">
        <v>20057</v>
      </c>
      <c r="K75" s="102">
        <v>20960</v>
      </c>
      <c r="L75" s="101">
        <v>22142</v>
      </c>
      <c r="M75" s="102">
        <v>22591</v>
      </c>
    </row>
    <row r="76" spans="1:13">
      <c r="A76" s="115"/>
      <c r="B76" s="115"/>
      <c r="C76" s="115"/>
      <c r="D76" s="96" t="s">
        <v>427</v>
      </c>
      <c r="G76" s="95"/>
      <c r="H76" s="101"/>
      <c r="I76" s="102"/>
      <c r="J76" s="101"/>
      <c r="K76" s="102"/>
      <c r="L76" s="101"/>
      <c r="M76" s="102"/>
    </row>
    <row r="77" spans="1:13">
      <c r="A77" s="115" t="s">
        <v>81</v>
      </c>
      <c r="B77" s="115" t="s">
        <v>82</v>
      </c>
      <c r="C77" s="115" t="s">
        <v>83</v>
      </c>
      <c r="D77" s="96" t="s">
        <v>420</v>
      </c>
      <c r="F77" t="s">
        <v>437</v>
      </c>
      <c r="G77" s="95">
        <v>44561</v>
      </c>
      <c r="H77" s="101"/>
      <c r="I77" s="102"/>
      <c r="J77" s="101">
        <v>4063143</v>
      </c>
      <c r="K77" s="102">
        <v>3963128</v>
      </c>
      <c r="L77" s="101">
        <v>4036591</v>
      </c>
      <c r="M77" s="102"/>
    </row>
    <row r="78" spans="1:13">
      <c r="A78" s="115"/>
      <c r="B78" s="115"/>
      <c r="C78" s="115"/>
      <c r="D78" s="96" t="s">
        <v>421</v>
      </c>
      <c r="E78" t="s">
        <v>422</v>
      </c>
      <c r="F78" t="s">
        <v>437</v>
      </c>
      <c r="G78" s="95">
        <v>44561</v>
      </c>
      <c r="H78" s="101"/>
      <c r="I78" s="102"/>
      <c r="J78" s="101">
        <v>1300042</v>
      </c>
      <c r="K78" s="102">
        <v>1219954</v>
      </c>
      <c r="L78" s="101">
        <v>1001588</v>
      </c>
      <c r="M78" s="102"/>
    </row>
    <row r="79" spans="1:13">
      <c r="A79" s="115"/>
      <c r="B79" s="115"/>
      <c r="C79" s="115"/>
      <c r="D79" s="96" t="s">
        <v>423</v>
      </c>
      <c r="E79" t="s">
        <v>422</v>
      </c>
      <c r="F79" t="s">
        <v>437</v>
      </c>
      <c r="G79" s="95">
        <v>44561</v>
      </c>
      <c r="H79" s="101"/>
      <c r="I79" s="102"/>
      <c r="J79" s="101">
        <v>5363185</v>
      </c>
      <c r="K79" s="102">
        <v>5183082</v>
      </c>
      <c r="L79" s="101">
        <v>5038179</v>
      </c>
      <c r="M79" s="102"/>
    </row>
    <row r="80" spans="1:13">
      <c r="A80" s="115"/>
      <c r="B80" s="115"/>
      <c r="C80" s="115"/>
      <c r="D80" s="96" t="s">
        <v>424</v>
      </c>
      <c r="E80" t="s">
        <v>425</v>
      </c>
      <c r="F80" t="s">
        <v>437</v>
      </c>
      <c r="G80" s="95">
        <v>44561</v>
      </c>
      <c r="H80" s="101"/>
      <c r="I80" s="102"/>
      <c r="J80" s="101"/>
      <c r="K80" s="102"/>
      <c r="L80" s="101"/>
      <c r="M80" s="102"/>
    </row>
    <row r="81" spans="1:13">
      <c r="A81" s="115"/>
      <c r="B81" s="115"/>
      <c r="C81" s="115"/>
      <c r="D81" s="96" t="s">
        <v>426</v>
      </c>
      <c r="F81" t="s">
        <v>84</v>
      </c>
      <c r="G81" s="95">
        <v>44561</v>
      </c>
      <c r="H81" s="101"/>
      <c r="I81" s="102"/>
      <c r="J81" s="101">
        <v>7067031.0930000003</v>
      </c>
      <c r="K81" s="102">
        <v>7195251.4900000002</v>
      </c>
      <c r="L81" s="101">
        <v>7324609</v>
      </c>
      <c r="M81" s="102"/>
    </row>
    <row r="82" spans="1:13">
      <c r="A82" s="115"/>
      <c r="B82" s="115"/>
      <c r="C82" s="115"/>
      <c r="D82" s="96" t="s">
        <v>427</v>
      </c>
      <c r="G82" s="95"/>
      <c r="H82" s="101"/>
      <c r="I82" s="102"/>
      <c r="J82" s="103"/>
      <c r="K82" s="102"/>
      <c r="L82" s="101"/>
      <c r="M82" s="102"/>
    </row>
    <row r="83" spans="1:13">
      <c r="A83" s="115" t="s">
        <v>85</v>
      </c>
      <c r="B83" s="115" t="s">
        <v>86</v>
      </c>
      <c r="C83" s="115" t="s">
        <v>87</v>
      </c>
      <c r="D83" s="96" t="s">
        <v>420</v>
      </c>
      <c r="F83" t="s">
        <v>437</v>
      </c>
      <c r="G83" s="95">
        <v>44196</v>
      </c>
      <c r="H83" s="101">
        <v>562146</v>
      </c>
      <c r="I83" s="102">
        <v>625072</v>
      </c>
      <c r="J83" s="101">
        <v>581703</v>
      </c>
      <c r="K83" s="102">
        <v>642259</v>
      </c>
      <c r="L83" s="101"/>
      <c r="M83" s="102"/>
    </row>
    <row r="84" spans="1:13">
      <c r="A84" s="115"/>
      <c r="B84" s="115"/>
      <c r="C84" s="115"/>
      <c r="D84" s="96" t="s">
        <v>421</v>
      </c>
      <c r="E84" t="s">
        <v>422</v>
      </c>
      <c r="F84" t="s">
        <v>437</v>
      </c>
      <c r="G84" s="95">
        <v>44196</v>
      </c>
      <c r="H84" s="101">
        <v>868089</v>
      </c>
      <c r="I84" s="102">
        <v>510911</v>
      </c>
      <c r="J84" s="101">
        <v>538622</v>
      </c>
      <c r="K84" s="102">
        <v>302574</v>
      </c>
      <c r="L84" s="101"/>
      <c r="M84" s="102"/>
    </row>
    <row r="85" spans="1:13">
      <c r="A85" s="115"/>
      <c r="B85" s="115"/>
      <c r="C85" s="115"/>
      <c r="D85" s="96" t="s">
        <v>423</v>
      </c>
      <c r="E85" t="s">
        <v>422</v>
      </c>
      <c r="F85" t="s">
        <v>437</v>
      </c>
      <c r="G85" s="95">
        <v>44196</v>
      </c>
      <c r="H85" s="101">
        <f>H83+H84</f>
        <v>1430235</v>
      </c>
      <c r="I85" s="102">
        <f>I83+I84</f>
        <v>1135983</v>
      </c>
      <c r="J85" s="101">
        <f>J83+J84</f>
        <v>1120325</v>
      </c>
      <c r="K85" s="102">
        <f>K83+K84</f>
        <v>944833</v>
      </c>
      <c r="L85" s="101"/>
      <c r="M85" s="102"/>
    </row>
    <row r="86" spans="1:13">
      <c r="A86" s="115"/>
      <c r="B86" s="115"/>
      <c r="C86" s="115"/>
      <c r="D86" s="106" t="s">
        <v>424</v>
      </c>
      <c r="E86" s="107" t="s">
        <v>425</v>
      </c>
      <c r="F86" s="107" t="s">
        <v>437</v>
      </c>
      <c r="G86" s="108">
        <v>44196</v>
      </c>
      <c r="H86" s="109">
        <v>69388735</v>
      </c>
      <c r="I86" s="109">
        <v>71714741</v>
      </c>
      <c r="J86" s="109">
        <v>73093077</v>
      </c>
      <c r="K86" s="109">
        <v>75042286</v>
      </c>
      <c r="L86" s="109"/>
      <c r="M86" s="109"/>
    </row>
    <row r="87" spans="1:13">
      <c r="A87" s="115"/>
      <c r="B87" s="115"/>
      <c r="C87" s="115"/>
      <c r="D87" s="106" t="s">
        <v>424</v>
      </c>
      <c r="E87" s="110" t="s">
        <v>451</v>
      </c>
      <c r="F87" s="107" t="s">
        <v>58</v>
      </c>
      <c r="G87" s="108">
        <v>44196</v>
      </c>
      <c r="H87" s="109">
        <v>1427399</v>
      </c>
      <c r="I87" s="109">
        <v>1497075</v>
      </c>
      <c r="J87" s="109">
        <v>1563919</v>
      </c>
      <c r="K87" s="109">
        <v>1570397</v>
      </c>
      <c r="L87" s="109"/>
      <c r="M87" s="109"/>
    </row>
    <row r="88" spans="1:13">
      <c r="A88" s="115"/>
      <c r="B88" s="115"/>
      <c r="C88" s="115"/>
      <c r="D88" s="106" t="s">
        <v>424</v>
      </c>
      <c r="E88" s="110">
        <v>6</v>
      </c>
      <c r="F88" s="107" t="s">
        <v>58</v>
      </c>
      <c r="G88" s="108">
        <v>44196</v>
      </c>
      <c r="H88" s="109">
        <v>142250</v>
      </c>
      <c r="I88" s="109">
        <v>169233</v>
      </c>
      <c r="J88" s="109">
        <v>159039</v>
      </c>
      <c r="K88" s="109">
        <v>129646</v>
      </c>
      <c r="L88" s="109"/>
      <c r="M88" s="109"/>
    </row>
    <row r="89" spans="1:13">
      <c r="A89" s="115"/>
      <c r="B89" s="115"/>
      <c r="C89" s="115"/>
      <c r="D89" s="106" t="s">
        <v>424</v>
      </c>
      <c r="E89" s="110">
        <v>7</v>
      </c>
      <c r="F89" s="107" t="s">
        <v>58</v>
      </c>
      <c r="G89" s="108">
        <v>44196</v>
      </c>
      <c r="H89" s="109">
        <v>139797</v>
      </c>
      <c r="I89" s="109">
        <v>140187</v>
      </c>
      <c r="J89" s="109">
        <v>136608</v>
      </c>
      <c r="K89" s="109">
        <v>146298</v>
      </c>
      <c r="L89" s="109"/>
      <c r="M89" s="109"/>
    </row>
    <row r="90" spans="1:13">
      <c r="A90" s="115"/>
      <c r="B90" s="115"/>
      <c r="C90" s="115"/>
      <c r="D90" s="106" t="s">
        <v>424</v>
      </c>
      <c r="E90" s="110">
        <v>1</v>
      </c>
      <c r="F90" s="107" t="s">
        <v>58</v>
      </c>
      <c r="G90" s="108">
        <v>44196</v>
      </c>
      <c r="H90" s="109">
        <v>15391154</v>
      </c>
      <c r="I90" s="109">
        <v>16786192</v>
      </c>
      <c r="J90" s="109">
        <v>17221109</v>
      </c>
      <c r="K90" s="109">
        <v>18505921</v>
      </c>
      <c r="L90" s="109"/>
      <c r="M90" s="109"/>
    </row>
    <row r="91" spans="1:13">
      <c r="A91" s="115"/>
      <c r="B91" s="115"/>
      <c r="C91" s="115"/>
      <c r="D91" s="106" t="s">
        <v>424</v>
      </c>
      <c r="E91" s="110">
        <v>11</v>
      </c>
      <c r="F91" s="107" t="s">
        <v>58</v>
      </c>
      <c r="G91" s="108">
        <v>44196</v>
      </c>
      <c r="H91" s="109">
        <v>51079073</v>
      </c>
      <c r="I91" s="109">
        <v>51887708</v>
      </c>
      <c r="J91" s="109">
        <v>52759567</v>
      </c>
      <c r="K91" s="109">
        <v>53421006</v>
      </c>
      <c r="L91" s="109"/>
      <c r="M91" s="109"/>
    </row>
    <row r="92" spans="1:13">
      <c r="A92" s="115"/>
      <c r="B92" s="115"/>
      <c r="C92" s="115"/>
      <c r="D92" s="106" t="s">
        <v>424</v>
      </c>
      <c r="E92" s="110">
        <v>12</v>
      </c>
      <c r="F92" s="107" t="s">
        <v>58</v>
      </c>
      <c r="G92" s="108">
        <v>44196</v>
      </c>
      <c r="H92" s="109">
        <v>1185148</v>
      </c>
      <c r="I92" s="109">
        <v>1234346</v>
      </c>
      <c r="J92" s="109">
        <v>1252835</v>
      </c>
      <c r="K92" s="109">
        <v>1269018</v>
      </c>
      <c r="L92" s="109"/>
      <c r="M92" s="109"/>
    </row>
    <row r="93" spans="1:13">
      <c r="A93" s="115"/>
      <c r="B93" s="115"/>
      <c r="C93" s="115"/>
      <c r="D93" s="106" t="s">
        <v>457</v>
      </c>
      <c r="E93" s="110"/>
      <c r="F93" s="107" t="s">
        <v>456</v>
      </c>
      <c r="G93" s="108">
        <v>44196</v>
      </c>
      <c r="H93" s="109">
        <v>124</v>
      </c>
      <c r="I93" s="109">
        <v>128</v>
      </c>
      <c r="J93" s="109">
        <v>128</v>
      </c>
      <c r="K93" s="109">
        <v>127</v>
      </c>
      <c r="L93" s="109"/>
      <c r="M93" s="109"/>
    </row>
    <row r="94" spans="1:13">
      <c r="A94" s="115"/>
      <c r="B94" s="115"/>
      <c r="C94" s="115"/>
      <c r="D94" s="96" t="s">
        <v>426</v>
      </c>
      <c r="F94" t="s">
        <v>173</v>
      </c>
      <c r="G94" s="95">
        <v>44196</v>
      </c>
      <c r="H94" s="101">
        <f>H91/H93</f>
        <v>411928.00806451612</v>
      </c>
      <c r="I94" s="102">
        <f>I91/I93</f>
        <v>405372.71875</v>
      </c>
      <c r="J94" s="101">
        <f>J91/J93</f>
        <v>412184.1171875</v>
      </c>
      <c r="K94" s="102">
        <f>K91/K93</f>
        <v>420637.84251968504</v>
      </c>
      <c r="L94" s="101"/>
      <c r="M94" s="102"/>
    </row>
    <row r="95" spans="1:13">
      <c r="A95" s="115"/>
      <c r="B95" s="115"/>
      <c r="C95" s="115"/>
      <c r="D95" s="96" t="s">
        <v>427</v>
      </c>
      <c r="G95" s="95"/>
      <c r="H95" s="101"/>
      <c r="I95" s="102"/>
      <c r="J95" s="101"/>
      <c r="K95" s="104" t="s">
        <v>458</v>
      </c>
      <c r="L95" s="103"/>
      <c r="M95" s="102"/>
    </row>
    <row r="96" spans="1:13">
      <c r="A96" s="115" t="s">
        <v>85</v>
      </c>
      <c r="B96" s="115" t="s">
        <v>86</v>
      </c>
      <c r="C96" s="115" t="s">
        <v>87</v>
      </c>
      <c r="D96" s="96" t="s">
        <v>420</v>
      </c>
      <c r="F96" t="s">
        <v>437</v>
      </c>
      <c r="G96" s="95">
        <v>44196</v>
      </c>
      <c r="H96" s="101">
        <v>562146</v>
      </c>
      <c r="I96" s="102">
        <v>625072</v>
      </c>
      <c r="J96" s="101">
        <v>581703</v>
      </c>
      <c r="K96" s="102">
        <v>678403</v>
      </c>
      <c r="L96" s="101">
        <v>678967</v>
      </c>
      <c r="M96" s="102"/>
    </row>
    <row r="97" spans="1:13">
      <c r="A97" s="115"/>
      <c r="B97" s="115"/>
      <c r="C97" s="115"/>
      <c r="D97" s="96" t="s">
        <v>421</v>
      </c>
      <c r="E97" t="s">
        <v>422</v>
      </c>
      <c r="F97" t="s">
        <v>437</v>
      </c>
      <c r="G97" s="95">
        <v>44196</v>
      </c>
      <c r="H97" s="101">
        <v>868089</v>
      </c>
      <c r="I97" s="102">
        <v>510911</v>
      </c>
      <c r="J97" s="101">
        <v>538622</v>
      </c>
      <c r="K97" s="102">
        <v>354095</v>
      </c>
      <c r="L97" s="101">
        <v>130090</v>
      </c>
      <c r="M97" s="102"/>
    </row>
    <row r="98" spans="1:13">
      <c r="A98" s="115"/>
      <c r="B98" s="115"/>
      <c r="C98" s="115"/>
      <c r="D98" s="96" t="s">
        <v>423</v>
      </c>
      <c r="E98" t="s">
        <v>422</v>
      </c>
      <c r="F98" t="s">
        <v>437</v>
      </c>
      <c r="G98" s="95">
        <v>44196</v>
      </c>
      <c r="H98" s="101">
        <f>H96+H97</f>
        <v>1430235</v>
      </c>
      <c r="I98" s="102">
        <f>I96+I97</f>
        <v>1135983</v>
      </c>
      <c r="J98" s="101">
        <f>J96+J97</f>
        <v>1120325</v>
      </c>
      <c r="K98" s="102">
        <f>K96+K97</f>
        <v>1032498</v>
      </c>
      <c r="L98" s="101">
        <f>L96+L97</f>
        <v>809057</v>
      </c>
      <c r="M98" s="102"/>
    </row>
    <row r="99" spans="1:13">
      <c r="A99" s="115"/>
      <c r="B99" s="115"/>
      <c r="C99" s="115"/>
      <c r="D99" s="106" t="s">
        <v>424</v>
      </c>
      <c r="E99" s="107" t="s">
        <v>425</v>
      </c>
      <c r="F99" s="107" t="s">
        <v>437</v>
      </c>
      <c r="G99" s="108">
        <v>44196</v>
      </c>
      <c r="H99" s="109">
        <v>69388735</v>
      </c>
      <c r="I99" s="109">
        <v>71714741</v>
      </c>
      <c r="J99" s="109">
        <v>73093077</v>
      </c>
      <c r="K99" s="109">
        <v>75042286</v>
      </c>
      <c r="L99" s="109">
        <v>65100863</v>
      </c>
      <c r="M99" s="109"/>
    </row>
    <row r="100" spans="1:13">
      <c r="A100" s="115"/>
      <c r="B100" s="115"/>
      <c r="C100" s="115"/>
      <c r="D100" s="106" t="s">
        <v>424</v>
      </c>
      <c r="E100" s="110" t="s">
        <v>451</v>
      </c>
      <c r="F100" s="107" t="s">
        <v>58</v>
      </c>
      <c r="G100" s="108">
        <v>44196</v>
      </c>
      <c r="H100" s="109">
        <v>1427399</v>
      </c>
      <c r="I100" s="109">
        <v>1497075</v>
      </c>
      <c r="J100" s="109">
        <v>1563919</v>
      </c>
      <c r="K100" s="109">
        <v>1570397</v>
      </c>
      <c r="L100" s="109">
        <v>1322859</v>
      </c>
      <c r="M100" s="109"/>
    </row>
    <row r="101" spans="1:13">
      <c r="A101" s="115"/>
      <c r="B101" s="115"/>
      <c r="C101" s="115"/>
      <c r="D101" s="106" t="s">
        <v>424</v>
      </c>
      <c r="E101" s="110">
        <v>6</v>
      </c>
      <c r="F101" s="107" t="s">
        <v>58</v>
      </c>
      <c r="G101" s="108">
        <v>44196</v>
      </c>
      <c r="H101" s="109">
        <v>142250</v>
      </c>
      <c r="I101" s="109">
        <v>169233</v>
      </c>
      <c r="J101" s="109">
        <v>159039</v>
      </c>
      <c r="K101" s="109">
        <v>129646</v>
      </c>
      <c r="L101" s="109">
        <v>25217</v>
      </c>
      <c r="M101" s="109"/>
    </row>
    <row r="102" spans="1:13">
      <c r="A102" s="115"/>
      <c r="B102" s="115"/>
      <c r="C102" s="115"/>
      <c r="D102" s="106" t="s">
        <v>424</v>
      </c>
      <c r="E102" s="110">
        <v>7</v>
      </c>
      <c r="F102" s="107" t="s">
        <v>58</v>
      </c>
      <c r="G102" s="108">
        <v>44196</v>
      </c>
      <c r="H102" s="109">
        <v>139797</v>
      </c>
      <c r="I102" s="109">
        <v>140187</v>
      </c>
      <c r="J102" s="109">
        <v>136608</v>
      </c>
      <c r="K102" s="109">
        <v>146298</v>
      </c>
      <c r="L102" s="109">
        <v>166586</v>
      </c>
      <c r="M102" s="109"/>
    </row>
    <row r="103" spans="1:13">
      <c r="A103" s="115"/>
      <c r="B103" s="115"/>
      <c r="C103" s="115"/>
      <c r="D103" s="106" t="s">
        <v>424</v>
      </c>
      <c r="E103" s="110">
        <v>1</v>
      </c>
      <c r="F103" s="107" t="s">
        <v>58</v>
      </c>
      <c r="G103" s="108">
        <v>44196</v>
      </c>
      <c r="H103" s="109">
        <v>15391154</v>
      </c>
      <c r="I103" s="109">
        <v>16786192</v>
      </c>
      <c r="J103" s="109">
        <v>17221109</v>
      </c>
      <c r="K103" s="109">
        <v>18505921</v>
      </c>
      <c r="L103" s="109">
        <v>16234959</v>
      </c>
      <c r="M103" s="109"/>
    </row>
    <row r="104" spans="1:13">
      <c r="A104" s="115"/>
      <c r="B104" s="115"/>
      <c r="C104" s="115"/>
      <c r="D104" s="106" t="s">
        <v>424</v>
      </c>
      <c r="E104" s="110">
        <v>11</v>
      </c>
      <c r="F104" s="107" t="s">
        <v>58</v>
      </c>
      <c r="G104" s="108">
        <v>44196</v>
      </c>
      <c r="H104" s="109">
        <v>51079073</v>
      </c>
      <c r="I104" s="109">
        <v>51887708</v>
      </c>
      <c r="J104" s="109">
        <v>52759567</v>
      </c>
      <c r="K104" s="114">
        <v>53421006</v>
      </c>
      <c r="L104" s="114">
        <v>46200385</v>
      </c>
      <c r="M104" s="109"/>
    </row>
    <row r="105" spans="1:13">
      <c r="A105" s="115"/>
      <c r="B105" s="115"/>
      <c r="C105" s="115"/>
      <c r="D105" s="106" t="s">
        <v>424</v>
      </c>
      <c r="E105" s="110">
        <v>12</v>
      </c>
      <c r="F105" s="107" t="s">
        <v>58</v>
      </c>
      <c r="G105" s="108">
        <v>44196</v>
      </c>
      <c r="H105" s="109">
        <v>1185148</v>
      </c>
      <c r="I105" s="109">
        <v>1234346</v>
      </c>
      <c r="J105" s="109">
        <v>1252835</v>
      </c>
      <c r="K105" s="109">
        <v>1269018</v>
      </c>
      <c r="L105" s="109">
        <v>1150857</v>
      </c>
      <c r="M105" s="109"/>
    </row>
    <row r="106" spans="1:13">
      <c r="A106" s="115"/>
      <c r="B106" s="115"/>
      <c r="C106" s="115"/>
      <c r="D106" s="106" t="s">
        <v>457</v>
      </c>
      <c r="E106" s="110"/>
      <c r="F106" s="107" t="s">
        <v>456</v>
      </c>
      <c r="G106" s="108">
        <v>44196</v>
      </c>
      <c r="H106" s="109">
        <v>124</v>
      </c>
      <c r="I106" s="109">
        <v>128</v>
      </c>
      <c r="J106" s="111">
        <v>128</v>
      </c>
      <c r="K106" s="109">
        <v>127</v>
      </c>
      <c r="L106" s="111">
        <v>99</v>
      </c>
      <c r="M106" s="109"/>
    </row>
    <row r="107" spans="1:13">
      <c r="A107" s="115"/>
      <c r="B107" s="115"/>
      <c r="C107" s="115"/>
      <c r="D107" s="96" t="s">
        <v>426</v>
      </c>
      <c r="F107" t="s">
        <v>173</v>
      </c>
      <c r="G107" s="95">
        <v>44196</v>
      </c>
      <c r="H107" s="101">
        <f>H104/H106</f>
        <v>411928.00806451612</v>
      </c>
      <c r="I107" s="102">
        <f>I104/I106</f>
        <v>405372.71875</v>
      </c>
      <c r="J107" s="101">
        <f>J104/J106</f>
        <v>412184.1171875</v>
      </c>
      <c r="K107" s="102">
        <f>K104/K106</f>
        <v>420637.84251968504</v>
      </c>
      <c r="L107" s="101">
        <f>L104/L106</f>
        <v>466670.55555555556</v>
      </c>
      <c r="M107" s="102"/>
    </row>
    <row r="108" spans="1:13">
      <c r="A108" s="115"/>
      <c r="B108" s="115"/>
      <c r="C108" s="115"/>
      <c r="D108" s="96" t="s">
        <v>427</v>
      </c>
      <c r="G108" s="95"/>
      <c r="H108" s="101"/>
      <c r="I108" s="102"/>
      <c r="J108" s="101"/>
      <c r="K108" s="102"/>
      <c r="L108" s="103" t="s">
        <v>455</v>
      </c>
      <c r="M108" s="102"/>
    </row>
    <row r="109" spans="1:13">
      <c r="A109" s="115" t="s">
        <v>85</v>
      </c>
      <c r="B109" s="115" t="s">
        <v>86</v>
      </c>
      <c r="C109" s="115" t="s">
        <v>87</v>
      </c>
      <c r="D109" s="96" t="s">
        <v>420</v>
      </c>
      <c r="F109" t="s">
        <v>437</v>
      </c>
      <c r="G109" s="95">
        <v>44561</v>
      </c>
      <c r="H109" s="101"/>
      <c r="I109" s="102">
        <v>625072</v>
      </c>
      <c r="J109" s="101">
        <v>581703</v>
      </c>
      <c r="K109" s="102">
        <v>678403</v>
      </c>
      <c r="L109" s="101">
        <v>678967</v>
      </c>
      <c r="M109" s="102">
        <v>699713</v>
      </c>
    </row>
    <row r="110" spans="1:13">
      <c r="A110" s="115"/>
      <c r="B110" s="115"/>
      <c r="C110" s="115"/>
      <c r="D110" s="96" t="s">
        <v>421</v>
      </c>
      <c r="E110" t="s">
        <v>422</v>
      </c>
      <c r="F110" t="s">
        <v>437</v>
      </c>
      <c r="G110" s="95">
        <v>44561</v>
      </c>
      <c r="H110" s="101"/>
      <c r="I110" s="102">
        <v>510911</v>
      </c>
      <c r="J110" s="101">
        <v>538622</v>
      </c>
      <c r="K110" s="102">
        <v>354095</v>
      </c>
      <c r="L110" s="101">
        <v>130090</v>
      </c>
      <c r="M110" s="102">
        <v>134849</v>
      </c>
    </row>
    <row r="111" spans="1:13">
      <c r="A111" s="115"/>
      <c r="B111" s="115"/>
      <c r="C111" s="115"/>
      <c r="D111" s="96" t="s">
        <v>423</v>
      </c>
      <c r="E111" t="s">
        <v>422</v>
      </c>
      <c r="F111" t="s">
        <v>437</v>
      </c>
      <c r="G111" s="95">
        <v>44561</v>
      </c>
      <c r="H111" s="101"/>
      <c r="I111" s="102">
        <f>I109+I110</f>
        <v>1135983</v>
      </c>
      <c r="J111" s="101">
        <f>J109+J110</f>
        <v>1120325</v>
      </c>
      <c r="K111" s="102">
        <f>K109+K110</f>
        <v>1032498</v>
      </c>
      <c r="L111" s="102">
        <f>L109+L110</f>
        <v>809057</v>
      </c>
      <c r="M111" s="102">
        <f>M109+M110</f>
        <v>834562</v>
      </c>
    </row>
    <row r="112" spans="1:13">
      <c r="A112" s="115"/>
      <c r="B112" s="115"/>
      <c r="C112" s="115"/>
      <c r="D112" s="106" t="s">
        <v>424</v>
      </c>
      <c r="E112" s="107" t="s">
        <v>425</v>
      </c>
      <c r="F112" s="107" t="s">
        <v>437</v>
      </c>
      <c r="G112" s="108">
        <v>44561</v>
      </c>
      <c r="H112" s="109"/>
      <c r="I112" s="109">
        <v>71714741</v>
      </c>
      <c r="J112" s="109">
        <v>73093077</v>
      </c>
      <c r="K112" s="109">
        <v>132520346</v>
      </c>
      <c r="L112" s="109">
        <v>117682832</v>
      </c>
      <c r="M112" s="109">
        <v>121705368</v>
      </c>
    </row>
    <row r="113" spans="1:13">
      <c r="A113" s="115"/>
      <c r="B113" s="115"/>
      <c r="C113" s="115"/>
      <c r="D113" s="106" t="s">
        <v>424</v>
      </c>
      <c r="E113" s="110" t="s">
        <v>451</v>
      </c>
      <c r="F113" s="107" t="s">
        <v>58</v>
      </c>
      <c r="G113" s="108">
        <v>44561</v>
      </c>
      <c r="H113" s="109"/>
      <c r="I113" s="109">
        <v>1497075</v>
      </c>
      <c r="J113" s="109">
        <v>1563919</v>
      </c>
      <c r="K113" s="109">
        <v>1570397</v>
      </c>
      <c r="L113" s="109">
        <v>1322859</v>
      </c>
      <c r="M113" s="109">
        <v>1878910</v>
      </c>
    </row>
    <row r="114" spans="1:13">
      <c r="A114" s="115"/>
      <c r="B114" s="115"/>
      <c r="C114" s="115"/>
      <c r="D114" s="106" t="s">
        <v>424</v>
      </c>
      <c r="E114" s="110">
        <v>6</v>
      </c>
      <c r="F114" s="107" t="s">
        <v>58</v>
      </c>
      <c r="G114" s="108">
        <v>44561</v>
      </c>
      <c r="H114" s="109"/>
      <c r="I114" s="109">
        <v>169233</v>
      </c>
      <c r="J114" s="109">
        <v>159039</v>
      </c>
      <c r="K114" s="109">
        <v>129646</v>
      </c>
      <c r="L114" s="109">
        <v>25217</v>
      </c>
      <c r="M114" s="109">
        <v>29765</v>
      </c>
    </row>
    <row r="115" spans="1:13">
      <c r="A115" s="115"/>
      <c r="B115" s="115"/>
      <c r="C115" s="115"/>
      <c r="D115" s="106" t="s">
        <v>424</v>
      </c>
      <c r="E115" s="110">
        <v>7</v>
      </c>
      <c r="F115" s="107" t="s">
        <v>58</v>
      </c>
      <c r="G115" s="108">
        <v>44561</v>
      </c>
      <c r="H115" s="109"/>
      <c r="I115" s="109">
        <v>140187</v>
      </c>
      <c r="J115" s="109">
        <v>136608</v>
      </c>
      <c r="K115" s="109">
        <v>146298</v>
      </c>
      <c r="L115" s="109">
        <v>166586</v>
      </c>
      <c r="M115" s="109">
        <v>139999</v>
      </c>
    </row>
    <row r="116" spans="1:13">
      <c r="A116" s="115"/>
      <c r="B116" s="115"/>
      <c r="C116" s="115"/>
      <c r="D116" s="106" t="s">
        <v>424</v>
      </c>
      <c r="E116" s="110">
        <v>1</v>
      </c>
      <c r="F116" s="107" t="s">
        <v>58</v>
      </c>
      <c r="G116" s="108">
        <v>44561</v>
      </c>
      <c r="H116" s="109"/>
      <c r="I116" s="109">
        <v>16786192</v>
      </c>
      <c r="J116" s="109">
        <v>17221109</v>
      </c>
      <c r="K116" s="109">
        <v>18505921</v>
      </c>
      <c r="L116" s="109">
        <v>16234959</v>
      </c>
      <c r="M116" s="109">
        <v>18534765</v>
      </c>
    </row>
    <row r="117" spans="1:13">
      <c r="A117" s="115"/>
      <c r="B117" s="115"/>
      <c r="C117" s="115"/>
      <c r="D117" s="106" t="s">
        <v>424</v>
      </c>
      <c r="E117" s="110">
        <v>11</v>
      </c>
      <c r="F117" s="107" t="s">
        <v>58</v>
      </c>
      <c r="G117" s="108">
        <v>44561</v>
      </c>
      <c r="H117" s="109"/>
      <c r="I117" s="109">
        <v>51887708</v>
      </c>
      <c r="J117" s="109">
        <v>52759567</v>
      </c>
      <c r="K117" s="114">
        <v>110899066</v>
      </c>
      <c r="L117" s="114">
        <v>98782354</v>
      </c>
      <c r="M117" s="109">
        <v>99805490</v>
      </c>
    </row>
    <row r="118" spans="1:13">
      <c r="A118" s="115"/>
      <c r="B118" s="115"/>
      <c r="C118" s="115"/>
      <c r="D118" s="106" t="s">
        <v>424</v>
      </c>
      <c r="E118" s="110">
        <v>12</v>
      </c>
      <c r="F118" s="107" t="s">
        <v>58</v>
      </c>
      <c r="G118" s="108">
        <v>44561</v>
      </c>
      <c r="H118" s="109"/>
      <c r="I118" s="109">
        <v>1234346</v>
      </c>
      <c r="J118" s="109">
        <v>1252835</v>
      </c>
      <c r="K118" s="109">
        <v>1269018</v>
      </c>
      <c r="L118" s="109">
        <v>1150857</v>
      </c>
      <c r="M118" s="109">
        <v>1316438</v>
      </c>
    </row>
    <row r="119" spans="1:13">
      <c r="A119" s="115"/>
      <c r="B119" s="115"/>
      <c r="C119" s="115"/>
      <c r="D119" s="106" t="s">
        <v>457</v>
      </c>
      <c r="E119" s="110"/>
      <c r="F119" s="107" t="s">
        <v>456</v>
      </c>
      <c r="G119" s="108"/>
      <c r="H119" s="109"/>
      <c r="I119" s="109">
        <v>128</v>
      </c>
      <c r="J119" s="111">
        <v>127.5</v>
      </c>
      <c r="K119" s="109">
        <v>127</v>
      </c>
      <c r="L119" s="111">
        <v>135</v>
      </c>
      <c r="M119" s="109">
        <v>115.9</v>
      </c>
    </row>
    <row r="120" spans="1:13">
      <c r="A120" s="115"/>
      <c r="B120" s="115"/>
      <c r="C120" s="115"/>
      <c r="D120" s="96" t="s">
        <v>426</v>
      </c>
      <c r="F120" t="s">
        <v>173</v>
      </c>
      <c r="G120" s="95">
        <v>44561</v>
      </c>
      <c r="H120" s="101"/>
      <c r="I120" s="102">
        <f>I117/I119</f>
        <v>405372.71875</v>
      </c>
      <c r="J120" s="101">
        <f>J117/J119</f>
        <v>413800.52549019607</v>
      </c>
      <c r="K120" s="102">
        <f>K117/K119</f>
        <v>873220.99212598428</v>
      </c>
      <c r="L120" s="101">
        <f>L117/L119</f>
        <v>731721.1407407407</v>
      </c>
      <c r="M120" s="102">
        <f>M117/M119</f>
        <v>861134.51251078513</v>
      </c>
    </row>
    <row r="121" spans="1:13">
      <c r="A121" s="115"/>
      <c r="B121" s="115"/>
      <c r="C121" s="115"/>
      <c r="D121" s="96" t="s">
        <v>427</v>
      </c>
      <c r="G121" s="95"/>
      <c r="H121" s="101"/>
      <c r="I121" s="102"/>
      <c r="J121" s="101"/>
      <c r="K121" s="102"/>
      <c r="L121" s="101"/>
      <c r="M121" s="104" t="s">
        <v>454</v>
      </c>
    </row>
    <row r="122" spans="1:13">
      <c r="A122" s="115" t="s">
        <v>91</v>
      </c>
      <c r="B122" s="115" t="s">
        <v>92</v>
      </c>
      <c r="C122" s="115" t="s">
        <v>93</v>
      </c>
      <c r="D122" s="96" t="s">
        <v>420</v>
      </c>
      <c r="F122" t="s">
        <v>438</v>
      </c>
      <c r="G122" s="95">
        <v>44561</v>
      </c>
      <c r="H122" s="101"/>
      <c r="I122" s="102">
        <v>50.5</v>
      </c>
      <c r="J122" s="101">
        <v>48.8</v>
      </c>
      <c r="K122" s="102">
        <v>49.2</v>
      </c>
      <c r="L122" s="101">
        <v>41.7</v>
      </c>
      <c r="M122" s="102">
        <v>33.200000000000003</v>
      </c>
    </row>
    <row r="123" spans="1:13">
      <c r="A123" s="115"/>
      <c r="B123" s="115"/>
      <c r="C123" s="115"/>
      <c r="D123" s="96" t="s">
        <v>421</v>
      </c>
      <c r="E123" t="s">
        <v>422</v>
      </c>
      <c r="F123" t="s">
        <v>438</v>
      </c>
      <c r="G123" s="95">
        <v>44561</v>
      </c>
      <c r="H123" s="101"/>
      <c r="I123" s="102">
        <v>6.1</v>
      </c>
      <c r="J123" s="101">
        <v>5.4</v>
      </c>
      <c r="K123" s="102">
        <v>5.2</v>
      </c>
      <c r="L123" s="101">
        <v>3.8</v>
      </c>
      <c r="M123" s="102">
        <v>2.4</v>
      </c>
    </row>
    <row r="124" spans="1:13">
      <c r="A124" s="115"/>
      <c r="B124" s="115"/>
      <c r="C124" s="115"/>
      <c r="D124" s="96" t="s">
        <v>423</v>
      </c>
      <c r="E124" t="s">
        <v>422</v>
      </c>
      <c r="F124" t="s">
        <v>438</v>
      </c>
      <c r="G124" s="95">
        <v>44561</v>
      </c>
      <c r="H124" s="101"/>
      <c r="I124" s="102">
        <v>56.6</v>
      </c>
      <c r="J124" s="101">
        <v>54.2</v>
      </c>
      <c r="K124" s="102">
        <v>54.400000000000013</v>
      </c>
      <c r="L124" s="101">
        <v>45.5</v>
      </c>
      <c r="M124" s="102">
        <v>35.6</v>
      </c>
    </row>
    <row r="125" spans="1:13">
      <c r="A125" s="115"/>
      <c r="B125" s="115"/>
      <c r="C125" s="115"/>
      <c r="D125" s="96" t="s">
        <v>424</v>
      </c>
      <c r="E125" t="s">
        <v>425</v>
      </c>
      <c r="F125" t="s">
        <v>438</v>
      </c>
      <c r="G125" s="95">
        <v>44561</v>
      </c>
      <c r="H125" s="101"/>
      <c r="I125" s="102">
        <v>946.27100840336141</v>
      </c>
      <c r="J125" s="101">
        <v>946.27100840336141</v>
      </c>
      <c r="K125" s="102">
        <v>946.27100840336141</v>
      </c>
      <c r="L125" s="101">
        <v>822.359943977591</v>
      </c>
      <c r="M125" s="102">
        <v>834.55532212885146</v>
      </c>
    </row>
    <row r="126" spans="1:13">
      <c r="A126" s="115"/>
      <c r="B126" s="115"/>
      <c r="C126" s="115"/>
      <c r="D126" s="96" t="s">
        <v>426</v>
      </c>
      <c r="F126" t="s">
        <v>97</v>
      </c>
      <c r="G126" s="95">
        <v>44561</v>
      </c>
      <c r="H126" s="101"/>
      <c r="I126" s="102">
        <v>12570</v>
      </c>
      <c r="J126" s="101">
        <v>12570</v>
      </c>
      <c r="K126" s="102">
        <v>12570</v>
      </c>
      <c r="L126" s="101">
        <v>10924</v>
      </c>
      <c r="M126" s="102">
        <v>11086</v>
      </c>
    </row>
    <row r="127" spans="1:13">
      <c r="A127" s="115"/>
      <c r="B127" s="115"/>
      <c r="C127" s="115"/>
      <c r="D127" s="96" t="s">
        <v>427</v>
      </c>
      <c r="G127" s="95"/>
      <c r="H127" s="101"/>
      <c r="I127" s="102"/>
      <c r="J127" s="101"/>
      <c r="K127" s="102"/>
      <c r="L127" s="101"/>
      <c r="M127" s="102"/>
    </row>
    <row r="128" spans="1:13">
      <c r="A128" s="115" t="s">
        <v>98</v>
      </c>
      <c r="B128" s="115" t="s">
        <v>99</v>
      </c>
      <c r="C128" s="115" t="s">
        <v>100</v>
      </c>
      <c r="D128" s="96" t="s">
        <v>420</v>
      </c>
      <c r="F128" t="s">
        <v>437</v>
      </c>
      <c r="G128" s="95">
        <v>44561</v>
      </c>
      <c r="H128" s="101">
        <v>298055</v>
      </c>
      <c r="I128" s="102">
        <v>298055</v>
      </c>
      <c r="J128" s="101">
        <v>298055</v>
      </c>
      <c r="K128" s="102">
        <v>298055</v>
      </c>
      <c r="L128" s="101">
        <v>292832.150987298</v>
      </c>
      <c r="M128" s="102"/>
    </row>
    <row r="129" spans="1:13">
      <c r="A129" s="115"/>
      <c r="B129" s="115"/>
      <c r="C129" s="115"/>
      <c r="D129" s="96" t="s">
        <v>421</v>
      </c>
      <c r="E129" t="s">
        <v>422</v>
      </c>
      <c r="F129" t="s">
        <v>437</v>
      </c>
      <c r="G129" s="95">
        <v>44561</v>
      </c>
      <c r="H129" s="101">
        <v>76855.254000000001</v>
      </c>
      <c r="I129" s="102">
        <v>76855.254000000001</v>
      </c>
      <c r="J129" s="101">
        <v>76855.254000000001</v>
      </c>
      <c r="K129" s="102">
        <v>76855.254000000001</v>
      </c>
      <c r="L129" s="101">
        <v>76855.254000000001</v>
      </c>
      <c r="M129" s="102"/>
    </row>
    <row r="130" spans="1:13">
      <c r="A130" s="115"/>
      <c r="B130" s="115"/>
      <c r="C130" s="115"/>
      <c r="D130" s="96" t="s">
        <v>423</v>
      </c>
      <c r="E130" t="s">
        <v>422</v>
      </c>
      <c r="F130" t="s">
        <v>437</v>
      </c>
      <c r="G130" s="95">
        <v>44561</v>
      </c>
      <c r="H130" s="101">
        <v>374910.25400000002</v>
      </c>
      <c r="I130" s="102">
        <v>374910.25400000002</v>
      </c>
      <c r="J130" s="101">
        <v>374910.25400000002</v>
      </c>
      <c r="K130" s="102">
        <v>374910.25400000002</v>
      </c>
      <c r="L130" s="101">
        <v>369687.40498729801</v>
      </c>
      <c r="M130" s="102"/>
    </row>
    <row r="131" spans="1:13">
      <c r="A131" s="115"/>
      <c r="B131" s="115"/>
      <c r="C131" s="115"/>
      <c r="D131" s="96" t="s">
        <v>424</v>
      </c>
      <c r="E131" t="s">
        <v>425</v>
      </c>
      <c r="F131" t="s">
        <v>437</v>
      </c>
      <c r="G131" s="95">
        <v>44561</v>
      </c>
      <c r="H131" s="101"/>
      <c r="I131" s="102"/>
      <c r="J131" s="101"/>
      <c r="K131" s="102"/>
      <c r="L131" s="101"/>
      <c r="M131" s="102"/>
    </row>
    <row r="132" spans="1:13">
      <c r="A132" s="115"/>
      <c r="B132" s="115"/>
      <c r="C132" s="115"/>
      <c r="D132" s="96" t="s">
        <v>426</v>
      </c>
      <c r="F132" t="s">
        <v>102</v>
      </c>
      <c r="G132" s="95">
        <v>44561</v>
      </c>
      <c r="H132" s="101">
        <v>138831</v>
      </c>
      <c r="I132" s="102">
        <v>138831</v>
      </c>
      <c r="J132" s="101">
        <v>138831</v>
      </c>
      <c r="K132" s="102">
        <v>138831</v>
      </c>
      <c r="L132" s="101">
        <v>140944.858159875</v>
      </c>
      <c r="M132" s="102"/>
    </row>
    <row r="133" spans="1:13">
      <c r="A133" s="115"/>
      <c r="B133" s="115"/>
      <c r="C133" s="115"/>
      <c r="D133" s="96" t="s">
        <v>427</v>
      </c>
      <c r="G133" s="95"/>
      <c r="H133" s="101"/>
      <c r="I133" s="102"/>
      <c r="J133" s="101"/>
      <c r="K133" s="102"/>
      <c r="L133" s="101"/>
      <c r="M133" s="102"/>
    </row>
    <row r="134" spans="1:13">
      <c r="A134" s="115" t="s">
        <v>103</v>
      </c>
      <c r="B134" s="115" t="s">
        <v>104</v>
      </c>
      <c r="C134" s="115" t="s">
        <v>105</v>
      </c>
      <c r="D134" s="96" t="s">
        <v>420</v>
      </c>
      <c r="F134" t="s">
        <v>438</v>
      </c>
      <c r="G134" s="95">
        <v>44561</v>
      </c>
      <c r="H134" s="101"/>
      <c r="I134" s="102">
        <v>63</v>
      </c>
      <c r="J134" s="101">
        <v>66</v>
      </c>
      <c r="K134" s="102">
        <v>62</v>
      </c>
      <c r="L134" s="101">
        <v>54</v>
      </c>
      <c r="M134" s="102">
        <v>57</v>
      </c>
    </row>
    <row r="135" spans="1:13">
      <c r="A135" s="115"/>
      <c r="B135" s="115"/>
      <c r="C135" s="115"/>
      <c r="D135" s="96" t="s">
        <v>421</v>
      </c>
      <c r="E135" t="s">
        <v>422</v>
      </c>
      <c r="F135" t="s">
        <v>438</v>
      </c>
      <c r="G135" s="95">
        <v>44561</v>
      </c>
      <c r="H135" s="101"/>
      <c r="I135" s="102">
        <v>3</v>
      </c>
      <c r="J135" s="101">
        <v>3</v>
      </c>
      <c r="K135" s="102">
        <v>2</v>
      </c>
      <c r="L135" s="101">
        <v>4</v>
      </c>
      <c r="M135" s="102">
        <v>4</v>
      </c>
    </row>
    <row r="136" spans="1:13">
      <c r="A136" s="115"/>
      <c r="B136" s="115"/>
      <c r="C136" s="115"/>
      <c r="D136" s="96" t="s">
        <v>423</v>
      </c>
      <c r="E136" t="s">
        <v>422</v>
      </c>
      <c r="F136" t="s">
        <v>438</v>
      </c>
      <c r="G136" s="95">
        <v>44561</v>
      </c>
      <c r="H136" s="101"/>
      <c r="I136" s="102">
        <v>66</v>
      </c>
      <c r="J136" s="101">
        <v>69</v>
      </c>
      <c r="K136" s="102">
        <v>64</v>
      </c>
      <c r="L136" s="101">
        <v>58</v>
      </c>
      <c r="M136" s="102">
        <v>61</v>
      </c>
    </row>
    <row r="137" spans="1:13">
      <c r="A137" s="115"/>
      <c r="B137" s="115"/>
      <c r="C137" s="115"/>
      <c r="D137" s="96" t="s">
        <v>424</v>
      </c>
      <c r="E137" t="s">
        <v>425</v>
      </c>
      <c r="F137" t="s">
        <v>438</v>
      </c>
      <c r="G137" s="95">
        <v>44561</v>
      </c>
      <c r="H137" s="101"/>
      <c r="I137" s="102">
        <v>613</v>
      </c>
      <c r="J137" s="101">
        <v>628</v>
      </c>
      <c r="K137" s="102">
        <v>639</v>
      </c>
      <c r="L137" s="101">
        <v>583</v>
      </c>
      <c r="M137" s="102">
        <v>611</v>
      </c>
    </row>
    <row r="138" spans="1:13">
      <c r="A138" s="115"/>
      <c r="B138" s="115"/>
      <c r="C138" s="115"/>
      <c r="D138" s="96" t="s">
        <v>426</v>
      </c>
      <c r="F138" t="s">
        <v>97</v>
      </c>
      <c r="G138" s="95">
        <v>44561</v>
      </c>
      <c r="H138" s="101"/>
      <c r="I138" s="102">
        <v>9568.2675814751292</v>
      </c>
      <c r="J138" s="101">
        <v>9802.4013722126929</v>
      </c>
      <c r="K138" s="102">
        <v>9974.0994854202399</v>
      </c>
      <c r="L138" s="101">
        <v>9100</v>
      </c>
      <c r="M138" s="102">
        <v>9500</v>
      </c>
    </row>
    <row r="139" spans="1:13">
      <c r="A139" s="115"/>
      <c r="B139" s="115"/>
      <c r="C139" s="115"/>
      <c r="D139" s="96" t="s">
        <v>427</v>
      </c>
      <c r="G139" s="95"/>
      <c r="H139" s="101"/>
      <c r="I139" s="102"/>
      <c r="J139" s="101"/>
      <c r="K139" s="102"/>
      <c r="L139" s="101"/>
      <c r="M139" s="102"/>
    </row>
    <row r="140" spans="1:13">
      <c r="A140" s="115" t="s">
        <v>106</v>
      </c>
      <c r="B140" s="115" t="s">
        <v>107</v>
      </c>
      <c r="C140" s="115" t="s">
        <v>108</v>
      </c>
      <c r="D140" s="96" t="s">
        <v>420</v>
      </c>
      <c r="F140" t="s">
        <v>437</v>
      </c>
      <c r="G140" s="95">
        <v>44561</v>
      </c>
      <c r="H140" s="101">
        <v>33209464.625</v>
      </c>
      <c r="I140" s="102">
        <v>32357763.7366</v>
      </c>
      <c r="J140" s="101">
        <v>31034981.663759999</v>
      </c>
      <c r="K140" s="102">
        <v>30349904.449799899</v>
      </c>
      <c r="L140" s="101">
        <v>25607731.879518699</v>
      </c>
      <c r="M140" s="102"/>
    </row>
    <row r="141" spans="1:13">
      <c r="A141" s="115"/>
      <c r="B141" s="115"/>
      <c r="C141" s="115"/>
      <c r="D141" s="96" t="s">
        <v>421</v>
      </c>
      <c r="E141" t="s">
        <v>422</v>
      </c>
      <c r="F141" t="s">
        <v>437</v>
      </c>
      <c r="G141" s="95">
        <v>44561</v>
      </c>
      <c r="H141" s="101">
        <v>4431504.7156481296</v>
      </c>
      <c r="I141" s="102">
        <v>4473104.3565879799</v>
      </c>
      <c r="J141" s="101">
        <v>4413355.3696956905</v>
      </c>
      <c r="K141" s="102">
        <v>4426105.2359619504</v>
      </c>
      <c r="L141" s="101">
        <v>3671367</v>
      </c>
      <c r="M141" s="102"/>
    </row>
    <row r="142" spans="1:13">
      <c r="A142" s="115"/>
      <c r="B142" s="115"/>
      <c r="C142" s="115"/>
      <c r="D142" s="96" t="s">
        <v>423</v>
      </c>
      <c r="E142" t="s">
        <v>422</v>
      </c>
      <c r="F142" t="s">
        <v>437</v>
      </c>
      <c r="G142" s="95">
        <v>44561</v>
      </c>
      <c r="H142" s="101">
        <v>37640969.3406481</v>
      </c>
      <c r="I142" s="102">
        <v>36830868.093188003</v>
      </c>
      <c r="J142" s="101">
        <v>35448337.0334557</v>
      </c>
      <c r="K142" s="102">
        <v>34776009.685761802</v>
      </c>
      <c r="L142" s="101">
        <v>29279098.879518699</v>
      </c>
      <c r="M142" s="102"/>
    </row>
    <row r="143" spans="1:13">
      <c r="A143" s="115"/>
      <c r="B143" s="115"/>
      <c r="C143" s="115"/>
      <c r="D143" s="96" t="s">
        <v>424</v>
      </c>
      <c r="E143" t="s">
        <v>425</v>
      </c>
      <c r="F143" t="s">
        <v>437</v>
      </c>
      <c r="G143" s="95">
        <v>44561</v>
      </c>
      <c r="H143" s="101">
        <v>1934075.55568</v>
      </c>
      <c r="I143" s="102">
        <v>2449774.8339999998</v>
      </c>
      <c r="J143" s="101">
        <v>2449865.6460000002</v>
      </c>
      <c r="K143" s="102">
        <v>2194701.7039999999</v>
      </c>
      <c r="L143" s="101">
        <v>1851779.56275</v>
      </c>
      <c r="M143" s="102"/>
    </row>
    <row r="144" spans="1:13">
      <c r="A144" s="115"/>
      <c r="B144" s="115"/>
      <c r="C144" s="115"/>
      <c r="D144" s="96" t="s">
        <v>426</v>
      </c>
      <c r="F144" t="s">
        <v>102</v>
      </c>
      <c r="G144" s="95">
        <v>44561</v>
      </c>
      <c r="H144" s="101">
        <v>89951800</v>
      </c>
      <c r="I144" s="102">
        <v>90796200</v>
      </c>
      <c r="J144" s="101">
        <v>89583400</v>
      </c>
      <c r="K144" s="102">
        <v>89842200</v>
      </c>
      <c r="L144" s="101">
        <v>74522333</v>
      </c>
      <c r="M144" s="102"/>
    </row>
    <row r="145" spans="1:13">
      <c r="A145" s="115"/>
      <c r="B145" s="115"/>
      <c r="C145" s="115"/>
      <c r="D145" s="96" t="s">
        <v>427</v>
      </c>
      <c r="G145" s="95"/>
      <c r="H145" s="101"/>
      <c r="I145" s="102"/>
      <c r="J145" s="101"/>
      <c r="K145" s="102"/>
      <c r="L145" s="101"/>
      <c r="M145" s="102"/>
    </row>
    <row r="146" spans="1:13">
      <c r="A146" s="115" t="s">
        <v>109</v>
      </c>
      <c r="B146" s="115" t="s">
        <v>110</v>
      </c>
      <c r="C146" s="115" t="s">
        <v>111</v>
      </c>
      <c r="D146" s="96" t="s">
        <v>420</v>
      </c>
      <c r="F146" t="s">
        <v>438</v>
      </c>
      <c r="G146" s="95">
        <v>44561</v>
      </c>
      <c r="H146" s="101">
        <v>12.6485763125094</v>
      </c>
      <c r="I146" s="102">
        <v>12.381008123704399</v>
      </c>
      <c r="J146" s="101">
        <v>12.277614766045099</v>
      </c>
      <c r="K146" s="102">
        <v>12.512963056846599</v>
      </c>
      <c r="L146" s="101">
        <v>10.700060724044199</v>
      </c>
      <c r="M146" s="102"/>
    </row>
    <row r="147" spans="1:13">
      <c r="A147" s="115"/>
      <c r="B147" s="115"/>
      <c r="C147" s="115"/>
      <c r="D147" s="96" t="s">
        <v>421</v>
      </c>
      <c r="E147" t="s">
        <v>422</v>
      </c>
      <c r="F147" t="s">
        <v>438</v>
      </c>
      <c r="G147" s="95">
        <v>44561</v>
      </c>
      <c r="H147" s="101">
        <v>0</v>
      </c>
      <c r="I147" s="102">
        <v>0</v>
      </c>
      <c r="J147" s="101">
        <v>0</v>
      </c>
      <c r="K147" s="102">
        <v>0</v>
      </c>
      <c r="L147" s="101">
        <v>0</v>
      </c>
      <c r="M147" s="102"/>
    </row>
    <row r="148" spans="1:13">
      <c r="A148" s="115"/>
      <c r="B148" s="115"/>
      <c r="C148" s="115"/>
      <c r="D148" s="96" t="s">
        <v>423</v>
      </c>
      <c r="E148" t="s">
        <v>422</v>
      </c>
      <c r="F148" t="s">
        <v>438</v>
      </c>
      <c r="G148" s="95">
        <v>44561</v>
      </c>
      <c r="H148" s="101">
        <v>12.6485763125094</v>
      </c>
      <c r="I148" s="102">
        <v>12.381008123704399</v>
      </c>
      <c r="J148" s="101">
        <v>12.277614766045099</v>
      </c>
      <c r="K148" s="102">
        <v>12.512963056846599</v>
      </c>
      <c r="L148" s="101">
        <v>10.700060724044199</v>
      </c>
      <c r="M148" s="102"/>
    </row>
    <row r="149" spans="1:13">
      <c r="A149" s="115"/>
      <c r="B149" s="115"/>
      <c r="C149" s="115"/>
      <c r="D149" s="96" t="s">
        <v>424</v>
      </c>
      <c r="E149" t="s">
        <v>425</v>
      </c>
      <c r="F149" t="s">
        <v>438</v>
      </c>
      <c r="G149" s="95">
        <v>44561</v>
      </c>
      <c r="H149" s="101"/>
      <c r="I149" s="102"/>
      <c r="J149" s="101"/>
      <c r="K149" s="102"/>
      <c r="L149" s="101"/>
      <c r="M149" s="102"/>
    </row>
    <row r="150" spans="1:13">
      <c r="A150" s="115"/>
      <c r="B150" s="115"/>
      <c r="C150" s="115"/>
      <c r="D150" s="96" t="s">
        <v>426</v>
      </c>
      <c r="F150" t="s">
        <v>65</v>
      </c>
      <c r="G150" s="95">
        <v>44561</v>
      </c>
      <c r="H150" s="101">
        <v>16.692451879226802</v>
      </c>
      <c r="I150" s="102">
        <v>16.1094990846277</v>
      </c>
      <c r="J150" s="101">
        <v>15.767973619907</v>
      </c>
      <c r="K150" s="102">
        <v>17.0235153303285</v>
      </c>
      <c r="L150" s="101">
        <v>15.014898459545799</v>
      </c>
      <c r="M150" s="102"/>
    </row>
    <row r="151" spans="1:13">
      <c r="A151" s="115"/>
      <c r="B151" s="115"/>
      <c r="C151" s="115"/>
      <c r="D151" s="96" t="s">
        <v>427</v>
      </c>
      <c r="G151" s="95"/>
      <c r="H151" s="101"/>
      <c r="I151" s="102"/>
      <c r="J151" s="101"/>
      <c r="K151" s="102"/>
      <c r="L151" s="101"/>
      <c r="M151" s="102"/>
    </row>
    <row r="152" spans="1:13">
      <c r="A152" s="115" t="s">
        <v>112</v>
      </c>
      <c r="B152" s="115" t="s">
        <v>113</v>
      </c>
      <c r="C152" s="115" t="s">
        <v>114</v>
      </c>
      <c r="D152" s="96" t="s">
        <v>420</v>
      </c>
      <c r="F152" t="s">
        <v>437</v>
      </c>
      <c r="G152" s="95">
        <v>44561</v>
      </c>
      <c r="H152" s="101">
        <v>1048006</v>
      </c>
      <c r="I152" s="102">
        <v>1048006</v>
      </c>
      <c r="J152" s="101">
        <v>1048006</v>
      </c>
      <c r="K152" s="102">
        <v>1048006</v>
      </c>
      <c r="L152" s="101">
        <v>1106156</v>
      </c>
      <c r="M152" s="102"/>
    </row>
    <row r="153" spans="1:13">
      <c r="A153" s="115"/>
      <c r="B153" s="115"/>
      <c r="C153" s="115"/>
      <c r="D153" s="96" t="s">
        <v>421</v>
      </c>
      <c r="E153" t="s">
        <v>422</v>
      </c>
      <c r="F153" t="s">
        <v>437</v>
      </c>
      <c r="G153" s="95">
        <v>44561</v>
      </c>
      <c r="H153" s="101">
        <v>2548437</v>
      </c>
      <c r="I153" s="102">
        <v>2548437</v>
      </c>
      <c r="J153" s="101">
        <v>2548437</v>
      </c>
      <c r="K153" s="102">
        <v>1500431</v>
      </c>
      <c r="L153" s="101">
        <v>1466830</v>
      </c>
      <c r="M153" s="102"/>
    </row>
    <row r="154" spans="1:13">
      <c r="A154" s="115"/>
      <c r="B154" s="115"/>
      <c r="C154" s="115"/>
      <c r="D154" s="96" t="s">
        <v>423</v>
      </c>
      <c r="E154" t="s">
        <v>422</v>
      </c>
      <c r="F154" t="s">
        <v>437</v>
      </c>
      <c r="G154" s="95">
        <v>44561</v>
      </c>
      <c r="H154" s="101">
        <v>3596443</v>
      </c>
      <c r="I154" s="102">
        <v>3596443</v>
      </c>
      <c r="J154" s="101">
        <v>3596443</v>
      </c>
      <c r="K154" s="102">
        <v>2548437</v>
      </c>
      <c r="L154" s="101">
        <v>2572986</v>
      </c>
      <c r="M154" s="102"/>
    </row>
    <row r="155" spans="1:13">
      <c r="A155" s="115"/>
      <c r="B155" s="115"/>
      <c r="C155" s="115"/>
      <c r="D155" s="96" t="s">
        <v>424</v>
      </c>
      <c r="E155" t="s">
        <v>425</v>
      </c>
      <c r="F155" t="s">
        <v>437</v>
      </c>
      <c r="G155" s="95">
        <v>44561</v>
      </c>
      <c r="H155" s="101"/>
      <c r="I155" s="102"/>
      <c r="J155" s="101"/>
      <c r="K155" s="102"/>
      <c r="L155" s="101"/>
      <c r="M155" s="102"/>
    </row>
    <row r="156" spans="1:13">
      <c r="A156" s="115"/>
      <c r="B156" s="115"/>
      <c r="C156" s="115"/>
      <c r="D156" s="96" t="s">
        <v>426</v>
      </c>
      <c r="F156" t="s">
        <v>102</v>
      </c>
      <c r="G156" s="95">
        <v>44561</v>
      </c>
      <c r="H156" s="101">
        <v>5301216</v>
      </c>
      <c r="I156" s="102">
        <v>5301216</v>
      </c>
      <c r="J156" s="101">
        <v>5301216</v>
      </c>
      <c r="K156" s="102">
        <v>5301216</v>
      </c>
      <c r="L156" s="101">
        <v>5543677</v>
      </c>
      <c r="M156" s="102"/>
    </row>
    <row r="157" spans="1:13">
      <c r="A157" s="115"/>
      <c r="B157" s="115"/>
      <c r="C157" s="115"/>
      <c r="D157" s="96" t="s">
        <v>427</v>
      </c>
      <c r="G157" s="95"/>
      <c r="H157" s="101"/>
      <c r="I157" s="102"/>
      <c r="J157" s="101"/>
      <c r="K157" s="102"/>
      <c r="L157" s="101"/>
      <c r="M157" s="102"/>
    </row>
    <row r="158" spans="1:13">
      <c r="A158" s="115" t="s">
        <v>115</v>
      </c>
      <c r="B158" s="115" t="s">
        <v>116</v>
      </c>
      <c r="C158" s="115" t="s">
        <v>117</v>
      </c>
      <c r="D158" s="96" t="s">
        <v>420</v>
      </c>
      <c r="F158" t="s">
        <v>438</v>
      </c>
      <c r="G158" s="95">
        <v>44561</v>
      </c>
      <c r="H158" s="101">
        <v>9.98209123846366</v>
      </c>
      <c r="I158" s="102">
        <v>8.7791840316313294</v>
      </c>
      <c r="J158" s="101">
        <v>9.3084717803376105</v>
      </c>
      <c r="K158" s="102">
        <v>8.4480133281525607</v>
      </c>
      <c r="L158" s="101">
        <v>8.0503032419862404</v>
      </c>
      <c r="M158" s="102"/>
    </row>
    <row r="159" spans="1:13">
      <c r="A159" s="115"/>
      <c r="B159" s="115"/>
      <c r="C159" s="115"/>
      <c r="D159" s="96" t="s">
        <v>421</v>
      </c>
      <c r="E159" t="s">
        <v>422</v>
      </c>
      <c r="F159" t="s">
        <v>438</v>
      </c>
      <c r="G159" s="95">
        <v>44561</v>
      </c>
      <c r="H159" s="101">
        <v>0</v>
      </c>
      <c r="I159" s="102">
        <v>0</v>
      </c>
      <c r="J159" s="101">
        <v>0</v>
      </c>
      <c r="K159" s="102">
        <v>0</v>
      </c>
      <c r="L159" s="101">
        <v>0</v>
      </c>
      <c r="M159" s="102"/>
    </row>
    <row r="160" spans="1:13">
      <c r="A160" s="115"/>
      <c r="B160" s="115"/>
      <c r="C160" s="115"/>
      <c r="D160" s="96" t="s">
        <v>423</v>
      </c>
      <c r="E160" t="s">
        <v>422</v>
      </c>
      <c r="F160" t="s">
        <v>438</v>
      </c>
      <c r="G160" s="95">
        <v>44561</v>
      </c>
      <c r="H160" s="101">
        <v>9.98209123846366</v>
      </c>
      <c r="I160" s="102">
        <v>8.7791840316313294</v>
      </c>
      <c r="J160" s="101">
        <v>9.3084717803376105</v>
      </c>
      <c r="K160" s="102">
        <v>8.4480133281525607</v>
      </c>
      <c r="L160" s="101">
        <v>8.0503032419862404</v>
      </c>
      <c r="M160" s="102"/>
    </row>
    <row r="161" spans="1:13">
      <c r="A161" s="115"/>
      <c r="B161" s="115"/>
      <c r="C161" s="115"/>
      <c r="D161" s="96" t="s">
        <v>424</v>
      </c>
      <c r="E161" t="s">
        <v>425</v>
      </c>
      <c r="F161" t="s">
        <v>438</v>
      </c>
      <c r="G161" s="95">
        <v>44561</v>
      </c>
      <c r="H161" s="101"/>
      <c r="I161" s="102"/>
      <c r="J161" s="101"/>
      <c r="K161" s="102"/>
      <c r="L161" s="101"/>
      <c r="M161" s="102"/>
    </row>
    <row r="162" spans="1:13">
      <c r="A162" s="115"/>
      <c r="B162" s="115"/>
      <c r="C162" s="115"/>
      <c r="D162" s="96" t="s">
        <v>426</v>
      </c>
      <c r="F162" t="s">
        <v>65</v>
      </c>
      <c r="G162" s="95">
        <v>44561</v>
      </c>
      <c r="H162" s="101">
        <v>13.525581534692501</v>
      </c>
      <c r="I162" s="102">
        <v>11.5214877484265</v>
      </c>
      <c r="J162" s="101">
        <v>12.199646670480099</v>
      </c>
      <c r="K162" s="102">
        <v>12.8612387470939</v>
      </c>
      <c r="L162" s="101">
        <v>12.092829316131199</v>
      </c>
      <c r="M162" s="102"/>
    </row>
    <row r="163" spans="1:13">
      <c r="A163" s="115"/>
      <c r="B163" s="115"/>
      <c r="C163" s="115"/>
      <c r="D163" s="96" t="s">
        <v>427</v>
      </c>
      <c r="G163" s="95"/>
      <c r="H163" s="101"/>
      <c r="I163" s="102"/>
      <c r="J163" s="101"/>
      <c r="K163" s="102"/>
      <c r="L163" s="101"/>
      <c r="M163" s="102"/>
    </row>
    <row r="164" spans="1:13">
      <c r="A164" s="115" t="s">
        <v>118</v>
      </c>
      <c r="B164" s="115" t="s">
        <v>119</v>
      </c>
      <c r="C164" s="115" t="s">
        <v>120</v>
      </c>
      <c r="D164" s="96" t="s">
        <v>420</v>
      </c>
      <c r="F164" t="s">
        <v>438</v>
      </c>
      <c r="G164" s="95">
        <v>44561</v>
      </c>
      <c r="H164" s="101">
        <v>1.32578662140228</v>
      </c>
      <c r="I164" s="102">
        <v>1.3237389779454301</v>
      </c>
      <c r="J164" s="101">
        <v>1.2684298153370399</v>
      </c>
      <c r="K164" s="102">
        <v>1.2026904049517599</v>
      </c>
      <c r="L164" s="101">
        <v>1.32787923872953</v>
      </c>
      <c r="M164" s="102"/>
    </row>
    <row r="165" spans="1:13">
      <c r="A165" s="115"/>
      <c r="B165" s="115"/>
      <c r="C165" s="115"/>
      <c r="D165" s="96" t="s">
        <v>421</v>
      </c>
      <c r="E165" t="s">
        <v>422</v>
      </c>
      <c r="F165" t="s">
        <v>438</v>
      </c>
      <c r="G165" s="95">
        <v>44561</v>
      </c>
      <c r="H165" s="101">
        <v>0</v>
      </c>
      <c r="I165" s="102">
        <v>0</v>
      </c>
      <c r="J165" s="101">
        <v>0</v>
      </c>
      <c r="K165" s="102">
        <v>0</v>
      </c>
      <c r="L165" s="101">
        <v>0</v>
      </c>
      <c r="M165" s="102"/>
    </row>
    <row r="166" spans="1:13">
      <c r="A166" s="115"/>
      <c r="B166" s="115"/>
      <c r="C166" s="115"/>
      <c r="D166" s="96" t="s">
        <v>423</v>
      </c>
      <c r="E166" t="s">
        <v>422</v>
      </c>
      <c r="F166" t="s">
        <v>438</v>
      </c>
      <c r="G166" s="95">
        <v>44561</v>
      </c>
      <c r="H166" s="101">
        <v>1.32578662140228</v>
      </c>
      <c r="I166" s="102">
        <v>1.3237389779454301</v>
      </c>
      <c r="J166" s="101">
        <v>1.2684298153370399</v>
      </c>
      <c r="K166" s="102">
        <v>1.2026904049517599</v>
      </c>
      <c r="L166" s="101">
        <v>1.32787923872953</v>
      </c>
      <c r="M166" s="102"/>
    </row>
    <row r="167" spans="1:13">
      <c r="A167" s="115"/>
      <c r="B167" s="115"/>
      <c r="C167" s="115"/>
      <c r="D167" s="96" t="s">
        <v>424</v>
      </c>
      <c r="E167" t="s">
        <v>425</v>
      </c>
      <c r="F167" t="s">
        <v>438</v>
      </c>
      <c r="G167" s="95">
        <v>44561</v>
      </c>
      <c r="H167" s="101"/>
      <c r="I167" s="102"/>
      <c r="J167" s="101"/>
      <c r="K167" s="102"/>
      <c r="L167" s="101"/>
      <c r="M167" s="102"/>
    </row>
    <row r="168" spans="1:13">
      <c r="A168" s="115"/>
      <c r="B168" s="115"/>
      <c r="C168" s="115"/>
      <c r="D168" s="96" t="s">
        <v>426</v>
      </c>
      <c r="F168" t="s">
        <v>65</v>
      </c>
      <c r="G168" s="95">
        <v>44561</v>
      </c>
      <c r="H168" s="101">
        <v>3.0828950000000002</v>
      </c>
      <c r="I168" s="102">
        <v>3.095761</v>
      </c>
      <c r="J168" s="101">
        <v>2.9563009999999998</v>
      </c>
      <c r="K168" s="102">
        <v>2.8198500000000002</v>
      </c>
      <c r="L168" s="101">
        <v>3.1220319999999999</v>
      </c>
      <c r="M168" s="102"/>
    </row>
    <row r="169" spans="1:13">
      <c r="A169" s="115"/>
      <c r="B169" s="115"/>
      <c r="C169" s="115"/>
      <c r="D169" s="96" t="s">
        <v>427</v>
      </c>
      <c r="G169" s="95"/>
      <c r="H169" s="101"/>
      <c r="I169" s="102"/>
      <c r="J169" s="101"/>
      <c r="K169" s="102"/>
      <c r="L169" s="101"/>
      <c r="M169" s="102"/>
    </row>
    <row r="170" spans="1:13">
      <c r="A170" s="115" t="s">
        <v>121</v>
      </c>
      <c r="B170" s="115" t="s">
        <v>122</v>
      </c>
      <c r="C170" s="115" t="s">
        <v>123</v>
      </c>
      <c r="D170" s="96" t="s">
        <v>420</v>
      </c>
      <c r="F170" t="s">
        <v>438</v>
      </c>
      <c r="G170" s="95">
        <v>44561</v>
      </c>
      <c r="H170" s="101">
        <v>26.800952219832499</v>
      </c>
      <c r="I170" s="102">
        <v>27.947696991438701</v>
      </c>
      <c r="J170" s="101">
        <v>29.956332607558998</v>
      </c>
      <c r="K170" s="102">
        <v>28.520222</v>
      </c>
      <c r="L170" s="101">
        <v>21.238468999999998</v>
      </c>
      <c r="M170" s="102">
        <v>29.051687999999999</v>
      </c>
    </row>
    <row r="171" spans="1:13">
      <c r="A171" s="115"/>
      <c r="B171" s="115"/>
      <c r="C171" s="115"/>
      <c r="D171" s="96" t="s">
        <v>421</v>
      </c>
      <c r="E171" t="s">
        <v>422</v>
      </c>
      <c r="F171" t="s">
        <v>438</v>
      </c>
      <c r="G171" s="95">
        <v>44561</v>
      </c>
      <c r="H171" s="101">
        <v>0</v>
      </c>
      <c r="I171" s="102">
        <v>0</v>
      </c>
      <c r="J171" s="101">
        <v>0</v>
      </c>
      <c r="K171" s="102">
        <v>3.4870640000000002</v>
      </c>
      <c r="L171" s="101">
        <v>8.0041449999999994</v>
      </c>
      <c r="M171" s="102">
        <v>1.708447</v>
      </c>
    </row>
    <row r="172" spans="1:13">
      <c r="A172" s="115"/>
      <c r="B172" s="115"/>
      <c r="C172" s="115"/>
      <c r="D172" s="96" t="s">
        <v>423</v>
      </c>
      <c r="E172" t="s">
        <v>422</v>
      </c>
      <c r="F172" t="s">
        <v>438</v>
      </c>
      <c r="G172" s="95">
        <v>44561</v>
      </c>
      <c r="H172" s="101">
        <v>26.800952219832499</v>
      </c>
      <c r="I172" s="102">
        <v>27.947696991438701</v>
      </c>
      <c r="J172" s="101">
        <v>29.956332607558998</v>
      </c>
      <c r="K172" s="102">
        <v>32.007286000000001</v>
      </c>
      <c r="L172" s="101">
        <v>29.242614</v>
      </c>
      <c r="M172" s="102">
        <v>30.760134999999998</v>
      </c>
    </row>
    <row r="173" spans="1:13">
      <c r="A173" s="115"/>
      <c r="B173" s="115"/>
      <c r="C173" s="115"/>
      <c r="D173" s="96" t="s">
        <v>424</v>
      </c>
      <c r="E173" t="s">
        <v>425</v>
      </c>
      <c r="F173" t="s">
        <v>438</v>
      </c>
      <c r="G173" s="95">
        <v>44561</v>
      </c>
      <c r="H173" s="101"/>
      <c r="I173" s="102"/>
      <c r="J173" s="101"/>
      <c r="K173" s="102"/>
      <c r="L173" s="101"/>
      <c r="M173" s="102"/>
    </row>
    <row r="174" spans="1:13">
      <c r="A174" s="115"/>
      <c r="B174" s="115"/>
      <c r="C174" s="115"/>
      <c r="D174" s="96" t="s">
        <v>426</v>
      </c>
      <c r="F174" t="s">
        <v>65</v>
      </c>
      <c r="G174" s="95">
        <v>44561</v>
      </c>
      <c r="H174" s="101">
        <v>38.338929711799999</v>
      </c>
      <c r="I174" s="102">
        <v>38.489939228899999</v>
      </c>
      <c r="J174" s="101">
        <v>39.794065703999998</v>
      </c>
      <c r="K174" s="102">
        <v>41.56</v>
      </c>
      <c r="L174" s="101">
        <v>32.669999999999987</v>
      </c>
      <c r="M174" s="102">
        <v>43.8</v>
      </c>
    </row>
    <row r="175" spans="1:13">
      <c r="A175" s="115"/>
      <c r="B175" s="115"/>
      <c r="C175" s="115"/>
      <c r="D175" s="96" t="s">
        <v>427</v>
      </c>
      <c r="G175" s="95"/>
      <c r="H175" s="101"/>
      <c r="I175" s="102"/>
      <c r="J175" s="101"/>
      <c r="K175" s="102"/>
      <c r="L175" s="101"/>
      <c r="M175" s="102"/>
    </row>
    <row r="176" spans="1:13">
      <c r="A176" s="115" t="s">
        <v>124</v>
      </c>
      <c r="B176" s="115" t="s">
        <v>125</v>
      </c>
      <c r="C176" s="115" t="s">
        <v>126</v>
      </c>
      <c r="D176" s="96" t="s">
        <v>420</v>
      </c>
      <c r="F176" t="s">
        <v>438</v>
      </c>
      <c r="G176" s="95">
        <v>44561</v>
      </c>
      <c r="H176" s="101">
        <v>43.346668252252499</v>
      </c>
      <c r="I176" s="102">
        <v>36.8693615036822</v>
      </c>
      <c r="J176" s="101">
        <v>35.120067341795298</v>
      </c>
      <c r="K176" s="102">
        <v>31.432803553609599</v>
      </c>
      <c r="L176" s="101">
        <v>32.246843518396602</v>
      </c>
      <c r="M176" s="102"/>
    </row>
    <row r="177" spans="1:13">
      <c r="A177" s="115"/>
      <c r="B177" s="115"/>
      <c r="C177" s="115"/>
      <c r="D177" s="96" t="s">
        <v>421</v>
      </c>
      <c r="E177" t="s">
        <v>422</v>
      </c>
      <c r="F177" t="s">
        <v>438</v>
      </c>
      <c r="G177" s="95">
        <v>44561</v>
      </c>
      <c r="H177" s="101">
        <v>0</v>
      </c>
      <c r="I177" s="102">
        <v>0</v>
      </c>
      <c r="J177" s="101">
        <v>0</v>
      </c>
      <c r="K177" s="102">
        <v>0</v>
      </c>
      <c r="L177" s="101">
        <v>0</v>
      </c>
      <c r="M177" s="102"/>
    </row>
    <row r="178" spans="1:13">
      <c r="A178" s="115"/>
      <c r="B178" s="115"/>
      <c r="C178" s="115"/>
      <c r="D178" s="96" t="s">
        <v>423</v>
      </c>
      <c r="E178" t="s">
        <v>422</v>
      </c>
      <c r="F178" t="s">
        <v>438</v>
      </c>
      <c r="G178" s="95">
        <v>44561</v>
      </c>
      <c r="H178" s="101">
        <v>43.346668252252499</v>
      </c>
      <c r="I178" s="102">
        <v>36.8693615036822</v>
      </c>
      <c r="J178" s="101">
        <v>35.120067341795298</v>
      </c>
      <c r="K178" s="102">
        <v>31.432803553609599</v>
      </c>
      <c r="L178" s="101">
        <v>32.246843518396602</v>
      </c>
      <c r="M178" s="102"/>
    </row>
    <row r="179" spans="1:13">
      <c r="A179" s="115"/>
      <c r="B179" s="115"/>
      <c r="C179" s="115"/>
      <c r="D179" s="96" t="s">
        <v>424</v>
      </c>
      <c r="E179" t="s">
        <v>425</v>
      </c>
      <c r="F179" t="s">
        <v>438</v>
      </c>
      <c r="G179" s="95">
        <v>44561</v>
      </c>
      <c r="H179" s="101"/>
      <c r="I179" s="102"/>
      <c r="J179" s="101"/>
      <c r="K179" s="102"/>
      <c r="L179" s="101"/>
      <c r="M179" s="102"/>
    </row>
    <row r="180" spans="1:13">
      <c r="A180" s="115"/>
      <c r="B180" s="115"/>
      <c r="C180" s="115"/>
      <c r="D180" s="96" t="s">
        <v>426</v>
      </c>
      <c r="F180" t="s">
        <v>65</v>
      </c>
      <c r="G180" s="95">
        <v>44561</v>
      </c>
      <c r="H180" s="101">
        <v>102.3781215467</v>
      </c>
      <c r="I180" s="102">
        <v>95.363361617799995</v>
      </c>
      <c r="J180" s="101">
        <v>95.723638083700195</v>
      </c>
      <c r="K180" s="102">
        <v>97.768233357200003</v>
      </c>
      <c r="L180" s="101">
        <v>101.0949584695</v>
      </c>
      <c r="M180" s="102"/>
    </row>
    <row r="181" spans="1:13">
      <c r="A181" s="115"/>
      <c r="B181" s="115"/>
      <c r="C181" s="115"/>
      <c r="D181" s="96" t="s">
        <v>427</v>
      </c>
      <c r="G181" s="95"/>
      <c r="H181" s="101"/>
      <c r="I181" s="102"/>
      <c r="J181" s="101"/>
      <c r="K181" s="102"/>
      <c r="L181" s="101"/>
      <c r="M181" s="102"/>
    </row>
    <row r="182" spans="1:13">
      <c r="A182" s="115" t="s">
        <v>127</v>
      </c>
      <c r="B182" s="115" t="s">
        <v>128</v>
      </c>
      <c r="C182" s="115" t="s">
        <v>129</v>
      </c>
      <c r="D182" s="96" t="s">
        <v>420</v>
      </c>
      <c r="F182" t="s">
        <v>438</v>
      </c>
      <c r="G182" s="95">
        <v>44561</v>
      </c>
      <c r="H182" s="101">
        <v>101.019277096862</v>
      </c>
      <c r="I182" s="102">
        <v>93.530450474088099</v>
      </c>
      <c r="J182" s="101">
        <v>95.012237689685406</v>
      </c>
      <c r="K182" s="102">
        <v>83.573620116699004</v>
      </c>
      <c r="L182" s="101">
        <v>74.771237187252794</v>
      </c>
      <c r="M182" s="102"/>
    </row>
    <row r="183" spans="1:13">
      <c r="A183" s="115"/>
      <c r="B183" s="115"/>
      <c r="C183" s="115"/>
      <c r="D183" s="96" t="s">
        <v>421</v>
      </c>
      <c r="E183" t="s">
        <v>422</v>
      </c>
      <c r="F183" t="s">
        <v>438</v>
      </c>
      <c r="G183" s="95">
        <v>44561</v>
      </c>
      <c r="H183" s="101">
        <v>0</v>
      </c>
      <c r="I183" s="102">
        <v>0</v>
      </c>
      <c r="J183" s="101">
        <v>0</v>
      </c>
      <c r="K183" s="102">
        <v>0</v>
      </c>
      <c r="L183" s="101">
        <v>0</v>
      </c>
      <c r="M183" s="102"/>
    </row>
    <row r="184" spans="1:13">
      <c r="A184" s="115"/>
      <c r="B184" s="115"/>
      <c r="C184" s="115"/>
      <c r="D184" s="96" t="s">
        <v>423</v>
      </c>
      <c r="E184" t="s">
        <v>422</v>
      </c>
      <c r="F184" t="s">
        <v>438</v>
      </c>
      <c r="G184" s="95">
        <v>44561</v>
      </c>
      <c r="H184" s="101">
        <v>101.019277096862</v>
      </c>
      <c r="I184" s="102">
        <v>93.530450474088099</v>
      </c>
      <c r="J184" s="101">
        <v>95.012237689685406</v>
      </c>
      <c r="K184" s="102">
        <v>83.573620116699004</v>
      </c>
      <c r="L184" s="101">
        <v>74.771237187252794</v>
      </c>
      <c r="M184" s="102"/>
    </row>
    <row r="185" spans="1:13">
      <c r="A185" s="115"/>
      <c r="B185" s="115"/>
      <c r="C185" s="115"/>
      <c r="D185" s="96" t="s">
        <v>424</v>
      </c>
      <c r="E185" t="s">
        <v>425</v>
      </c>
      <c r="F185" t="s">
        <v>438</v>
      </c>
      <c r="G185" s="95">
        <v>44561</v>
      </c>
      <c r="H185" s="101"/>
      <c r="I185" s="102"/>
      <c r="J185" s="101"/>
      <c r="K185" s="102"/>
      <c r="L185" s="101"/>
      <c r="M185" s="102"/>
    </row>
    <row r="186" spans="1:13">
      <c r="A186" s="115"/>
      <c r="B186" s="115"/>
      <c r="C186" s="115"/>
      <c r="D186" s="96" t="s">
        <v>426</v>
      </c>
      <c r="F186" t="s">
        <v>65</v>
      </c>
      <c r="G186" s="95">
        <v>44561</v>
      </c>
      <c r="H186" s="101">
        <v>215.728917587978</v>
      </c>
      <c r="I186" s="102">
        <v>209.732414023438</v>
      </c>
      <c r="J186" s="101">
        <v>215.512044238328</v>
      </c>
      <c r="K186" s="102">
        <v>206.167169888941</v>
      </c>
      <c r="L186" s="101">
        <v>199.53951726531801</v>
      </c>
      <c r="M186" s="102"/>
    </row>
    <row r="187" spans="1:13">
      <c r="A187" s="115"/>
      <c r="B187" s="115"/>
      <c r="C187" s="115"/>
      <c r="D187" s="96" t="s">
        <v>427</v>
      </c>
      <c r="G187" s="95"/>
      <c r="H187" s="101"/>
      <c r="I187" s="102"/>
      <c r="J187" s="101"/>
      <c r="K187" s="102"/>
      <c r="L187" s="101"/>
      <c r="M187" s="102"/>
    </row>
    <row r="188" spans="1:13">
      <c r="A188" s="115" t="s">
        <v>130</v>
      </c>
      <c r="B188" s="115" t="s">
        <v>131</v>
      </c>
      <c r="C188" s="115" t="s">
        <v>132</v>
      </c>
      <c r="D188" s="96" t="s">
        <v>420</v>
      </c>
      <c r="F188" t="s">
        <v>438</v>
      </c>
      <c r="G188" s="95">
        <v>44561</v>
      </c>
      <c r="H188" s="101"/>
      <c r="I188" s="102"/>
      <c r="J188" s="101">
        <v>35.700000000000003</v>
      </c>
      <c r="K188" s="102">
        <v>33</v>
      </c>
      <c r="L188" s="101">
        <v>28</v>
      </c>
      <c r="M188" s="102">
        <v>27</v>
      </c>
    </row>
    <row r="189" spans="1:13">
      <c r="A189" s="115"/>
      <c r="B189" s="115"/>
      <c r="C189" s="115"/>
      <c r="D189" s="96" t="s">
        <v>421</v>
      </c>
      <c r="E189" t="s">
        <v>422</v>
      </c>
      <c r="F189" t="s">
        <v>438</v>
      </c>
      <c r="G189" s="95">
        <v>44561</v>
      </c>
      <c r="H189" s="101"/>
      <c r="I189" s="102"/>
      <c r="J189" s="101">
        <v>0.47</v>
      </c>
      <c r="K189" s="102">
        <v>0.3</v>
      </c>
      <c r="L189" s="101">
        <v>0.3</v>
      </c>
      <c r="M189" s="102">
        <v>0.3</v>
      </c>
    </row>
    <row r="190" spans="1:13">
      <c r="A190" s="115"/>
      <c r="B190" s="115"/>
      <c r="C190" s="115"/>
      <c r="D190" s="96" t="s">
        <v>423</v>
      </c>
      <c r="E190" t="s">
        <v>422</v>
      </c>
      <c r="F190" t="s">
        <v>438</v>
      </c>
      <c r="G190" s="95">
        <v>44561</v>
      </c>
      <c r="H190" s="101"/>
      <c r="I190" s="102"/>
      <c r="J190" s="101">
        <v>36.17</v>
      </c>
      <c r="K190" s="102">
        <v>33.299999999999997</v>
      </c>
      <c r="L190" s="101">
        <v>28.3</v>
      </c>
      <c r="M190" s="102">
        <v>27.3</v>
      </c>
    </row>
    <row r="191" spans="1:13">
      <c r="A191" s="115"/>
      <c r="B191" s="115"/>
      <c r="C191" s="115"/>
      <c r="D191" s="96" t="s">
        <v>424</v>
      </c>
      <c r="E191" t="s">
        <v>425</v>
      </c>
      <c r="F191" t="s">
        <v>438</v>
      </c>
      <c r="G191" s="95">
        <v>44561</v>
      </c>
      <c r="H191" s="101"/>
      <c r="I191" s="102"/>
      <c r="J191" s="101">
        <v>110.8</v>
      </c>
      <c r="K191" s="102">
        <v>119</v>
      </c>
      <c r="L191" s="101">
        <v>107</v>
      </c>
      <c r="M191" s="102">
        <v>102</v>
      </c>
    </row>
    <row r="192" spans="1:13">
      <c r="A192" s="115"/>
      <c r="B192" s="115"/>
      <c r="C192" s="115"/>
      <c r="D192" s="96" t="s">
        <v>426</v>
      </c>
      <c r="F192" t="s">
        <v>59</v>
      </c>
      <c r="G192" s="95">
        <v>44561</v>
      </c>
      <c r="H192" s="101"/>
      <c r="I192" s="102">
        <v>71648</v>
      </c>
      <c r="J192" s="101">
        <v>72883</v>
      </c>
      <c r="K192" s="102">
        <v>73053</v>
      </c>
      <c r="L192" s="101">
        <v>70312</v>
      </c>
      <c r="M192" s="102">
        <v>79404</v>
      </c>
    </row>
    <row r="193" spans="1:13">
      <c r="A193" s="115"/>
      <c r="B193" s="115"/>
      <c r="C193" s="115"/>
      <c r="D193" s="96" t="s">
        <v>427</v>
      </c>
      <c r="G193" s="95"/>
      <c r="H193" s="101"/>
      <c r="I193" s="102"/>
      <c r="J193" s="101"/>
      <c r="K193" s="102"/>
      <c r="L193" s="101"/>
      <c r="M193" s="102"/>
    </row>
    <row r="194" spans="1:13">
      <c r="A194" s="115" t="s">
        <v>134</v>
      </c>
      <c r="B194" s="115" t="s">
        <v>135</v>
      </c>
      <c r="C194" s="115" t="s">
        <v>136</v>
      </c>
      <c r="D194" s="96" t="s">
        <v>420</v>
      </c>
      <c r="F194" t="s">
        <v>438</v>
      </c>
      <c r="G194" s="95">
        <v>44561</v>
      </c>
      <c r="H194" s="101">
        <v>2.4</v>
      </c>
      <c r="I194" s="102">
        <v>1.9</v>
      </c>
      <c r="J194" s="101">
        <v>1.1000000000000001</v>
      </c>
      <c r="K194" s="102">
        <v>1.4</v>
      </c>
      <c r="L194" s="101">
        <v>1.4</v>
      </c>
      <c r="M194" s="102">
        <v>1</v>
      </c>
    </row>
    <row r="195" spans="1:13">
      <c r="A195" s="115"/>
      <c r="B195" s="115"/>
      <c r="C195" s="115"/>
      <c r="D195" s="96" t="s">
        <v>421</v>
      </c>
      <c r="E195" t="s">
        <v>422</v>
      </c>
      <c r="F195" t="s">
        <v>438</v>
      </c>
      <c r="G195" s="95">
        <v>44561</v>
      </c>
      <c r="H195" s="101">
        <v>1.6</v>
      </c>
      <c r="I195" s="102">
        <v>1.3</v>
      </c>
      <c r="J195" s="101">
        <v>1.2</v>
      </c>
      <c r="K195" s="102">
        <v>0.6</v>
      </c>
      <c r="L195" s="101">
        <v>0.8</v>
      </c>
      <c r="M195" s="102">
        <v>0.8</v>
      </c>
    </row>
    <row r="196" spans="1:13">
      <c r="A196" s="115"/>
      <c r="B196" s="115"/>
      <c r="C196" s="115"/>
      <c r="D196" s="96" t="s">
        <v>423</v>
      </c>
      <c r="E196" t="s">
        <v>422</v>
      </c>
      <c r="F196" t="s">
        <v>438</v>
      </c>
      <c r="G196" s="95">
        <v>44561</v>
      </c>
      <c r="H196" s="101">
        <v>4</v>
      </c>
      <c r="I196" s="102">
        <v>3.2</v>
      </c>
      <c r="J196" s="101">
        <v>2.2999999999999998</v>
      </c>
      <c r="K196" s="102">
        <v>2</v>
      </c>
      <c r="L196" s="101">
        <v>2.2000000000000002</v>
      </c>
      <c r="M196" s="102">
        <v>1.8</v>
      </c>
    </row>
    <row r="197" spans="1:13">
      <c r="A197" s="115"/>
      <c r="B197" s="115"/>
      <c r="C197" s="115"/>
      <c r="D197" s="96" t="s">
        <v>424</v>
      </c>
      <c r="E197" t="s">
        <v>425</v>
      </c>
      <c r="F197" t="s">
        <v>438</v>
      </c>
      <c r="G197" s="95">
        <v>44561</v>
      </c>
      <c r="H197" s="101">
        <v>20.6</v>
      </c>
      <c r="I197" s="102">
        <v>16.600000000000001</v>
      </c>
      <c r="J197" s="101">
        <v>15.8</v>
      </c>
      <c r="K197" s="102">
        <v>9.8000000000000007</v>
      </c>
      <c r="L197" s="101">
        <v>11.9</v>
      </c>
      <c r="M197" s="102">
        <v>11.6</v>
      </c>
    </row>
    <row r="198" spans="1:13">
      <c r="A198" s="115"/>
      <c r="B198" s="115"/>
      <c r="C198" s="115"/>
      <c r="D198" s="96" t="s">
        <v>426</v>
      </c>
      <c r="F198" t="s">
        <v>65</v>
      </c>
      <c r="G198" s="95">
        <v>44561</v>
      </c>
      <c r="H198" s="101">
        <v>94.615384615384613</v>
      </c>
      <c r="I198" s="102">
        <v>86.086956521739125</v>
      </c>
      <c r="J198" s="101">
        <v>78.695652173913047</v>
      </c>
      <c r="K198" s="102">
        <v>65.555555555555557</v>
      </c>
      <c r="L198" s="101">
        <v>67.142857142857153</v>
      </c>
      <c r="M198" s="102">
        <v>67</v>
      </c>
    </row>
    <row r="199" spans="1:13">
      <c r="A199" s="115"/>
      <c r="B199" s="115"/>
      <c r="C199" s="115"/>
      <c r="D199" s="96" t="s">
        <v>427</v>
      </c>
      <c r="G199" s="95"/>
      <c r="H199" s="101"/>
      <c r="I199" s="102"/>
      <c r="J199" s="101"/>
      <c r="K199" s="102"/>
      <c r="L199" s="101"/>
      <c r="M199" s="102"/>
    </row>
    <row r="200" spans="1:13">
      <c r="A200" s="115" t="s">
        <v>137</v>
      </c>
      <c r="B200" s="115" t="s">
        <v>138</v>
      </c>
      <c r="C200" s="115" t="s">
        <v>139</v>
      </c>
      <c r="D200" s="96" t="s">
        <v>420</v>
      </c>
      <c r="F200" t="s">
        <v>436</v>
      </c>
      <c r="G200" s="95">
        <v>44561</v>
      </c>
      <c r="H200" s="101"/>
      <c r="I200" s="102"/>
      <c r="J200" s="101">
        <v>6817</v>
      </c>
      <c r="K200" s="102">
        <v>6964</v>
      </c>
      <c r="L200" s="101">
        <v>6896</v>
      </c>
      <c r="M200" s="102"/>
    </row>
    <row r="201" spans="1:13">
      <c r="A201" s="115"/>
      <c r="B201" s="115"/>
      <c r="C201" s="115"/>
      <c r="D201" s="96" t="s">
        <v>421</v>
      </c>
      <c r="E201" t="s">
        <v>422</v>
      </c>
      <c r="F201" t="s">
        <v>436</v>
      </c>
      <c r="G201" s="95">
        <v>44561</v>
      </c>
      <c r="H201" s="101"/>
      <c r="I201" s="102"/>
      <c r="J201" s="101">
        <v>115</v>
      </c>
      <c r="K201" s="102">
        <v>41</v>
      </c>
      <c r="L201" s="101">
        <v>86</v>
      </c>
      <c r="M201" s="102"/>
    </row>
    <row r="202" spans="1:13">
      <c r="A202" s="115"/>
      <c r="B202" s="115"/>
      <c r="C202" s="115"/>
      <c r="D202" s="96" t="s">
        <v>423</v>
      </c>
      <c r="E202" t="s">
        <v>422</v>
      </c>
      <c r="F202" t="s">
        <v>436</v>
      </c>
      <c r="G202" s="95">
        <v>44561</v>
      </c>
      <c r="H202" s="101"/>
      <c r="I202" s="102"/>
      <c r="J202" s="101">
        <v>6932</v>
      </c>
      <c r="K202" s="102">
        <v>7005</v>
      </c>
      <c r="L202" s="101">
        <v>6982</v>
      </c>
      <c r="M202" s="102"/>
    </row>
    <row r="203" spans="1:13">
      <c r="A203" s="115"/>
      <c r="B203" s="115"/>
      <c r="C203" s="115"/>
      <c r="D203" s="96" t="s">
        <v>424</v>
      </c>
      <c r="E203" t="s">
        <v>425</v>
      </c>
      <c r="F203" t="s">
        <v>436</v>
      </c>
      <c r="G203" s="95">
        <v>44561</v>
      </c>
      <c r="H203" s="101"/>
      <c r="I203" s="102"/>
      <c r="J203" s="101">
        <v>5261</v>
      </c>
      <c r="K203" s="102">
        <v>5819</v>
      </c>
      <c r="L203" s="101">
        <v>5315</v>
      </c>
      <c r="M203" s="102"/>
    </row>
    <row r="204" spans="1:13">
      <c r="A204" s="115"/>
      <c r="B204" s="115"/>
      <c r="C204" s="115"/>
      <c r="D204" s="96" t="s">
        <v>426</v>
      </c>
      <c r="F204" t="s">
        <v>59</v>
      </c>
      <c r="G204" s="95">
        <v>44561</v>
      </c>
      <c r="H204" s="101"/>
      <c r="I204" s="102"/>
      <c r="J204" s="101">
        <v>39863</v>
      </c>
      <c r="K204" s="102">
        <v>41760</v>
      </c>
      <c r="L204" s="101">
        <v>40455</v>
      </c>
      <c r="M204" s="102"/>
    </row>
    <row r="205" spans="1:13">
      <c r="A205" s="115"/>
      <c r="B205" s="115"/>
      <c r="C205" s="115"/>
      <c r="D205" s="96" t="s">
        <v>427</v>
      </c>
      <c r="G205" s="95"/>
      <c r="H205" s="101"/>
      <c r="I205" s="102"/>
      <c r="J205" s="101"/>
      <c r="K205" s="102"/>
      <c r="L205" s="101"/>
      <c r="M205" s="102"/>
    </row>
    <row r="206" spans="1:13">
      <c r="A206" s="115" t="s">
        <v>143</v>
      </c>
      <c r="B206" s="115" t="s">
        <v>144</v>
      </c>
      <c r="C206" s="115" t="s">
        <v>145</v>
      </c>
      <c r="D206" s="96" t="s">
        <v>420</v>
      </c>
      <c r="F206" t="s">
        <v>438</v>
      </c>
      <c r="G206" s="95">
        <v>44561</v>
      </c>
      <c r="H206" s="101">
        <v>32.534277276775498</v>
      </c>
      <c r="I206" s="102">
        <v>31.452615946488201</v>
      </c>
      <c r="J206" s="101">
        <v>34.632403953117503</v>
      </c>
      <c r="K206" s="102">
        <v>33.246229122713601</v>
      </c>
      <c r="L206" s="101">
        <v>30.543162251514801</v>
      </c>
      <c r="M206" s="102"/>
    </row>
    <row r="207" spans="1:13">
      <c r="A207" s="115"/>
      <c r="B207" s="115"/>
      <c r="C207" s="115"/>
      <c r="D207" s="96" t="s">
        <v>421</v>
      </c>
      <c r="E207" t="s">
        <v>422</v>
      </c>
      <c r="F207" t="s">
        <v>438</v>
      </c>
      <c r="G207" s="95">
        <v>44561</v>
      </c>
      <c r="H207" s="101">
        <v>0</v>
      </c>
      <c r="I207" s="102">
        <v>0</v>
      </c>
      <c r="J207" s="101">
        <v>0</v>
      </c>
      <c r="K207" s="102">
        <v>0</v>
      </c>
      <c r="L207" s="101">
        <v>0</v>
      </c>
      <c r="M207" s="102"/>
    </row>
    <row r="208" spans="1:13">
      <c r="A208" s="115"/>
      <c r="B208" s="115"/>
      <c r="C208" s="115"/>
      <c r="D208" s="96" t="s">
        <v>423</v>
      </c>
      <c r="E208" t="s">
        <v>422</v>
      </c>
      <c r="F208" t="s">
        <v>438</v>
      </c>
      <c r="G208" s="95">
        <v>44561</v>
      </c>
      <c r="H208" s="101">
        <v>32.534277276775498</v>
      </c>
      <c r="I208" s="102">
        <v>31.452615946488201</v>
      </c>
      <c r="J208" s="101">
        <v>34.632403953117503</v>
      </c>
      <c r="K208" s="102">
        <v>33.246229122713601</v>
      </c>
      <c r="L208" s="101">
        <v>30.543162251514801</v>
      </c>
      <c r="M208" s="102"/>
    </row>
    <row r="209" spans="1:13">
      <c r="A209" s="115"/>
      <c r="B209" s="115"/>
      <c r="C209" s="115"/>
      <c r="D209" s="96" t="s">
        <v>424</v>
      </c>
      <c r="E209" t="s">
        <v>425</v>
      </c>
      <c r="F209" t="s">
        <v>438</v>
      </c>
      <c r="G209" s="95">
        <v>44561</v>
      </c>
      <c r="H209" s="101"/>
      <c r="I209" s="102"/>
      <c r="J209" s="101"/>
      <c r="K209" s="102"/>
      <c r="L209" s="101"/>
      <c r="M209" s="102"/>
    </row>
    <row r="210" spans="1:13">
      <c r="A210" s="115"/>
      <c r="B210" s="115"/>
      <c r="C210" s="115"/>
      <c r="D210" s="96" t="s">
        <v>426</v>
      </c>
      <c r="F210" t="s">
        <v>65</v>
      </c>
      <c r="G210" s="95">
        <v>44561</v>
      </c>
      <c r="H210" s="101">
        <v>95.811363396945296</v>
      </c>
      <c r="I210" s="102">
        <v>90.773791353405699</v>
      </c>
      <c r="J210" s="101">
        <v>97.9689857895942</v>
      </c>
      <c r="K210" s="102">
        <v>102.30344268821401</v>
      </c>
      <c r="L210" s="101">
        <v>102.664904189743</v>
      </c>
      <c r="M210" s="102"/>
    </row>
    <row r="211" spans="1:13">
      <c r="A211" s="115"/>
      <c r="B211" s="115"/>
      <c r="C211" s="115"/>
      <c r="D211" s="96" t="s">
        <v>427</v>
      </c>
      <c r="G211" s="95"/>
      <c r="H211" s="101"/>
      <c r="I211" s="102"/>
      <c r="J211" s="101"/>
      <c r="K211" s="102"/>
      <c r="L211" s="101"/>
      <c r="M211" s="102"/>
    </row>
    <row r="212" spans="1:13">
      <c r="A212" s="115" t="s">
        <v>146</v>
      </c>
      <c r="B212" s="115" t="s">
        <v>147</v>
      </c>
      <c r="C212" s="115" t="s">
        <v>148</v>
      </c>
      <c r="D212" s="96" t="s">
        <v>420</v>
      </c>
      <c r="F212" t="s">
        <v>438</v>
      </c>
      <c r="G212" s="95">
        <v>44561</v>
      </c>
      <c r="H212" s="101">
        <v>35.143399275736499</v>
      </c>
      <c r="I212" s="102">
        <v>32.270603331565901</v>
      </c>
      <c r="J212" s="101">
        <v>30.548667622949999</v>
      </c>
      <c r="K212" s="102">
        <v>26.749411150191399</v>
      </c>
      <c r="L212" s="101">
        <v>24.402943213709602</v>
      </c>
      <c r="M212" s="102"/>
    </row>
    <row r="213" spans="1:13">
      <c r="A213" s="115"/>
      <c r="B213" s="115"/>
      <c r="C213" s="115"/>
      <c r="D213" s="96" t="s">
        <v>421</v>
      </c>
      <c r="E213" t="s">
        <v>422</v>
      </c>
      <c r="F213" t="s">
        <v>438</v>
      </c>
      <c r="G213" s="95">
        <v>44561</v>
      </c>
      <c r="H213" s="101">
        <v>0</v>
      </c>
      <c r="I213" s="102">
        <v>0</v>
      </c>
      <c r="J213" s="101">
        <v>0</v>
      </c>
      <c r="K213" s="102">
        <v>0</v>
      </c>
      <c r="L213" s="101">
        <v>0</v>
      </c>
      <c r="M213" s="102"/>
    </row>
    <row r="214" spans="1:13">
      <c r="A214" s="115"/>
      <c r="B214" s="115"/>
      <c r="C214" s="115"/>
      <c r="D214" s="96" t="s">
        <v>423</v>
      </c>
      <c r="E214" t="s">
        <v>422</v>
      </c>
      <c r="F214" t="s">
        <v>438</v>
      </c>
      <c r="G214" s="95">
        <v>44561</v>
      </c>
      <c r="H214" s="101">
        <v>35.143399275736499</v>
      </c>
      <c r="I214" s="102">
        <v>32.270603331565901</v>
      </c>
      <c r="J214" s="101">
        <v>30.548667622949999</v>
      </c>
      <c r="K214" s="102">
        <v>26.749411150191399</v>
      </c>
      <c r="L214" s="101">
        <v>24.402943213709602</v>
      </c>
      <c r="M214" s="102"/>
    </row>
    <row r="215" spans="1:13">
      <c r="A215" s="115"/>
      <c r="B215" s="115"/>
      <c r="C215" s="115"/>
      <c r="D215" s="96" t="s">
        <v>424</v>
      </c>
      <c r="E215" t="s">
        <v>425</v>
      </c>
      <c r="F215" t="s">
        <v>438</v>
      </c>
      <c r="G215" s="95">
        <v>44561</v>
      </c>
      <c r="H215" s="101"/>
      <c r="I215" s="102"/>
      <c r="J215" s="101"/>
      <c r="K215" s="102"/>
      <c r="L215" s="101"/>
      <c r="M215" s="102"/>
    </row>
    <row r="216" spans="1:13">
      <c r="A216" s="115"/>
      <c r="B216" s="115"/>
      <c r="C216" s="115"/>
      <c r="D216" s="96" t="s">
        <v>426</v>
      </c>
      <c r="F216" t="s">
        <v>65</v>
      </c>
      <c r="G216" s="95">
        <v>44561</v>
      </c>
      <c r="H216" s="101">
        <v>44.026084980599997</v>
      </c>
      <c r="I216" s="102">
        <v>43.611918605100001</v>
      </c>
      <c r="J216" s="101">
        <v>40.625634925699998</v>
      </c>
      <c r="K216" s="102">
        <v>37.623516467499996</v>
      </c>
      <c r="L216" s="101">
        <v>35.892610833500001</v>
      </c>
      <c r="M216" s="102"/>
    </row>
    <row r="217" spans="1:13">
      <c r="A217" s="115"/>
      <c r="B217" s="115"/>
      <c r="C217" s="115"/>
      <c r="D217" s="96" t="s">
        <v>427</v>
      </c>
      <c r="G217" s="95"/>
      <c r="H217" s="101"/>
      <c r="I217" s="102"/>
      <c r="J217" s="101"/>
      <c r="K217" s="102"/>
      <c r="L217" s="101"/>
      <c r="M217" s="102"/>
    </row>
    <row r="218" spans="1:13">
      <c r="A218" s="115" t="s">
        <v>149</v>
      </c>
      <c r="B218" s="115" t="s">
        <v>150</v>
      </c>
      <c r="C218" s="115" t="s">
        <v>151</v>
      </c>
      <c r="D218" s="96" t="s">
        <v>420</v>
      </c>
      <c r="F218" t="s">
        <v>438</v>
      </c>
      <c r="G218" s="95">
        <v>44561</v>
      </c>
      <c r="H218" s="101">
        <v>0.54127068994473704</v>
      </c>
      <c r="I218" s="102">
        <v>0.38852905220415002</v>
      </c>
      <c r="J218" s="101">
        <v>3.4941452190248999E-3</v>
      </c>
      <c r="K218" s="102">
        <v>2.212864871423E-4</v>
      </c>
      <c r="L218" s="101">
        <v>3.6851314504339998E-4</v>
      </c>
      <c r="M218" s="102"/>
    </row>
    <row r="219" spans="1:13">
      <c r="A219" s="115"/>
      <c r="B219" s="115"/>
      <c r="C219" s="115"/>
      <c r="D219" s="96" t="s">
        <v>421</v>
      </c>
      <c r="E219" t="s">
        <v>422</v>
      </c>
      <c r="F219" t="s">
        <v>438</v>
      </c>
      <c r="G219" s="95">
        <v>44561</v>
      </c>
      <c r="H219" s="101">
        <v>0</v>
      </c>
      <c r="I219" s="102">
        <v>0</v>
      </c>
      <c r="J219" s="101">
        <v>0</v>
      </c>
      <c r="K219" s="102">
        <v>0</v>
      </c>
      <c r="L219" s="101">
        <v>0</v>
      </c>
      <c r="M219" s="102"/>
    </row>
    <row r="220" spans="1:13">
      <c r="A220" s="115"/>
      <c r="B220" s="115"/>
      <c r="C220" s="115"/>
      <c r="D220" s="96" t="s">
        <v>423</v>
      </c>
      <c r="E220" t="s">
        <v>422</v>
      </c>
      <c r="F220" t="s">
        <v>438</v>
      </c>
      <c r="G220" s="95">
        <v>44561</v>
      </c>
      <c r="H220" s="101">
        <v>0.54127068994473704</v>
      </c>
      <c r="I220" s="102">
        <v>0.38852905220415002</v>
      </c>
      <c r="J220" s="101">
        <v>3.4941452190248999E-3</v>
      </c>
      <c r="K220" s="102">
        <v>2.212864871423E-4</v>
      </c>
      <c r="L220" s="101">
        <v>3.6851314504339998E-4</v>
      </c>
      <c r="M220" s="102"/>
    </row>
    <row r="221" spans="1:13">
      <c r="A221" s="115"/>
      <c r="B221" s="115"/>
      <c r="C221" s="115"/>
      <c r="D221" s="96" t="s">
        <v>424</v>
      </c>
      <c r="E221" t="s">
        <v>425</v>
      </c>
      <c r="F221" t="s">
        <v>438</v>
      </c>
      <c r="G221" s="95">
        <v>44561</v>
      </c>
      <c r="H221" s="101"/>
      <c r="I221" s="102"/>
      <c r="J221" s="101"/>
      <c r="K221" s="102"/>
      <c r="L221" s="101"/>
      <c r="M221" s="102"/>
    </row>
    <row r="222" spans="1:13">
      <c r="A222" s="115"/>
      <c r="B222" s="115"/>
      <c r="C222" s="115"/>
      <c r="D222" s="96" t="s">
        <v>426</v>
      </c>
      <c r="F222" t="s">
        <v>65</v>
      </c>
      <c r="G222" s="95">
        <v>44561</v>
      </c>
      <c r="H222" s="101">
        <v>1.0800586419061999</v>
      </c>
      <c r="I222" s="102">
        <v>0.99355118802682396</v>
      </c>
      <c r="J222" s="101">
        <v>1.74436112E-2</v>
      </c>
      <c r="K222" s="102">
        <v>6.0743841799999997E-2</v>
      </c>
      <c r="L222" s="101">
        <v>8.1134556999999996E-2</v>
      </c>
      <c r="M222" s="102"/>
    </row>
    <row r="223" spans="1:13">
      <c r="A223" s="115"/>
      <c r="B223" s="115"/>
      <c r="C223" s="115"/>
      <c r="D223" s="96" t="s">
        <v>427</v>
      </c>
      <c r="G223" s="95"/>
      <c r="H223" s="101"/>
      <c r="I223" s="102"/>
      <c r="J223" s="101"/>
      <c r="K223" s="102"/>
      <c r="L223" s="101"/>
      <c r="M223" s="102"/>
    </row>
    <row r="224" spans="1:13">
      <c r="A224" s="115" t="s">
        <v>152</v>
      </c>
      <c r="B224" s="115" t="s">
        <v>153</v>
      </c>
      <c r="C224" s="115" t="s">
        <v>154</v>
      </c>
      <c r="D224" s="96" t="s">
        <v>420</v>
      </c>
      <c r="F224" t="s">
        <v>437</v>
      </c>
      <c r="G224" s="95">
        <v>44561</v>
      </c>
      <c r="H224" s="101">
        <v>9723000</v>
      </c>
      <c r="I224" s="102">
        <v>9532000</v>
      </c>
      <c r="J224" s="101">
        <v>8841000</v>
      </c>
      <c r="K224" s="102">
        <v>8566000</v>
      </c>
      <c r="L224" s="101">
        <v>8493000</v>
      </c>
      <c r="M224" s="102"/>
    </row>
    <row r="225" spans="1:13">
      <c r="A225" s="115"/>
      <c r="B225" s="115"/>
      <c r="C225" s="115"/>
      <c r="D225" s="96" t="s">
        <v>421</v>
      </c>
      <c r="E225" t="s">
        <v>422</v>
      </c>
      <c r="F225" t="s">
        <v>437</v>
      </c>
      <c r="G225" s="95">
        <v>44561</v>
      </c>
      <c r="H225" s="101">
        <v>7061000</v>
      </c>
      <c r="I225" s="102">
        <v>17693000</v>
      </c>
      <c r="J225" s="101">
        <v>21022000</v>
      </c>
      <c r="K225" s="102">
        <v>18864000</v>
      </c>
      <c r="L225" s="101">
        <v>13720000</v>
      </c>
      <c r="M225" s="102"/>
    </row>
    <row r="226" spans="1:13">
      <c r="A226" s="115"/>
      <c r="B226" s="115"/>
      <c r="C226" s="115"/>
      <c r="D226" s="96" t="s">
        <v>423</v>
      </c>
      <c r="E226" t="s">
        <v>422</v>
      </c>
      <c r="F226" t="s">
        <v>437</v>
      </c>
      <c r="G226" s="95">
        <v>44561</v>
      </c>
      <c r="H226" s="101">
        <v>16784000</v>
      </c>
      <c r="I226" s="102">
        <v>27225000</v>
      </c>
      <c r="J226" s="101">
        <v>29863000</v>
      </c>
      <c r="K226" s="102">
        <v>27430000</v>
      </c>
      <c r="L226" s="101">
        <v>22213000</v>
      </c>
      <c r="M226" s="102"/>
    </row>
    <row r="227" spans="1:13">
      <c r="A227" s="115"/>
      <c r="B227" s="115"/>
      <c r="C227" s="115"/>
      <c r="D227" s="96" t="s">
        <v>424</v>
      </c>
      <c r="E227" t="s">
        <v>425</v>
      </c>
      <c r="F227" t="s">
        <v>437</v>
      </c>
      <c r="G227" s="95">
        <v>44561</v>
      </c>
      <c r="H227" s="101"/>
      <c r="I227" s="102"/>
      <c r="J227" s="101"/>
      <c r="K227" s="102"/>
      <c r="L227" s="101"/>
      <c r="M227" s="102"/>
    </row>
    <row r="228" spans="1:13">
      <c r="A228" s="115"/>
      <c r="B228" s="115"/>
      <c r="C228" s="115"/>
      <c r="D228" s="96" t="s">
        <v>426</v>
      </c>
      <c r="F228" t="s">
        <v>84</v>
      </c>
      <c r="G228" s="95">
        <v>44561</v>
      </c>
      <c r="H228" s="101">
        <v>186212000</v>
      </c>
      <c r="I228" s="102">
        <v>246902000</v>
      </c>
      <c r="J228" s="101">
        <v>253274000</v>
      </c>
      <c r="K228" s="102">
        <v>259171000</v>
      </c>
      <c r="L228" s="101">
        <v>181369000</v>
      </c>
      <c r="M228" s="102"/>
    </row>
    <row r="229" spans="1:13">
      <c r="A229" s="115"/>
      <c r="B229" s="115"/>
      <c r="C229" s="115"/>
      <c r="D229" s="96" t="s">
        <v>427</v>
      </c>
      <c r="G229" s="95"/>
      <c r="H229" s="101"/>
      <c r="I229" s="102"/>
      <c r="J229" s="101"/>
      <c r="K229" s="102"/>
      <c r="L229" s="101"/>
      <c r="M229" s="102"/>
    </row>
    <row r="230" spans="1:13">
      <c r="A230" s="115" t="s">
        <v>155</v>
      </c>
      <c r="B230" s="115" t="s">
        <v>156</v>
      </c>
      <c r="C230" s="115" t="s">
        <v>157</v>
      </c>
      <c r="D230" s="96" t="s">
        <v>420</v>
      </c>
      <c r="F230" t="s">
        <v>438</v>
      </c>
      <c r="G230" s="95">
        <v>44561</v>
      </c>
      <c r="H230" s="101">
        <v>117</v>
      </c>
      <c r="I230" s="102">
        <v>115</v>
      </c>
      <c r="J230" s="101">
        <v>116</v>
      </c>
      <c r="K230" s="102">
        <v>111</v>
      </c>
      <c r="L230" s="101">
        <v>105</v>
      </c>
      <c r="M230" s="102">
        <v>103</v>
      </c>
    </row>
    <row r="231" spans="1:13">
      <c r="A231" s="115"/>
      <c r="B231" s="115"/>
      <c r="C231" s="115"/>
      <c r="D231" s="96" t="s">
        <v>421</v>
      </c>
      <c r="E231" t="s">
        <v>422</v>
      </c>
      <c r="F231" t="s">
        <v>438</v>
      </c>
      <c r="G231" s="95">
        <v>44561</v>
      </c>
      <c r="H231" s="101">
        <v>8</v>
      </c>
      <c r="I231" s="102">
        <v>8</v>
      </c>
      <c r="J231" s="101">
        <v>8</v>
      </c>
      <c r="K231" s="102">
        <v>8</v>
      </c>
      <c r="L231" s="101">
        <v>7</v>
      </c>
      <c r="M231" s="102">
        <v>6</v>
      </c>
    </row>
    <row r="232" spans="1:13">
      <c r="A232" s="115"/>
      <c r="B232" s="115"/>
      <c r="C232" s="115"/>
      <c r="D232" s="96" t="s">
        <v>423</v>
      </c>
      <c r="E232" t="s">
        <v>422</v>
      </c>
      <c r="F232" t="s">
        <v>438</v>
      </c>
      <c r="G232" s="95">
        <v>44561</v>
      </c>
      <c r="H232" s="101">
        <v>125</v>
      </c>
      <c r="I232" s="102">
        <v>123</v>
      </c>
      <c r="J232" s="101">
        <v>124</v>
      </c>
      <c r="K232" s="102">
        <v>119</v>
      </c>
      <c r="L232" s="101">
        <v>112</v>
      </c>
      <c r="M232" s="102">
        <v>109</v>
      </c>
    </row>
    <row r="233" spans="1:13">
      <c r="A233" s="115"/>
      <c r="B233" s="115"/>
      <c r="C233" s="115"/>
      <c r="D233" s="96" t="s">
        <v>424</v>
      </c>
      <c r="E233" t="s">
        <v>425</v>
      </c>
      <c r="F233" t="s">
        <v>438</v>
      </c>
      <c r="G233" s="95">
        <v>44561</v>
      </c>
      <c r="H233" s="101">
        <v>636.11834999999996</v>
      </c>
      <c r="I233" s="102">
        <v>625.44574999999998</v>
      </c>
      <c r="J233" s="101">
        <v>601.58934999999997</v>
      </c>
      <c r="K233" s="102">
        <v>620.26639999999998</v>
      </c>
      <c r="L233" s="101">
        <v>590.28895</v>
      </c>
      <c r="M233" s="102">
        <v>582.59839999999997</v>
      </c>
    </row>
    <row r="234" spans="1:13">
      <c r="A234" s="115"/>
      <c r="B234" s="115"/>
      <c r="C234" s="115"/>
      <c r="D234" s="96" t="s">
        <v>426</v>
      </c>
      <c r="F234" t="s">
        <v>158</v>
      </c>
      <c r="G234" s="95">
        <v>44561</v>
      </c>
      <c r="H234" s="101">
        <v>1479345</v>
      </c>
      <c r="I234" s="102">
        <v>1454525</v>
      </c>
      <c r="J234" s="101">
        <v>1399045</v>
      </c>
      <c r="K234" s="102">
        <v>1442480</v>
      </c>
      <c r="L234" s="101">
        <v>1372765</v>
      </c>
      <c r="M234" s="102">
        <v>1354880</v>
      </c>
    </row>
    <row r="235" spans="1:13">
      <c r="A235" s="115"/>
      <c r="B235" s="115"/>
      <c r="C235" s="115"/>
      <c r="D235" s="96" t="s">
        <v>427</v>
      </c>
      <c r="G235" s="95"/>
      <c r="H235" s="101"/>
      <c r="I235" s="102"/>
      <c r="J235" s="101"/>
      <c r="K235" s="102"/>
      <c r="L235" s="101"/>
      <c r="M235" s="102"/>
    </row>
    <row r="236" spans="1:13">
      <c r="A236" s="115" t="s">
        <v>159</v>
      </c>
      <c r="B236" s="115" t="s">
        <v>160</v>
      </c>
      <c r="C236" s="115" t="s">
        <v>161</v>
      </c>
      <c r="D236" s="96" t="s">
        <v>420</v>
      </c>
      <c r="F236" t="s">
        <v>437</v>
      </c>
      <c r="G236" s="95">
        <v>44561</v>
      </c>
      <c r="H236" s="101"/>
      <c r="I236" s="102">
        <v>42354899</v>
      </c>
      <c r="J236" s="101">
        <v>32748805</v>
      </c>
      <c r="K236" s="102">
        <v>17935528</v>
      </c>
      <c r="L236" s="101">
        <v>14519279</v>
      </c>
      <c r="M236" s="102"/>
    </row>
    <row r="237" spans="1:13">
      <c r="A237" s="115"/>
      <c r="B237" s="115"/>
      <c r="C237" s="115"/>
      <c r="D237" s="96" t="s">
        <v>421</v>
      </c>
      <c r="E237" t="s">
        <v>422</v>
      </c>
      <c r="F237" t="s">
        <v>437</v>
      </c>
      <c r="G237" s="95">
        <v>44561</v>
      </c>
      <c r="H237" s="101"/>
      <c r="I237" s="102">
        <v>18079772</v>
      </c>
      <c r="J237" s="101">
        <v>20223892</v>
      </c>
      <c r="K237" s="102">
        <v>31927583</v>
      </c>
      <c r="L237" s="101">
        <v>28230946</v>
      </c>
      <c r="M237" s="102"/>
    </row>
    <row r="238" spans="1:13">
      <c r="A238" s="115"/>
      <c r="B238" s="115"/>
      <c r="C238" s="115"/>
      <c r="D238" s="96" t="s">
        <v>423</v>
      </c>
      <c r="E238" t="s">
        <v>422</v>
      </c>
      <c r="F238" t="s">
        <v>437</v>
      </c>
      <c r="G238" s="95">
        <v>44561</v>
      </c>
      <c r="H238" s="101"/>
      <c r="I238" s="102">
        <v>60434671</v>
      </c>
      <c r="J238" s="101">
        <v>52972697</v>
      </c>
      <c r="K238" s="102">
        <v>49863111</v>
      </c>
      <c r="L238" s="101">
        <v>42750225</v>
      </c>
      <c r="M238" s="102"/>
    </row>
    <row r="239" spans="1:13">
      <c r="A239" s="115"/>
      <c r="B239" s="115"/>
      <c r="C239" s="115"/>
      <c r="D239" s="96" t="s">
        <v>424</v>
      </c>
      <c r="E239" t="s">
        <v>425</v>
      </c>
      <c r="F239" t="s">
        <v>437</v>
      </c>
      <c r="G239" s="95">
        <v>44561</v>
      </c>
      <c r="H239" s="101"/>
      <c r="I239" s="102"/>
      <c r="J239" s="101"/>
      <c r="K239" s="102"/>
      <c r="L239" s="101"/>
      <c r="M239" s="102"/>
    </row>
    <row r="240" spans="1:13">
      <c r="A240" s="115"/>
      <c r="B240" s="115"/>
      <c r="C240" s="115"/>
      <c r="D240" s="96" t="s">
        <v>426</v>
      </c>
      <c r="F240" t="s">
        <v>84</v>
      </c>
      <c r="G240" s="95">
        <v>44561</v>
      </c>
      <c r="H240" s="101"/>
      <c r="I240" s="102">
        <v>116315158</v>
      </c>
      <c r="J240" s="101">
        <v>109322672</v>
      </c>
      <c r="K240" s="102">
        <v>65313409</v>
      </c>
      <c r="L240" s="101">
        <v>61496572</v>
      </c>
      <c r="M240" s="102"/>
    </row>
    <row r="241" spans="1:13">
      <c r="A241" s="115"/>
      <c r="B241" s="115"/>
      <c r="C241" s="115"/>
      <c r="D241" s="96" t="s">
        <v>427</v>
      </c>
      <c r="G241" s="95"/>
      <c r="H241" s="101"/>
      <c r="I241" s="102"/>
      <c r="J241" s="101"/>
      <c r="K241" s="102"/>
      <c r="L241" s="101"/>
      <c r="M241" s="102"/>
    </row>
    <row r="242" spans="1:13">
      <c r="A242" s="115" t="s">
        <v>162</v>
      </c>
      <c r="B242" s="115" t="s">
        <v>163</v>
      </c>
      <c r="C242" s="115" t="s">
        <v>164</v>
      </c>
      <c r="D242" s="96" t="s">
        <v>420</v>
      </c>
      <c r="F242" t="s">
        <v>436</v>
      </c>
      <c r="G242" s="95">
        <v>44561</v>
      </c>
      <c r="H242" s="101"/>
      <c r="I242" s="102"/>
      <c r="J242" s="101">
        <v>1442.963</v>
      </c>
      <c r="K242" s="102">
        <v>1418.056</v>
      </c>
      <c r="L242" s="101">
        <v>1129.402</v>
      </c>
      <c r="M242" s="102">
        <v>910</v>
      </c>
    </row>
    <row r="243" spans="1:13">
      <c r="A243" s="115"/>
      <c r="B243" s="115"/>
      <c r="C243" s="115"/>
      <c r="D243" s="96" t="s">
        <v>421</v>
      </c>
      <c r="E243" t="s">
        <v>422</v>
      </c>
      <c r="F243" t="s">
        <v>436</v>
      </c>
      <c r="G243" s="95">
        <v>44561</v>
      </c>
      <c r="H243" s="101"/>
      <c r="I243" s="102"/>
      <c r="J243" s="101">
        <v>3219.7159999999999</v>
      </c>
      <c r="K243" s="102">
        <v>3040.2930000000001</v>
      </c>
      <c r="L243" s="101">
        <v>2473.2730000000001</v>
      </c>
      <c r="M243" s="102">
        <v>1680</v>
      </c>
    </row>
    <row r="244" spans="1:13">
      <c r="A244" s="115"/>
      <c r="B244" s="115"/>
      <c r="C244" s="115"/>
      <c r="D244" s="96" t="s">
        <v>423</v>
      </c>
      <c r="E244" t="s">
        <v>422</v>
      </c>
      <c r="F244" t="s">
        <v>436</v>
      </c>
      <c r="G244" s="95">
        <v>44561</v>
      </c>
      <c r="H244" s="101"/>
      <c r="I244" s="102"/>
      <c r="J244" s="101">
        <v>4662.6790000000001</v>
      </c>
      <c r="K244" s="102">
        <v>4458.3490000000002</v>
      </c>
      <c r="L244" s="101">
        <v>3602.6750000000002</v>
      </c>
      <c r="M244" s="102">
        <v>2590</v>
      </c>
    </row>
    <row r="245" spans="1:13">
      <c r="A245" s="115"/>
      <c r="B245" s="115"/>
      <c r="C245" s="115"/>
      <c r="D245" s="96" t="s">
        <v>424</v>
      </c>
      <c r="E245" t="s">
        <v>425</v>
      </c>
      <c r="F245" t="s">
        <v>436</v>
      </c>
      <c r="G245" s="95">
        <v>44561</v>
      </c>
      <c r="H245" s="101"/>
      <c r="I245" s="102"/>
      <c r="J245" s="101">
        <v>398915.81</v>
      </c>
      <c r="K245" s="102">
        <v>435144.43800000002</v>
      </c>
      <c r="L245" s="101">
        <v>349281.99200000003</v>
      </c>
      <c r="M245" s="102">
        <v>349281.99200000003</v>
      </c>
    </row>
    <row r="246" spans="1:13">
      <c r="A246" s="115"/>
      <c r="B246" s="115"/>
      <c r="C246" s="115"/>
      <c r="D246" s="96" t="s">
        <v>426</v>
      </c>
      <c r="F246" t="s">
        <v>165</v>
      </c>
      <c r="G246" s="95">
        <v>44561</v>
      </c>
      <c r="H246" s="101"/>
      <c r="I246" s="102"/>
      <c r="J246" s="101"/>
      <c r="K246" s="102">
        <v>1577.2225584466021</v>
      </c>
      <c r="L246" s="101">
        <v>1299.6539237209299</v>
      </c>
      <c r="M246" s="102">
        <v>1353.618792525951</v>
      </c>
    </row>
    <row r="247" spans="1:13">
      <c r="A247" s="115"/>
      <c r="B247" s="115"/>
      <c r="C247" s="115"/>
      <c r="D247" s="96" t="s">
        <v>427</v>
      </c>
      <c r="G247" s="95"/>
      <c r="H247" s="101"/>
      <c r="I247" s="102"/>
      <c r="J247" s="101"/>
      <c r="K247" s="102"/>
      <c r="L247" s="101"/>
      <c r="M247" s="102"/>
    </row>
    <row r="248" spans="1:13">
      <c r="A248" s="115" t="s">
        <v>166</v>
      </c>
      <c r="B248" s="115" t="s">
        <v>167</v>
      </c>
      <c r="C248" s="115" t="s">
        <v>168</v>
      </c>
      <c r="D248" s="96" t="s">
        <v>420</v>
      </c>
      <c r="F248" t="s">
        <v>437</v>
      </c>
      <c r="G248" s="95">
        <v>44561</v>
      </c>
      <c r="H248" s="101">
        <v>10891000</v>
      </c>
      <c r="I248" s="102">
        <v>10010000</v>
      </c>
      <c r="J248" s="101">
        <v>10818000</v>
      </c>
      <c r="K248" s="102">
        <v>11925000</v>
      </c>
      <c r="L248" s="101">
        <v>10093000</v>
      </c>
      <c r="M248" s="102"/>
    </row>
    <row r="249" spans="1:13">
      <c r="A249" s="115"/>
      <c r="B249" s="115"/>
      <c r="C249" s="115"/>
      <c r="D249" s="96" t="s">
        <v>421</v>
      </c>
      <c r="E249" t="s">
        <v>422</v>
      </c>
      <c r="F249" t="s">
        <v>437</v>
      </c>
      <c r="G249" s="95">
        <v>44561</v>
      </c>
      <c r="H249" s="101">
        <v>3544000</v>
      </c>
      <c r="I249" s="102">
        <v>3848000</v>
      </c>
      <c r="J249" s="101">
        <v>3115000</v>
      </c>
      <c r="K249" s="102">
        <v>2933000</v>
      </c>
      <c r="L249" s="101">
        <v>2487000</v>
      </c>
      <c r="M249" s="102"/>
    </row>
    <row r="250" spans="1:13">
      <c r="A250" s="115"/>
      <c r="B250" s="115"/>
      <c r="C250" s="115"/>
      <c r="D250" s="96" t="s">
        <v>423</v>
      </c>
      <c r="E250" t="s">
        <v>422</v>
      </c>
      <c r="F250" t="s">
        <v>437</v>
      </c>
      <c r="G250" s="95">
        <v>44561</v>
      </c>
      <c r="H250" s="101">
        <v>14435000</v>
      </c>
      <c r="I250" s="102">
        <v>13858000</v>
      </c>
      <c r="J250" s="101">
        <v>13933000</v>
      </c>
      <c r="K250" s="102">
        <v>14858000</v>
      </c>
      <c r="L250" s="101">
        <v>12580000</v>
      </c>
      <c r="M250" s="102"/>
    </row>
    <row r="251" spans="1:13">
      <c r="A251" s="115"/>
      <c r="B251" s="115"/>
      <c r="C251" s="115"/>
      <c r="D251" s="96" t="s">
        <v>424</v>
      </c>
      <c r="E251" t="s">
        <v>425</v>
      </c>
      <c r="F251" t="s">
        <v>437</v>
      </c>
      <c r="G251" s="95">
        <v>44561</v>
      </c>
      <c r="H251" s="101"/>
      <c r="I251" s="102"/>
      <c r="J251" s="101"/>
      <c r="K251" s="102"/>
      <c r="L251" s="101"/>
      <c r="M251" s="102"/>
    </row>
    <row r="252" spans="1:13">
      <c r="A252" s="115"/>
      <c r="B252" s="115"/>
      <c r="C252" s="115"/>
      <c r="D252" s="96" t="s">
        <v>426</v>
      </c>
      <c r="F252" t="s">
        <v>84</v>
      </c>
      <c r="G252" s="95">
        <v>44561</v>
      </c>
      <c r="H252" s="101">
        <v>34298000</v>
      </c>
      <c r="I252" s="102">
        <v>35154000</v>
      </c>
      <c r="J252" s="101">
        <v>37939000</v>
      </c>
      <c r="K252" s="102">
        <v>38220000</v>
      </c>
      <c r="L252" s="101">
        <v>35949000</v>
      </c>
      <c r="M252" s="102"/>
    </row>
    <row r="253" spans="1:13">
      <c r="A253" s="115"/>
      <c r="B253" s="115"/>
      <c r="C253" s="115"/>
      <c r="D253" s="96" t="s">
        <v>427</v>
      </c>
      <c r="G253" s="95"/>
      <c r="H253" s="101"/>
      <c r="I253" s="102"/>
      <c r="J253" s="101"/>
      <c r="K253" s="102"/>
      <c r="L253" s="101"/>
      <c r="M253" s="102"/>
    </row>
    <row r="254" spans="1:13">
      <c r="A254" s="115" t="s">
        <v>170</v>
      </c>
      <c r="B254" s="115" t="s">
        <v>171</v>
      </c>
      <c r="C254" s="115" t="s">
        <v>172</v>
      </c>
      <c r="D254" s="96" t="s">
        <v>420</v>
      </c>
      <c r="F254" t="s">
        <v>437</v>
      </c>
      <c r="G254" s="95">
        <v>44561</v>
      </c>
      <c r="H254" s="101"/>
      <c r="I254" s="102"/>
      <c r="J254" s="101"/>
      <c r="K254" s="102">
        <v>1589700</v>
      </c>
      <c r="L254" s="101">
        <v>1214124</v>
      </c>
      <c r="M254" s="102">
        <v>1252906</v>
      </c>
    </row>
    <row r="255" spans="1:13">
      <c r="A255" s="115"/>
      <c r="B255" s="115"/>
      <c r="C255" s="115"/>
      <c r="D255" s="96" t="s">
        <v>421</v>
      </c>
      <c r="E255" t="s">
        <v>422</v>
      </c>
      <c r="F255" t="s">
        <v>437</v>
      </c>
      <c r="G255" s="95">
        <v>44561</v>
      </c>
      <c r="H255" s="101"/>
      <c r="I255" s="102"/>
      <c r="J255" s="101"/>
      <c r="K255" s="102">
        <v>3721875</v>
      </c>
      <c r="L255" s="101">
        <v>2599822</v>
      </c>
      <c r="M255" s="102">
        <v>2150694</v>
      </c>
    </row>
    <row r="256" spans="1:13">
      <c r="A256" s="115"/>
      <c r="B256" s="115"/>
      <c r="C256" s="115"/>
      <c r="D256" s="96" t="s">
        <v>423</v>
      </c>
      <c r="E256" t="s">
        <v>422</v>
      </c>
      <c r="F256" t="s">
        <v>437</v>
      </c>
      <c r="G256" s="95">
        <v>44561</v>
      </c>
      <c r="H256" s="101"/>
      <c r="I256" s="102"/>
      <c r="J256" s="101"/>
      <c r="K256" s="102">
        <v>5311575</v>
      </c>
      <c r="L256" s="101">
        <v>3813946</v>
      </c>
      <c r="M256" s="102">
        <v>3403600</v>
      </c>
    </row>
    <row r="257" spans="1:13">
      <c r="A257" s="115"/>
      <c r="B257" s="115"/>
      <c r="C257" s="115"/>
      <c r="D257" s="96" t="s">
        <v>424</v>
      </c>
      <c r="E257" t="s">
        <v>425</v>
      </c>
      <c r="F257" t="s">
        <v>437</v>
      </c>
      <c r="G257" s="95">
        <v>44561</v>
      </c>
      <c r="H257" s="101"/>
      <c r="I257" s="102"/>
      <c r="J257" s="101"/>
      <c r="K257" s="102">
        <v>249384317</v>
      </c>
      <c r="L257" s="101">
        <v>296411327</v>
      </c>
      <c r="M257" s="102">
        <v>296411327</v>
      </c>
    </row>
    <row r="258" spans="1:13">
      <c r="A258" s="115"/>
      <c r="B258" s="115"/>
      <c r="C258" s="115"/>
      <c r="D258" s="96" t="s">
        <v>426</v>
      </c>
      <c r="F258" t="s">
        <v>173</v>
      </c>
      <c r="G258" s="95">
        <v>44561</v>
      </c>
      <c r="H258" s="101"/>
      <c r="I258" s="102"/>
      <c r="J258" s="101"/>
      <c r="K258" s="102">
        <v>723469.86160409555</v>
      </c>
      <c r="L258" s="101">
        <v>899820.09982142854</v>
      </c>
      <c r="M258" s="102">
        <v>950753.31301886786</v>
      </c>
    </row>
    <row r="259" spans="1:13">
      <c r="A259" s="115"/>
      <c r="B259" s="115"/>
      <c r="C259" s="115"/>
      <c r="D259" s="96" t="s">
        <v>427</v>
      </c>
      <c r="G259" s="95"/>
      <c r="H259" s="101"/>
      <c r="I259" s="102"/>
      <c r="J259" s="101"/>
      <c r="K259" s="102"/>
      <c r="L259" s="101"/>
      <c r="M259" s="102"/>
    </row>
    <row r="260" spans="1:13">
      <c r="A260" s="115" t="s">
        <v>174</v>
      </c>
      <c r="B260" s="115" t="s">
        <v>175</v>
      </c>
      <c r="C260" s="115" t="s">
        <v>176</v>
      </c>
      <c r="D260" s="96" t="s">
        <v>420</v>
      </c>
      <c r="F260" t="s">
        <v>437</v>
      </c>
      <c r="G260" s="95">
        <v>44561</v>
      </c>
      <c r="H260" s="101">
        <v>12075000</v>
      </c>
      <c r="I260" s="102">
        <v>12075000</v>
      </c>
      <c r="J260" s="101">
        <v>10707412.125</v>
      </c>
      <c r="K260" s="102">
        <v>9056519</v>
      </c>
      <c r="L260" s="101">
        <v>9198407</v>
      </c>
      <c r="M260" s="102"/>
    </row>
    <row r="261" spans="1:13">
      <c r="A261" s="115"/>
      <c r="B261" s="115"/>
      <c r="C261" s="115"/>
      <c r="D261" s="96" t="s">
        <v>421</v>
      </c>
      <c r="E261" t="s">
        <v>422</v>
      </c>
      <c r="F261" t="s">
        <v>437</v>
      </c>
      <c r="G261" s="95">
        <v>44561</v>
      </c>
      <c r="H261" s="101">
        <v>4025000</v>
      </c>
      <c r="I261" s="102">
        <v>4025000</v>
      </c>
      <c r="J261" s="101">
        <v>3569137.375</v>
      </c>
      <c r="K261" s="102">
        <v>2890986</v>
      </c>
      <c r="L261" s="101">
        <v>2082515</v>
      </c>
      <c r="M261" s="102"/>
    </row>
    <row r="262" spans="1:13">
      <c r="A262" s="115"/>
      <c r="B262" s="115"/>
      <c r="C262" s="115"/>
      <c r="D262" s="96" t="s">
        <v>423</v>
      </c>
      <c r="E262" t="s">
        <v>422</v>
      </c>
      <c r="F262" t="s">
        <v>437</v>
      </c>
      <c r="G262" s="95">
        <v>44561</v>
      </c>
      <c r="H262" s="101">
        <v>16100000</v>
      </c>
      <c r="I262" s="102">
        <v>16100000</v>
      </c>
      <c r="J262" s="101">
        <v>14276549.5</v>
      </c>
      <c r="K262" s="102">
        <v>11947505</v>
      </c>
      <c r="L262" s="101">
        <v>11280922</v>
      </c>
      <c r="M262" s="102"/>
    </row>
    <row r="263" spans="1:13">
      <c r="A263" s="115"/>
      <c r="B263" s="115"/>
      <c r="C263" s="115"/>
      <c r="D263" s="96" t="s">
        <v>424</v>
      </c>
      <c r="E263" t="s">
        <v>425</v>
      </c>
      <c r="F263" t="s">
        <v>437</v>
      </c>
      <c r="G263" s="95">
        <v>44561</v>
      </c>
      <c r="H263" s="101"/>
      <c r="I263" s="102"/>
      <c r="J263" s="101"/>
      <c r="K263" s="102"/>
      <c r="L263" s="101"/>
      <c r="M263" s="102"/>
    </row>
    <row r="264" spans="1:13">
      <c r="A264" s="115"/>
      <c r="B264" s="115"/>
      <c r="C264" s="115"/>
      <c r="D264" s="96" t="s">
        <v>426</v>
      </c>
      <c r="F264" t="s">
        <v>102</v>
      </c>
      <c r="G264" s="95">
        <v>44561</v>
      </c>
      <c r="H264" s="101">
        <v>16100000</v>
      </c>
      <c r="I264" s="102">
        <v>16100000</v>
      </c>
      <c r="J264" s="101">
        <v>14276549.5</v>
      </c>
      <c r="K264" s="102">
        <v>12453099</v>
      </c>
      <c r="L264" s="101">
        <v>13142354.300000001</v>
      </c>
      <c r="M264" s="102"/>
    </row>
    <row r="265" spans="1:13">
      <c r="A265" s="115"/>
      <c r="B265" s="115"/>
      <c r="C265" s="115"/>
      <c r="D265" s="96" t="s">
        <v>427</v>
      </c>
      <c r="G265" s="95"/>
      <c r="H265" s="101"/>
      <c r="I265" s="102"/>
      <c r="J265" s="101"/>
      <c r="K265" s="102"/>
      <c r="L265" s="101"/>
      <c r="M265" s="102"/>
    </row>
    <row r="266" spans="1:13">
      <c r="A266" s="115" t="s">
        <v>178</v>
      </c>
      <c r="B266" s="115" t="s">
        <v>179</v>
      </c>
      <c r="C266" s="115" t="s">
        <v>180</v>
      </c>
      <c r="D266" s="96" t="s">
        <v>420</v>
      </c>
      <c r="F266" t="s">
        <v>438</v>
      </c>
      <c r="G266" s="95">
        <v>44561</v>
      </c>
      <c r="H266" s="101">
        <v>3.88689418875878</v>
      </c>
      <c r="I266" s="102">
        <v>3.8663196803185498</v>
      </c>
      <c r="J266" s="101">
        <v>3.9373016635971498</v>
      </c>
      <c r="K266" s="102">
        <v>3.9790181439510599</v>
      </c>
      <c r="L266" s="101">
        <v>3.71643905269806</v>
      </c>
      <c r="M266" s="102"/>
    </row>
    <row r="267" spans="1:13">
      <c r="A267" s="115"/>
      <c r="B267" s="115"/>
      <c r="C267" s="115"/>
      <c r="D267" s="96" t="s">
        <v>421</v>
      </c>
      <c r="E267" t="s">
        <v>422</v>
      </c>
      <c r="F267" t="s">
        <v>438</v>
      </c>
      <c r="G267" s="95">
        <v>44561</v>
      </c>
      <c r="H267" s="101">
        <v>0</v>
      </c>
      <c r="I267" s="102">
        <v>0</v>
      </c>
      <c r="J267" s="101">
        <v>0</v>
      </c>
      <c r="K267" s="102">
        <v>0</v>
      </c>
      <c r="L267" s="101">
        <v>0</v>
      </c>
      <c r="M267" s="102"/>
    </row>
    <row r="268" spans="1:13">
      <c r="A268" s="115"/>
      <c r="B268" s="115"/>
      <c r="C268" s="115"/>
      <c r="D268" s="96" t="s">
        <v>423</v>
      </c>
      <c r="E268" t="s">
        <v>422</v>
      </c>
      <c r="F268" t="s">
        <v>438</v>
      </c>
      <c r="G268" s="95">
        <v>44561</v>
      </c>
      <c r="H268" s="101">
        <v>3.88689418875878</v>
      </c>
      <c r="I268" s="102">
        <v>3.8663196803185498</v>
      </c>
      <c r="J268" s="101">
        <v>3.9373016635971498</v>
      </c>
      <c r="K268" s="102">
        <v>3.9790181439510599</v>
      </c>
      <c r="L268" s="101">
        <v>3.71643905269806</v>
      </c>
      <c r="M268" s="102"/>
    </row>
    <row r="269" spans="1:13">
      <c r="A269" s="115"/>
      <c r="B269" s="115"/>
      <c r="C269" s="115"/>
      <c r="D269" s="96" t="s">
        <v>424</v>
      </c>
      <c r="E269" t="s">
        <v>425</v>
      </c>
      <c r="F269" t="s">
        <v>438</v>
      </c>
      <c r="G269" s="95">
        <v>44561</v>
      </c>
      <c r="H269" s="101"/>
      <c r="I269" s="102"/>
      <c r="J269" s="101"/>
      <c r="K269" s="102"/>
      <c r="L269" s="101"/>
      <c r="M269" s="102"/>
    </row>
    <row r="270" spans="1:13">
      <c r="A270" s="115"/>
      <c r="B270" s="115"/>
      <c r="C270" s="115"/>
      <c r="D270" s="96" t="s">
        <v>426</v>
      </c>
      <c r="F270" t="s">
        <v>65</v>
      </c>
      <c r="G270" s="95">
        <v>44561</v>
      </c>
      <c r="H270" s="101">
        <v>4.9426490000000003</v>
      </c>
      <c r="I270" s="102">
        <v>4.8881050000000004</v>
      </c>
      <c r="J270" s="101">
        <v>4.9569289999999997</v>
      </c>
      <c r="K270" s="102">
        <v>4.9702039999999998</v>
      </c>
      <c r="L270" s="101">
        <v>4.6293220000000002</v>
      </c>
      <c r="M270" s="102"/>
    </row>
    <row r="271" spans="1:13">
      <c r="A271" s="115"/>
      <c r="B271" s="115"/>
      <c r="C271" s="115"/>
      <c r="D271" s="96" t="s">
        <v>427</v>
      </c>
      <c r="G271" s="95"/>
      <c r="H271" s="101"/>
      <c r="I271" s="102"/>
      <c r="J271" s="101"/>
      <c r="K271" s="102"/>
      <c r="L271" s="101"/>
      <c r="M271" s="102"/>
    </row>
    <row r="272" spans="1:13">
      <c r="A272" s="115" t="s">
        <v>181</v>
      </c>
      <c r="B272" s="115" t="s">
        <v>182</v>
      </c>
      <c r="C272" s="115" t="s">
        <v>183</v>
      </c>
      <c r="D272" s="96" t="s">
        <v>420</v>
      </c>
      <c r="F272" t="s">
        <v>436</v>
      </c>
      <c r="G272" s="95">
        <v>44561</v>
      </c>
      <c r="H272" s="101"/>
      <c r="I272" s="102">
        <v>15020</v>
      </c>
      <c r="J272" s="101">
        <v>13328</v>
      </c>
      <c r="K272" s="102">
        <v>13584</v>
      </c>
      <c r="L272" s="101">
        <v>13136</v>
      </c>
      <c r="M272" s="102">
        <v>13207</v>
      </c>
    </row>
    <row r="273" spans="1:13">
      <c r="A273" s="115"/>
      <c r="B273" s="115"/>
      <c r="C273" s="115"/>
      <c r="D273" s="96" t="s">
        <v>421</v>
      </c>
      <c r="E273" t="s">
        <v>422</v>
      </c>
      <c r="F273" t="s">
        <v>436</v>
      </c>
      <c r="G273" s="95">
        <v>44561</v>
      </c>
      <c r="H273" s="101"/>
      <c r="I273" s="102">
        <v>3415</v>
      </c>
      <c r="J273" s="101">
        <v>2544</v>
      </c>
      <c r="K273" s="102">
        <v>2082</v>
      </c>
      <c r="L273" s="101">
        <v>1883</v>
      </c>
      <c r="M273" s="102">
        <v>2162</v>
      </c>
    </row>
    <row r="274" spans="1:13">
      <c r="A274" s="115"/>
      <c r="B274" s="115"/>
      <c r="C274" s="115"/>
      <c r="D274" s="96" t="s">
        <v>423</v>
      </c>
      <c r="E274" t="s">
        <v>422</v>
      </c>
      <c r="F274" t="s">
        <v>436</v>
      </c>
      <c r="G274" s="95">
        <v>44561</v>
      </c>
      <c r="H274" s="101"/>
      <c r="I274" s="102">
        <v>18435</v>
      </c>
      <c r="J274" s="101">
        <v>15872</v>
      </c>
      <c r="K274" s="102">
        <v>15666</v>
      </c>
      <c r="L274" s="101">
        <v>15019</v>
      </c>
      <c r="M274" s="102">
        <v>15369</v>
      </c>
    </row>
    <row r="275" spans="1:13">
      <c r="A275" s="115"/>
      <c r="B275" s="115"/>
      <c r="C275" s="115"/>
      <c r="D275" s="96" t="s">
        <v>424</v>
      </c>
      <c r="E275" t="s">
        <v>425</v>
      </c>
      <c r="F275" t="s">
        <v>436</v>
      </c>
      <c r="G275" s="95">
        <v>44561</v>
      </c>
      <c r="H275" s="101"/>
      <c r="I275" s="102">
        <v>56212</v>
      </c>
      <c r="J275" s="101">
        <v>51969</v>
      </c>
      <c r="K275" s="102">
        <v>54278</v>
      </c>
      <c r="L275" s="101">
        <v>57852</v>
      </c>
      <c r="M275" s="102">
        <v>53898</v>
      </c>
    </row>
    <row r="276" spans="1:13">
      <c r="A276" s="115"/>
      <c r="B276" s="115"/>
      <c r="C276" s="115"/>
      <c r="D276" s="96" t="s">
        <v>426</v>
      </c>
      <c r="F276" t="s">
        <v>59</v>
      </c>
      <c r="G276" s="95">
        <v>44561</v>
      </c>
      <c r="H276" s="101"/>
      <c r="I276" s="102">
        <v>137549</v>
      </c>
      <c r="J276" s="101">
        <v>145605</v>
      </c>
      <c r="K276" s="102">
        <v>151758</v>
      </c>
      <c r="L276" s="101">
        <v>162842</v>
      </c>
      <c r="M276" s="102">
        <v>164266</v>
      </c>
    </row>
    <row r="277" spans="1:13">
      <c r="A277" s="115"/>
      <c r="B277" s="115"/>
      <c r="C277" s="115"/>
      <c r="D277" s="96" t="s">
        <v>427</v>
      </c>
      <c r="G277" s="95"/>
      <c r="H277" s="101"/>
      <c r="I277" s="102"/>
      <c r="J277" s="101"/>
      <c r="K277" s="102"/>
      <c r="L277" s="101"/>
      <c r="M277" s="102"/>
    </row>
    <row r="278" spans="1:13">
      <c r="A278" s="115" t="s">
        <v>185</v>
      </c>
      <c r="B278" s="115" t="s">
        <v>186</v>
      </c>
      <c r="C278" s="115" t="s">
        <v>187</v>
      </c>
      <c r="D278" s="96" t="s">
        <v>420</v>
      </c>
      <c r="F278" t="s">
        <v>438</v>
      </c>
      <c r="G278" s="95">
        <v>44561</v>
      </c>
      <c r="H278" s="101"/>
      <c r="I278" s="102">
        <v>37.5</v>
      </c>
      <c r="J278" s="101">
        <v>37</v>
      </c>
      <c r="K278" s="102">
        <v>36.799999999999997</v>
      </c>
      <c r="L278" s="101">
        <v>32.200000000000003</v>
      </c>
      <c r="M278" s="102">
        <v>33</v>
      </c>
    </row>
    <row r="279" spans="1:13">
      <c r="A279" s="115"/>
      <c r="B279" s="115"/>
      <c r="C279" s="115"/>
      <c r="D279" s="96" t="s">
        <v>421</v>
      </c>
      <c r="E279" t="s">
        <v>422</v>
      </c>
      <c r="F279" t="s">
        <v>438</v>
      </c>
      <c r="G279" s="95">
        <v>44561</v>
      </c>
      <c r="H279" s="101"/>
      <c r="I279" s="102">
        <v>7.8</v>
      </c>
      <c r="J279" s="101">
        <v>8.1999999999999993</v>
      </c>
      <c r="K279" s="102">
        <v>8.1999999999999993</v>
      </c>
      <c r="L279" s="101">
        <v>8</v>
      </c>
      <c r="M279" s="102">
        <v>6.9</v>
      </c>
    </row>
    <row r="280" spans="1:13">
      <c r="A280" s="115"/>
      <c r="B280" s="115"/>
      <c r="C280" s="115"/>
      <c r="D280" s="96" t="s">
        <v>423</v>
      </c>
      <c r="E280" t="s">
        <v>422</v>
      </c>
      <c r="F280" t="s">
        <v>438</v>
      </c>
      <c r="G280" s="95">
        <v>44561</v>
      </c>
      <c r="H280" s="101"/>
      <c r="I280" s="102">
        <v>45.3</v>
      </c>
      <c r="J280" s="101">
        <v>45.2</v>
      </c>
      <c r="K280" s="102">
        <v>45</v>
      </c>
      <c r="L280" s="101">
        <v>40.200000000000003</v>
      </c>
      <c r="M280" s="102">
        <v>39.9</v>
      </c>
    </row>
    <row r="281" spans="1:13">
      <c r="A281" s="115"/>
      <c r="B281" s="115"/>
      <c r="C281" s="115"/>
      <c r="D281" s="96" t="s">
        <v>424</v>
      </c>
      <c r="E281" t="s">
        <v>425</v>
      </c>
      <c r="F281" t="s">
        <v>438</v>
      </c>
      <c r="G281" s="95">
        <v>44561</v>
      </c>
      <c r="H281" s="101"/>
      <c r="I281" s="102">
        <v>425</v>
      </c>
      <c r="J281" s="101">
        <v>425</v>
      </c>
      <c r="K281" s="102">
        <v>425</v>
      </c>
      <c r="L281" s="101">
        <v>350</v>
      </c>
      <c r="M281" s="102">
        <v>380</v>
      </c>
    </row>
    <row r="282" spans="1:13">
      <c r="A282" s="115"/>
      <c r="B282" s="115"/>
      <c r="C282" s="115"/>
      <c r="D282" s="96" t="s">
        <v>426</v>
      </c>
      <c r="F282" t="s">
        <v>188</v>
      </c>
      <c r="G282" s="95">
        <v>44561</v>
      </c>
      <c r="H282" s="101"/>
      <c r="I282" s="102">
        <v>1669</v>
      </c>
      <c r="J282" s="101">
        <v>1717</v>
      </c>
      <c r="K282" s="102">
        <v>1817</v>
      </c>
      <c r="L282" s="101">
        <v>1627</v>
      </c>
      <c r="M282" s="102">
        <v>1682</v>
      </c>
    </row>
    <row r="283" spans="1:13">
      <c r="A283" s="115"/>
      <c r="B283" s="115"/>
      <c r="C283" s="115"/>
      <c r="D283" s="96" t="s">
        <v>427</v>
      </c>
      <c r="G283" s="95"/>
      <c r="H283" s="101"/>
      <c r="I283" s="102"/>
      <c r="J283" s="101"/>
      <c r="K283" s="102"/>
      <c r="L283" s="101"/>
      <c r="M283" s="102"/>
    </row>
    <row r="284" spans="1:13">
      <c r="A284" s="115" t="s">
        <v>189</v>
      </c>
      <c r="B284" s="115" t="s">
        <v>190</v>
      </c>
      <c r="C284" s="115" t="s">
        <v>191</v>
      </c>
      <c r="D284" s="96" t="s">
        <v>420</v>
      </c>
      <c r="F284" t="s">
        <v>438</v>
      </c>
      <c r="G284" s="95">
        <v>44561</v>
      </c>
      <c r="H284" s="101">
        <v>1.87462187527987</v>
      </c>
      <c r="I284" s="102">
        <v>1.84435992735308</v>
      </c>
      <c r="J284" s="101">
        <v>2.0515686489135501</v>
      </c>
      <c r="K284" s="102">
        <v>1.71049343073906</v>
      </c>
      <c r="L284" s="101">
        <v>1.8262746387694699</v>
      </c>
      <c r="M284" s="102"/>
    </row>
    <row r="285" spans="1:13">
      <c r="A285" s="115"/>
      <c r="B285" s="115"/>
      <c r="C285" s="115"/>
      <c r="D285" s="96" t="s">
        <v>421</v>
      </c>
      <c r="E285" t="s">
        <v>422</v>
      </c>
      <c r="F285" t="s">
        <v>438</v>
      </c>
      <c r="G285" s="95">
        <v>44561</v>
      </c>
      <c r="H285" s="101">
        <v>0</v>
      </c>
      <c r="I285" s="102">
        <v>0</v>
      </c>
      <c r="J285" s="101">
        <v>0</v>
      </c>
      <c r="K285" s="102">
        <v>0</v>
      </c>
      <c r="L285" s="101">
        <v>0</v>
      </c>
      <c r="M285" s="102"/>
    </row>
    <row r="286" spans="1:13">
      <c r="A286" s="115"/>
      <c r="B286" s="115"/>
      <c r="C286" s="115"/>
      <c r="D286" s="96" t="s">
        <v>423</v>
      </c>
      <c r="E286" t="s">
        <v>422</v>
      </c>
      <c r="F286" t="s">
        <v>438</v>
      </c>
      <c r="G286" s="95">
        <v>44561</v>
      </c>
      <c r="H286" s="101">
        <v>1.87462187527987</v>
      </c>
      <c r="I286" s="102">
        <v>1.84435992735308</v>
      </c>
      <c r="J286" s="101">
        <v>2.0515686489135501</v>
      </c>
      <c r="K286" s="102">
        <v>1.71049343073906</v>
      </c>
      <c r="L286" s="101">
        <v>1.8262746387694699</v>
      </c>
      <c r="M286" s="102"/>
    </row>
    <row r="287" spans="1:13">
      <c r="A287" s="115"/>
      <c r="B287" s="115"/>
      <c r="C287" s="115"/>
      <c r="D287" s="96" t="s">
        <v>424</v>
      </c>
      <c r="E287" t="s">
        <v>425</v>
      </c>
      <c r="F287" t="s">
        <v>438</v>
      </c>
      <c r="G287" s="95">
        <v>44561</v>
      </c>
      <c r="H287" s="101"/>
      <c r="I287" s="102"/>
      <c r="J287" s="101"/>
      <c r="K287" s="102"/>
      <c r="L287" s="101"/>
      <c r="M287" s="102"/>
    </row>
    <row r="288" spans="1:13">
      <c r="A288" s="115"/>
      <c r="B288" s="115"/>
      <c r="C288" s="115"/>
      <c r="D288" s="96" t="s">
        <v>426</v>
      </c>
      <c r="F288" t="s">
        <v>65</v>
      </c>
      <c r="G288" s="95">
        <v>44561</v>
      </c>
      <c r="H288" s="101">
        <v>2.1870177499999999</v>
      </c>
      <c r="I288" s="102">
        <v>2.1656629999999999</v>
      </c>
      <c r="J288" s="101">
        <v>2.3207654999999998</v>
      </c>
      <c r="K288" s="102">
        <v>2.1471232499999999</v>
      </c>
      <c r="L288" s="101">
        <v>2.2935585000000001</v>
      </c>
      <c r="M288" s="102"/>
    </row>
    <row r="289" spans="1:13">
      <c r="A289" s="115"/>
      <c r="B289" s="115"/>
      <c r="C289" s="115"/>
      <c r="D289" s="96" t="s">
        <v>427</v>
      </c>
      <c r="G289" s="95"/>
      <c r="H289" s="101"/>
      <c r="I289" s="102"/>
      <c r="J289" s="101"/>
      <c r="K289" s="102"/>
      <c r="L289" s="101"/>
      <c r="M289" s="102"/>
    </row>
    <row r="290" spans="1:13">
      <c r="A290" s="115" t="s">
        <v>192</v>
      </c>
      <c r="B290" s="115" t="s">
        <v>193</v>
      </c>
      <c r="C290" s="115" t="s">
        <v>194</v>
      </c>
      <c r="D290" s="96" t="s">
        <v>420</v>
      </c>
      <c r="F290" t="s">
        <v>438</v>
      </c>
      <c r="G290" s="95">
        <v>44561</v>
      </c>
      <c r="H290" s="101">
        <v>5.8304249123706402</v>
      </c>
      <c r="I290" s="102">
        <v>4.1059781322581701</v>
      </c>
      <c r="J290" s="101">
        <v>5.75632595190089</v>
      </c>
      <c r="K290" s="102">
        <v>4.7256911734020299</v>
      </c>
      <c r="L290" s="101">
        <v>6.07854526951468</v>
      </c>
      <c r="M290" s="102"/>
    </row>
    <row r="291" spans="1:13">
      <c r="A291" s="115"/>
      <c r="B291" s="115"/>
      <c r="C291" s="115"/>
      <c r="D291" s="96" t="s">
        <v>421</v>
      </c>
      <c r="E291" t="s">
        <v>422</v>
      </c>
      <c r="F291" t="s">
        <v>438</v>
      </c>
      <c r="G291" s="95">
        <v>44561</v>
      </c>
      <c r="H291" s="101">
        <v>0</v>
      </c>
      <c r="I291" s="102">
        <v>0</v>
      </c>
      <c r="J291" s="101">
        <v>0</v>
      </c>
      <c r="K291" s="102">
        <v>0</v>
      </c>
      <c r="L291" s="101">
        <v>0</v>
      </c>
      <c r="M291" s="102"/>
    </row>
    <row r="292" spans="1:13">
      <c r="A292" s="115"/>
      <c r="B292" s="115"/>
      <c r="C292" s="115"/>
      <c r="D292" s="96" t="s">
        <v>423</v>
      </c>
      <c r="E292" t="s">
        <v>422</v>
      </c>
      <c r="F292" t="s">
        <v>438</v>
      </c>
      <c r="G292" s="95">
        <v>44561</v>
      </c>
      <c r="H292" s="101">
        <v>5.8304249123706402</v>
      </c>
      <c r="I292" s="102">
        <v>4.1059781322581701</v>
      </c>
      <c r="J292" s="101">
        <v>5.75632595190089</v>
      </c>
      <c r="K292" s="102">
        <v>4.7256911734020299</v>
      </c>
      <c r="L292" s="101">
        <v>6.07854526951468</v>
      </c>
      <c r="M292" s="102"/>
    </row>
    <row r="293" spans="1:13">
      <c r="A293" s="115"/>
      <c r="B293" s="115"/>
      <c r="C293" s="115"/>
      <c r="D293" s="96" t="s">
        <v>424</v>
      </c>
      <c r="E293" t="s">
        <v>425</v>
      </c>
      <c r="F293" t="s">
        <v>438</v>
      </c>
      <c r="G293" s="95">
        <v>44561</v>
      </c>
      <c r="H293" s="101"/>
      <c r="I293" s="102"/>
      <c r="J293" s="101"/>
      <c r="K293" s="102"/>
      <c r="L293" s="101"/>
      <c r="M293" s="102"/>
    </row>
    <row r="294" spans="1:13">
      <c r="A294" s="115"/>
      <c r="B294" s="115"/>
      <c r="C294" s="115"/>
      <c r="D294" s="96" t="s">
        <v>426</v>
      </c>
      <c r="F294" t="s">
        <v>65</v>
      </c>
      <c r="G294" s="95">
        <v>44561</v>
      </c>
      <c r="H294" s="101">
        <v>9.6681579999999894</v>
      </c>
      <c r="I294" s="102">
        <v>6.7177259999999999</v>
      </c>
      <c r="J294" s="101">
        <v>9.3488639999999901</v>
      </c>
      <c r="K294" s="102">
        <v>7.7770190000000001</v>
      </c>
      <c r="L294" s="101">
        <v>10.203676</v>
      </c>
      <c r="M294" s="102"/>
    </row>
    <row r="295" spans="1:13">
      <c r="A295" s="115"/>
      <c r="B295" s="115"/>
      <c r="C295" s="115"/>
      <c r="D295" s="96" t="s">
        <v>427</v>
      </c>
      <c r="G295" s="95"/>
      <c r="H295" s="101"/>
      <c r="I295" s="102"/>
      <c r="J295" s="101"/>
      <c r="K295" s="102"/>
      <c r="L295" s="101"/>
      <c r="M295" s="102"/>
    </row>
    <row r="296" spans="1:13">
      <c r="A296" s="115" t="s">
        <v>195</v>
      </c>
      <c r="B296" s="115" t="s">
        <v>196</v>
      </c>
      <c r="C296" s="115" t="s">
        <v>197</v>
      </c>
      <c r="D296" s="96" t="s">
        <v>420</v>
      </c>
      <c r="F296" t="s">
        <v>438</v>
      </c>
      <c r="G296" s="95">
        <v>44561</v>
      </c>
      <c r="H296" s="101">
        <v>44.467669531403999</v>
      </c>
      <c r="I296" s="102">
        <v>45.156516685849297</v>
      </c>
      <c r="J296" s="101">
        <v>45.362601100706101</v>
      </c>
      <c r="K296" s="102">
        <v>44.579149470133402</v>
      </c>
      <c r="L296" s="101">
        <v>42.257461966110597</v>
      </c>
      <c r="M296" s="102"/>
    </row>
    <row r="297" spans="1:13">
      <c r="A297" s="115"/>
      <c r="B297" s="115"/>
      <c r="C297" s="115"/>
      <c r="D297" s="96" t="s">
        <v>421</v>
      </c>
      <c r="E297" t="s">
        <v>422</v>
      </c>
      <c r="F297" t="s">
        <v>438</v>
      </c>
      <c r="G297" s="95">
        <v>44561</v>
      </c>
      <c r="H297" s="101">
        <v>0</v>
      </c>
      <c r="I297" s="102">
        <v>0</v>
      </c>
      <c r="J297" s="101">
        <v>0</v>
      </c>
      <c r="K297" s="102">
        <v>0</v>
      </c>
      <c r="L297" s="101">
        <v>0</v>
      </c>
      <c r="M297" s="102"/>
    </row>
    <row r="298" spans="1:13">
      <c r="A298" s="115"/>
      <c r="B298" s="115"/>
      <c r="C298" s="115"/>
      <c r="D298" s="96" t="s">
        <v>423</v>
      </c>
      <c r="E298" t="s">
        <v>422</v>
      </c>
      <c r="F298" t="s">
        <v>438</v>
      </c>
      <c r="G298" s="95">
        <v>44561</v>
      </c>
      <c r="H298" s="101">
        <v>44.467669531403999</v>
      </c>
      <c r="I298" s="102">
        <v>45.156516685849297</v>
      </c>
      <c r="J298" s="101">
        <v>45.362601100706101</v>
      </c>
      <c r="K298" s="102">
        <v>44.579149470133402</v>
      </c>
      <c r="L298" s="101">
        <v>42.257461966110597</v>
      </c>
      <c r="M298" s="102"/>
    </row>
    <row r="299" spans="1:13">
      <c r="A299" s="115"/>
      <c r="B299" s="115"/>
      <c r="C299" s="115"/>
      <c r="D299" s="96" t="s">
        <v>424</v>
      </c>
      <c r="E299" t="s">
        <v>425</v>
      </c>
      <c r="F299" t="s">
        <v>438</v>
      </c>
      <c r="G299" s="95">
        <v>44561</v>
      </c>
      <c r="H299" s="101"/>
      <c r="I299" s="102"/>
      <c r="J299" s="101"/>
      <c r="K299" s="102"/>
      <c r="L299" s="101"/>
      <c r="M299" s="102"/>
    </row>
    <row r="300" spans="1:13">
      <c r="A300" s="115"/>
      <c r="B300" s="115"/>
      <c r="C300" s="115"/>
      <c r="D300" s="96" t="s">
        <v>426</v>
      </c>
      <c r="F300" t="s">
        <v>65</v>
      </c>
      <c r="G300" s="95">
        <v>44561</v>
      </c>
      <c r="H300" s="101">
        <v>127.73700738310001</v>
      </c>
      <c r="I300" s="102">
        <v>129.144311972</v>
      </c>
      <c r="J300" s="101">
        <v>133.74937911255</v>
      </c>
      <c r="K300" s="102">
        <v>135.71818765739999</v>
      </c>
      <c r="L300" s="101">
        <v>137.27814340149999</v>
      </c>
      <c r="M300" s="102"/>
    </row>
    <row r="301" spans="1:13">
      <c r="A301" s="115"/>
      <c r="B301" s="115"/>
      <c r="C301" s="115"/>
      <c r="D301" s="96" t="s">
        <v>427</v>
      </c>
      <c r="G301" s="95"/>
      <c r="H301" s="101"/>
      <c r="I301" s="102"/>
      <c r="J301" s="101"/>
      <c r="K301" s="102"/>
      <c r="L301" s="101"/>
      <c r="M301" s="102"/>
    </row>
    <row r="302" spans="1:13">
      <c r="A302" s="115" t="s">
        <v>198</v>
      </c>
      <c r="B302" s="115" t="s">
        <v>199</v>
      </c>
      <c r="C302" s="115" t="s">
        <v>200</v>
      </c>
      <c r="D302" s="96" t="s">
        <v>420</v>
      </c>
      <c r="F302" t="s">
        <v>437</v>
      </c>
      <c r="G302" s="95">
        <v>44561</v>
      </c>
      <c r="H302" s="101">
        <v>80501000</v>
      </c>
      <c r="I302" s="102">
        <v>80501000</v>
      </c>
      <c r="J302" s="101">
        <v>81099000</v>
      </c>
      <c r="K302" s="102">
        <v>78384000</v>
      </c>
      <c r="L302" s="101">
        <v>62860000</v>
      </c>
      <c r="M302" s="102"/>
    </row>
    <row r="303" spans="1:13">
      <c r="A303" s="115"/>
      <c r="B303" s="115"/>
      <c r="C303" s="115"/>
      <c r="D303" s="96" t="s">
        <v>421</v>
      </c>
      <c r="E303" t="s">
        <v>422</v>
      </c>
      <c r="F303" t="s">
        <v>437</v>
      </c>
      <c r="G303" s="95">
        <v>44561</v>
      </c>
      <c r="H303" s="101">
        <v>12478000</v>
      </c>
      <c r="I303" s="102">
        <v>12478000</v>
      </c>
      <c r="J303" s="101">
        <v>12563000</v>
      </c>
      <c r="K303" s="102">
        <v>11878000</v>
      </c>
      <c r="L303" s="101">
        <v>10846000</v>
      </c>
      <c r="M303" s="102"/>
    </row>
    <row r="304" spans="1:13">
      <c r="A304" s="115"/>
      <c r="B304" s="115"/>
      <c r="C304" s="115"/>
      <c r="D304" s="96" t="s">
        <v>423</v>
      </c>
      <c r="E304" t="s">
        <v>422</v>
      </c>
      <c r="F304" t="s">
        <v>437</v>
      </c>
      <c r="G304" s="95">
        <v>44561</v>
      </c>
      <c r="H304" s="101">
        <v>92979000</v>
      </c>
      <c r="I304" s="102">
        <v>92979000</v>
      </c>
      <c r="J304" s="101">
        <v>93662000</v>
      </c>
      <c r="K304" s="102">
        <v>90262000</v>
      </c>
      <c r="L304" s="101">
        <v>73706000</v>
      </c>
      <c r="M304" s="102"/>
    </row>
    <row r="305" spans="1:13">
      <c r="A305" s="115"/>
      <c r="B305" s="115"/>
      <c r="C305" s="115"/>
      <c r="D305" s="96" t="s">
        <v>424</v>
      </c>
      <c r="E305" t="s">
        <v>425</v>
      </c>
      <c r="F305" t="s">
        <v>437</v>
      </c>
      <c r="G305" s="95">
        <v>44561</v>
      </c>
      <c r="H305" s="101">
        <v>20957000</v>
      </c>
      <c r="I305" s="102">
        <v>20957000</v>
      </c>
      <c r="J305" s="101">
        <v>21191000</v>
      </c>
      <c r="K305" s="102">
        <v>20937000</v>
      </c>
      <c r="L305" s="101">
        <v>18078000</v>
      </c>
      <c r="M305" s="102"/>
    </row>
    <row r="306" spans="1:13">
      <c r="A306" s="115"/>
      <c r="B306" s="115"/>
      <c r="C306" s="115"/>
      <c r="D306" s="96" t="s">
        <v>426</v>
      </c>
      <c r="F306" t="s">
        <v>102</v>
      </c>
      <c r="G306" s="95">
        <v>44561</v>
      </c>
      <c r="H306" s="101">
        <v>49580000</v>
      </c>
      <c r="I306" s="102">
        <v>49580000</v>
      </c>
      <c r="J306" s="101">
        <v>48500000</v>
      </c>
      <c r="K306" s="102">
        <v>45890000</v>
      </c>
      <c r="L306" s="101">
        <v>36630000</v>
      </c>
      <c r="M306" s="102"/>
    </row>
    <row r="307" spans="1:13">
      <c r="A307" s="115"/>
      <c r="B307" s="115"/>
      <c r="C307" s="115"/>
      <c r="D307" s="96" t="s">
        <v>427</v>
      </c>
      <c r="G307" s="95"/>
      <c r="H307" s="101"/>
      <c r="I307" s="102"/>
      <c r="J307" s="101"/>
      <c r="K307" s="102"/>
      <c r="L307" s="101"/>
      <c r="M307" s="102"/>
    </row>
    <row r="308" spans="1:13">
      <c r="A308" s="115" t="s">
        <v>203</v>
      </c>
      <c r="B308" s="115" t="s">
        <v>204</v>
      </c>
      <c r="C308" s="115" t="s">
        <v>205</v>
      </c>
      <c r="D308" s="96" t="s">
        <v>420</v>
      </c>
      <c r="F308" t="s">
        <v>438</v>
      </c>
      <c r="G308" s="95">
        <v>44561</v>
      </c>
      <c r="H308" s="101">
        <v>9.9601014764331595</v>
      </c>
      <c r="I308" s="102">
        <v>9.6960935392110308</v>
      </c>
      <c r="J308" s="101">
        <v>10.8006060749735</v>
      </c>
      <c r="K308" s="102">
        <v>8.57140918766944</v>
      </c>
      <c r="L308" s="101">
        <v>5.9569034121262199</v>
      </c>
      <c r="M308" s="102"/>
    </row>
    <row r="309" spans="1:13">
      <c r="A309" s="115"/>
      <c r="B309" s="115"/>
      <c r="C309" s="115"/>
      <c r="D309" s="96" t="s">
        <v>421</v>
      </c>
      <c r="E309" t="s">
        <v>422</v>
      </c>
      <c r="F309" t="s">
        <v>438</v>
      </c>
      <c r="G309" s="95">
        <v>44561</v>
      </c>
      <c r="H309" s="101">
        <v>0</v>
      </c>
      <c r="I309" s="102">
        <v>0</v>
      </c>
      <c r="J309" s="101">
        <v>0</v>
      </c>
      <c r="K309" s="102">
        <v>0</v>
      </c>
      <c r="L309" s="101">
        <v>0</v>
      </c>
      <c r="M309" s="102"/>
    </row>
    <row r="310" spans="1:13">
      <c r="A310" s="115"/>
      <c r="B310" s="115"/>
      <c r="C310" s="115"/>
      <c r="D310" s="96" t="s">
        <v>423</v>
      </c>
      <c r="E310" t="s">
        <v>422</v>
      </c>
      <c r="F310" t="s">
        <v>438</v>
      </c>
      <c r="G310" s="95">
        <v>44561</v>
      </c>
      <c r="H310" s="101">
        <v>9.9601014764331595</v>
      </c>
      <c r="I310" s="102">
        <v>9.6960935392110308</v>
      </c>
      <c r="J310" s="101">
        <v>10.8006060749735</v>
      </c>
      <c r="K310" s="102">
        <v>8.57140918766944</v>
      </c>
      <c r="L310" s="101">
        <v>5.9569034121262199</v>
      </c>
      <c r="M310" s="102"/>
    </row>
    <row r="311" spans="1:13">
      <c r="A311" s="115"/>
      <c r="B311" s="115"/>
      <c r="C311" s="115"/>
      <c r="D311" s="96" t="s">
        <v>424</v>
      </c>
      <c r="E311" t="s">
        <v>425</v>
      </c>
      <c r="F311" t="s">
        <v>438</v>
      </c>
      <c r="G311" s="95">
        <v>44561</v>
      </c>
      <c r="H311" s="101"/>
      <c r="I311" s="102"/>
      <c r="J311" s="101"/>
      <c r="K311" s="102"/>
      <c r="L311" s="101"/>
      <c r="M311" s="102"/>
    </row>
    <row r="312" spans="1:13">
      <c r="A312" s="115"/>
      <c r="B312" s="115"/>
      <c r="C312" s="115"/>
      <c r="D312" s="96" t="s">
        <v>426</v>
      </c>
      <c r="F312" t="s">
        <v>65</v>
      </c>
      <c r="G312" s="95">
        <v>44561</v>
      </c>
      <c r="H312" s="101">
        <v>11.781155</v>
      </c>
      <c r="I312" s="102">
        <v>11.451045000000001</v>
      </c>
      <c r="J312" s="101">
        <v>11.979272999999999</v>
      </c>
      <c r="K312" s="102">
        <v>10.329416</v>
      </c>
      <c r="L312" s="101">
        <v>7.6103259999999997</v>
      </c>
      <c r="M312" s="102"/>
    </row>
    <row r="313" spans="1:13">
      <c r="A313" s="115"/>
      <c r="B313" s="115"/>
      <c r="C313" s="115"/>
      <c r="D313" s="96" t="s">
        <v>427</v>
      </c>
      <c r="G313" s="95"/>
      <c r="H313" s="101"/>
      <c r="I313" s="102"/>
      <c r="J313" s="101"/>
      <c r="K313" s="102"/>
      <c r="L313" s="101"/>
      <c r="M313" s="102"/>
    </row>
    <row r="314" spans="1:13">
      <c r="A314" s="115" t="s">
        <v>206</v>
      </c>
      <c r="B314" s="115" t="s">
        <v>207</v>
      </c>
      <c r="C314" s="115" t="s">
        <v>208</v>
      </c>
      <c r="D314" s="96" t="s">
        <v>420</v>
      </c>
      <c r="F314" t="s">
        <v>438</v>
      </c>
      <c r="G314" s="95">
        <v>44561</v>
      </c>
      <c r="H314" s="101">
        <v>10.5828883047778</v>
      </c>
      <c r="I314" s="102">
        <v>11.130297979750001</v>
      </c>
      <c r="J314" s="101">
        <v>10.9934962219328</v>
      </c>
      <c r="K314" s="102">
        <v>10.7429245489505</v>
      </c>
      <c r="L314" s="101">
        <v>7.6614925655895103</v>
      </c>
      <c r="M314" s="102"/>
    </row>
    <row r="315" spans="1:13">
      <c r="A315" s="115"/>
      <c r="B315" s="115"/>
      <c r="C315" s="115"/>
      <c r="D315" s="96" t="s">
        <v>421</v>
      </c>
      <c r="E315" t="s">
        <v>422</v>
      </c>
      <c r="F315" t="s">
        <v>438</v>
      </c>
      <c r="G315" s="95">
        <v>44561</v>
      </c>
      <c r="H315" s="101">
        <v>0</v>
      </c>
      <c r="I315" s="102">
        <v>0</v>
      </c>
      <c r="J315" s="101">
        <v>0</v>
      </c>
      <c r="K315" s="102">
        <v>0</v>
      </c>
      <c r="L315" s="101">
        <v>0</v>
      </c>
      <c r="M315" s="102"/>
    </row>
    <row r="316" spans="1:13">
      <c r="A316" s="115"/>
      <c r="B316" s="115"/>
      <c r="C316" s="115"/>
      <c r="D316" s="96" t="s">
        <v>423</v>
      </c>
      <c r="E316" t="s">
        <v>422</v>
      </c>
      <c r="F316" t="s">
        <v>438</v>
      </c>
      <c r="G316" s="95">
        <v>44561</v>
      </c>
      <c r="H316" s="101">
        <v>10.5828883047778</v>
      </c>
      <c r="I316" s="102">
        <v>11.130297979750001</v>
      </c>
      <c r="J316" s="101">
        <v>10.9934962219328</v>
      </c>
      <c r="K316" s="102">
        <v>10.7429245489505</v>
      </c>
      <c r="L316" s="101">
        <v>7.6614925655895103</v>
      </c>
      <c r="M316" s="102"/>
    </row>
    <row r="317" spans="1:13">
      <c r="A317" s="115"/>
      <c r="B317" s="115"/>
      <c r="C317" s="115"/>
      <c r="D317" s="96" t="s">
        <v>424</v>
      </c>
      <c r="E317" t="s">
        <v>425</v>
      </c>
      <c r="F317" t="s">
        <v>438</v>
      </c>
      <c r="G317" s="95">
        <v>44561</v>
      </c>
      <c r="H317" s="101"/>
      <c r="I317" s="102"/>
      <c r="J317" s="101"/>
      <c r="K317" s="102"/>
      <c r="L317" s="101"/>
      <c r="M317" s="102"/>
    </row>
    <row r="318" spans="1:13">
      <c r="A318" s="115"/>
      <c r="B318" s="115"/>
      <c r="C318" s="115"/>
      <c r="D318" s="96" t="s">
        <v>426</v>
      </c>
      <c r="F318" t="s">
        <v>65</v>
      </c>
      <c r="G318" s="95">
        <v>44561</v>
      </c>
      <c r="H318" s="101">
        <v>21.821417649600001</v>
      </c>
      <c r="I318" s="102">
        <v>23.083953169600001</v>
      </c>
      <c r="J318" s="101">
        <v>23.586075636698801</v>
      </c>
      <c r="K318" s="102">
        <v>23.480624323200001</v>
      </c>
      <c r="L318" s="101">
        <v>19.634134127999999</v>
      </c>
      <c r="M318" s="102"/>
    </row>
    <row r="319" spans="1:13">
      <c r="A319" s="115"/>
      <c r="B319" s="115"/>
      <c r="C319" s="115"/>
      <c r="D319" s="96" t="s">
        <v>427</v>
      </c>
      <c r="G319" s="95"/>
      <c r="H319" s="101"/>
      <c r="I319" s="102"/>
      <c r="J319" s="101"/>
      <c r="K319" s="102"/>
      <c r="L319" s="101"/>
      <c r="M319" s="102"/>
    </row>
    <row r="320" spans="1:13">
      <c r="A320" s="115" t="s">
        <v>209</v>
      </c>
      <c r="B320" s="115" t="s">
        <v>210</v>
      </c>
      <c r="C320" s="115" t="s">
        <v>211</v>
      </c>
      <c r="D320" s="96" t="s">
        <v>420</v>
      </c>
      <c r="F320" t="s">
        <v>437</v>
      </c>
      <c r="G320" s="95">
        <v>44561</v>
      </c>
      <c r="H320" s="101">
        <v>4800000</v>
      </c>
      <c r="I320" s="102">
        <v>4800000</v>
      </c>
      <c r="J320" s="101">
        <v>4800000</v>
      </c>
      <c r="K320" s="102">
        <v>4400000</v>
      </c>
      <c r="L320" s="101">
        <v>4700000</v>
      </c>
      <c r="M320" s="102"/>
    </row>
    <row r="321" spans="1:13">
      <c r="A321" s="115"/>
      <c r="B321" s="115"/>
      <c r="C321" s="115"/>
      <c r="D321" s="96" t="s">
        <v>421</v>
      </c>
      <c r="E321" t="s">
        <v>422</v>
      </c>
      <c r="F321" t="s">
        <v>437</v>
      </c>
      <c r="G321" s="95">
        <v>44561</v>
      </c>
      <c r="H321" s="101">
        <v>5785714.2857142901</v>
      </c>
      <c r="I321" s="102">
        <v>5785714.2857142901</v>
      </c>
      <c r="J321" s="101">
        <v>5785714.2857142901</v>
      </c>
      <c r="K321" s="102">
        <v>5400000</v>
      </c>
      <c r="L321" s="101">
        <v>5400000</v>
      </c>
      <c r="M321" s="102"/>
    </row>
    <row r="322" spans="1:13">
      <c r="A322" s="115"/>
      <c r="B322" s="115"/>
      <c r="C322" s="115"/>
      <c r="D322" s="96" t="s">
        <v>423</v>
      </c>
      <c r="E322" t="s">
        <v>422</v>
      </c>
      <c r="F322" t="s">
        <v>437</v>
      </c>
      <c r="G322" s="95">
        <v>44561</v>
      </c>
      <c r="H322" s="101">
        <v>10585714.285714289</v>
      </c>
      <c r="I322" s="102">
        <v>10585714.285714289</v>
      </c>
      <c r="J322" s="101">
        <v>10585714.285714289</v>
      </c>
      <c r="K322" s="102">
        <v>9800000</v>
      </c>
      <c r="L322" s="101">
        <v>10100000</v>
      </c>
      <c r="M322" s="102"/>
    </row>
    <row r="323" spans="1:13">
      <c r="A323" s="115"/>
      <c r="B323" s="115"/>
      <c r="C323" s="115"/>
      <c r="D323" s="96" t="s">
        <v>424</v>
      </c>
      <c r="E323" t="s">
        <v>425</v>
      </c>
      <c r="F323" t="s">
        <v>437</v>
      </c>
      <c r="G323" s="95">
        <v>44561</v>
      </c>
      <c r="H323" s="101">
        <v>7557446.8085106397</v>
      </c>
      <c r="I323" s="102">
        <v>7557446.8085106397</v>
      </c>
      <c r="J323" s="101">
        <v>7557446.8085106397</v>
      </c>
      <c r="K323" s="102">
        <v>6927659.5744680902</v>
      </c>
      <c r="L323" s="101">
        <v>7400000</v>
      </c>
      <c r="M323" s="102"/>
    </row>
    <row r="324" spans="1:13">
      <c r="A324" s="115"/>
      <c r="B324" s="115"/>
      <c r="C324" s="115"/>
      <c r="D324" s="96" t="s">
        <v>426</v>
      </c>
      <c r="F324" t="s">
        <v>102</v>
      </c>
      <c r="G324" s="95">
        <v>44561</v>
      </c>
      <c r="H324" s="101">
        <v>22500000</v>
      </c>
      <c r="I324" s="102">
        <v>22500000</v>
      </c>
      <c r="J324" s="101">
        <v>22500000</v>
      </c>
      <c r="K324" s="102">
        <v>20700000</v>
      </c>
      <c r="L324" s="101">
        <v>20300000</v>
      </c>
      <c r="M324" s="102"/>
    </row>
    <row r="325" spans="1:13">
      <c r="A325" s="115"/>
      <c r="B325" s="115"/>
      <c r="C325" s="115"/>
      <c r="D325" s="96" t="s">
        <v>427</v>
      </c>
      <c r="G325" s="95"/>
      <c r="H325" s="101"/>
      <c r="I325" s="102"/>
      <c r="J325" s="101"/>
      <c r="K325" s="102"/>
      <c r="L325" s="101"/>
      <c r="M325" s="102"/>
    </row>
    <row r="326" spans="1:13">
      <c r="A326" s="115" t="s">
        <v>212</v>
      </c>
      <c r="B326" s="115" t="s">
        <v>213</v>
      </c>
      <c r="C326" s="115" t="s">
        <v>214</v>
      </c>
      <c r="D326" s="96" t="s">
        <v>420</v>
      </c>
      <c r="F326" t="s">
        <v>437</v>
      </c>
      <c r="G326" s="95">
        <v>44561</v>
      </c>
      <c r="H326" s="101">
        <v>26596742</v>
      </c>
      <c r="I326" s="102">
        <v>29995758</v>
      </c>
      <c r="J326" s="101">
        <v>29344948</v>
      </c>
      <c r="K326" s="102">
        <v>24205850</v>
      </c>
      <c r="L326" s="101">
        <v>25759240</v>
      </c>
      <c r="M326" s="102"/>
    </row>
    <row r="327" spans="1:13">
      <c r="A327" s="115"/>
      <c r="B327" s="115"/>
      <c r="C327" s="115"/>
      <c r="D327" s="96" t="s">
        <v>421</v>
      </c>
      <c r="E327" t="s">
        <v>422</v>
      </c>
      <c r="F327" t="s">
        <v>437</v>
      </c>
      <c r="G327" s="95">
        <v>44561</v>
      </c>
      <c r="H327" s="101">
        <v>6570582</v>
      </c>
      <c r="I327" s="102">
        <v>6366492</v>
      </c>
      <c r="J327" s="101">
        <v>6552023</v>
      </c>
      <c r="K327" s="102">
        <v>6121318</v>
      </c>
      <c r="L327" s="101">
        <v>6063090</v>
      </c>
      <c r="M327" s="102"/>
    </row>
    <row r="328" spans="1:13">
      <c r="A328" s="115"/>
      <c r="B328" s="115"/>
      <c r="C328" s="115"/>
      <c r="D328" s="96" t="s">
        <v>423</v>
      </c>
      <c r="E328" t="s">
        <v>422</v>
      </c>
      <c r="F328" t="s">
        <v>437</v>
      </c>
      <c r="G328" s="95">
        <v>44561</v>
      </c>
      <c r="H328" s="101">
        <v>33167324</v>
      </c>
      <c r="I328" s="102">
        <v>36362250</v>
      </c>
      <c r="J328" s="101">
        <v>35896971</v>
      </c>
      <c r="K328" s="102">
        <v>30327168</v>
      </c>
      <c r="L328" s="101">
        <v>31822330</v>
      </c>
      <c r="M328" s="102"/>
    </row>
    <row r="329" spans="1:13">
      <c r="A329" s="115"/>
      <c r="B329" s="115"/>
      <c r="C329" s="115"/>
      <c r="D329" s="96" t="s">
        <v>424</v>
      </c>
      <c r="E329" t="s">
        <v>425</v>
      </c>
      <c r="F329" t="s">
        <v>437</v>
      </c>
      <c r="G329" s="95">
        <v>44561</v>
      </c>
      <c r="H329" s="101"/>
      <c r="I329" s="102"/>
      <c r="J329" s="101"/>
      <c r="K329" s="102"/>
      <c r="L329" s="101"/>
      <c r="M329" s="102"/>
    </row>
    <row r="330" spans="1:13">
      <c r="A330" s="115"/>
      <c r="B330" s="115"/>
      <c r="C330" s="115"/>
      <c r="D330" s="96" t="s">
        <v>426</v>
      </c>
      <c r="F330" t="s">
        <v>84</v>
      </c>
      <c r="G330" s="95">
        <v>44561</v>
      </c>
      <c r="H330" s="101">
        <v>50505515</v>
      </c>
      <c r="I330" s="102">
        <v>52757428</v>
      </c>
      <c r="J330" s="101">
        <v>54463960</v>
      </c>
      <c r="K330" s="102">
        <v>48518459</v>
      </c>
      <c r="L330" s="101">
        <v>48413215</v>
      </c>
      <c r="M330" s="102"/>
    </row>
    <row r="331" spans="1:13">
      <c r="A331" s="115"/>
      <c r="B331" s="115"/>
      <c r="C331" s="115"/>
      <c r="D331" s="96" t="s">
        <v>427</v>
      </c>
      <c r="G331" s="95"/>
      <c r="H331" s="101"/>
      <c r="I331" s="102"/>
      <c r="J331" s="101"/>
      <c r="K331" s="102"/>
      <c r="L331" s="101"/>
      <c r="M331" s="102"/>
    </row>
    <row r="332" spans="1:13">
      <c r="A332" s="115" t="s">
        <v>215</v>
      </c>
      <c r="B332" s="115" t="s">
        <v>216</v>
      </c>
      <c r="C332" s="115" t="s">
        <v>217</v>
      </c>
      <c r="D332" s="96" t="s">
        <v>420</v>
      </c>
      <c r="F332" t="s">
        <v>438</v>
      </c>
      <c r="G332" s="95">
        <v>44561</v>
      </c>
      <c r="H332" s="101">
        <v>66</v>
      </c>
      <c r="I332" s="102">
        <v>66.599999999999994</v>
      </c>
      <c r="J332" s="101">
        <v>61.4</v>
      </c>
      <c r="K332" s="102">
        <v>58.8</v>
      </c>
      <c r="L332" s="101">
        <v>55.5</v>
      </c>
      <c r="M332" s="102">
        <v>61.4</v>
      </c>
    </row>
    <row r="333" spans="1:13">
      <c r="A333" s="115"/>
      <c r="B333" s="115"/>
      <c r="C333" s="115"/>
      <c r="D333" s="96" t="s">
        <v>421</v>
      </c>
      <c r="E333" t="s">
        <v>422</v>
      </c>
      <c r="F333" t="s">
        <v>438</v>
      </c>
      <c r="G333" s="95">
        <v>44561</v>
      </c>
      <c r="H333" s="101">
        <v>0.5</v>
      </c>
      <c r="I333" s="102">
        <v>0.4</v>
      </c>
      <c r="J333" s="101">
        <v>0.4</v>
      </c>
      <c r="K333" s="102">
        <v>0.3</v>
      </c>
      <c r="L333" s="101">
        <v>0.2</v>
      </c>
      <c r="M333" s="102">
        <v>0.4</v>
      </c>
    </row>
    <row r="334" spans="1:13">
      <c r="A334" s="115"/>
      <c r="B334" s="115"/>
      <c r="C334" s="115"/>
      <c r="D334" s="96" t="s">
        <v>423</v>
      </c>
      <c r="E334" t="s">
        <v>422</v>
      </c>
      <c r="F334" t="s">
        <v>438</v>
      </c>
      <c r="G334" s="95">
        <v>44561</v>
      </c>
      <c r="H334" s="101">
        <v>66.5</v>
      </c>
      <c r="I334" s="102">
        <v>67</v>
      </c>
      <c r="J334" s="101">
        <v>61.8</v>
      </c>
      <c r="K334" s="102">
        <v>59.099999999999987</v>
      </c>
      <c r="L334" s="101">
        <v>55.7</v>
      </c>
      <c r="M334" s="102">
        <v>61.8</v>
      </c>
    </row>
    <row r="335" spans="1:13">
      <c r="A335" s="115"/>
      <c r="B335" s="115"/>
      <c r="C335" s="115"/>
      <c r="D335" s="96" t="s">
        <v>424</v>
      </c>
      <c r="E335" t="s">
        <v>425</v>
      </c>
      <c r="F335" t="s">
        <v>438</v>
      </c>
      <c r="G335" s="95">
        <v>44561</v>
      </c>
      <c r="H335" s="101">
        <v>459.9</v>
      </c>
      <c r="I335" s="102">
        <v>437.2</v>
      </c>
      <c r="J335" s="101">
        <v>412.3</v>
      </c>
      <c r="K335" s="102">
        <v>400.2</v>
      </c>
      <c r="L335" s="101">
        <v>410.5</v>
      </c>
      <c r="M335" s="102">
        <v>420.4</v>
      </c>
    </row>
    <row r="336" spans="1:13">
      <c r="A336" s="115"/>
      <c r="B336" s="115"/>
      <c r="C336" s="115"/>
      <c r="D336" s="96" t="s">
        <v>426</v>
      </c>
      <c r="F336" t="s">
        <v>188</v>
      </c>
      <c r="G336" s="95">
        <v>44561</v>
      </c>
      <c r="H336" s="101">
        <v>996.6600000000002</v>
      </c>
      <c r="I336" s="102">
        <v>996.6600000000002</v>
      </c>
      <c r="J336" s="101">
        <v>996.6600000000002</v>
      </c>
      <c r="K336" s="102">
        <v>996.6600000000002</v>
      </c>
      <c r="L336" s="101">
        <v>1021.05</v>
      </c>
      <c r="M336" s="102">
        <v>749.7</v>
      </c>
    </row>
    <row r="337" spans="1:13">
      <c r="A337" s="115"/>
      <c r="B337" s="115"/>
      <c r="C337" s="115"/>
      <c r="D337" s="96" t="s">
        <v>427</v>
      </c>
      <c r="G337" s="95"/>
      <c r="H337" s="101"/>
      <c r="I337" s="102"/>
      <c r="J337" s="101"/>
      <c r="K337" s="102"/>
      <c r="L337" s="101"/>
      <c r="M337" s="102"/>
    </row>
    <row r="338" spans="1:13">
      <c r="A338" s="115" t="s">
        <v>218</v>
      </c>
      <c r="B338" s="115" t="s">
        <v>219</v>
      </c>
      <c r="C338" s="115" t="s">
        <v>220</v>
      </c>
      <c r="D338" s="96" t="s">
        <v>420</v>
      </c>
      <c r="F338" t="s">
        <v>438</v>
      </c>
      <c r="G338" s="95">
        <v>44561</v>
      </c>
      <c r="H338" s="101"/>
      <c r="I338" s="102"/>
      <c r="J338" s="101"/>
      <c r="K338" s="102"/>
      <c r="L338" s="101"/>
      <c r="M338" s="102"/>
    </row>
    <row r="339" spans="1:13">
      <c r="A339" s="115"/>
      <c r="B339" s="115"/>
      <c r="C339" s="115"/>
      <c r="D339" s="96" t="s">
        <v>421</v>
      </c>
      <c r="E339" t="s">
        <v>422</v>
      </c>
      <c r="F339" t="s">
        <v>438</v>
      </c>
      <c r="G339" s="95">
        <v>44561</v>
      </c>
      <c r="H339" s="101"/>
      <c r="I339" s="102"/>
      <c r="J339" s="101"/>
      <c r="K339" s="102"/>
      <c r="L339" s="101"/>
      <c r="M339" s="102"/>
    </row>
    <row r="340" spans="1:13">
      <c r="A340" s="115"/>
      <c r="B340" s="115"/>
      <c r="C340" s="115"/>
      <c r="D340" s="96" t="s">
        <v>423</v>
      </c>
      <c r="E340" t="s">
        <v>422</v>
      </c>
      <c r="F340" t="s">
        <v>438</v>
      </c>
      <c r="G340" s="95">
        <v>44561</v>
      </c>
      <c r="H340" s="101"/>
      <c r="I340" s="102">
        <v>56.5</v>
      </c>
      <c r="J340" s="101">
        <v>50.1</v>
      </c>
      <c r="K340" s="102">
        <v>53.8</v>
      </c>
      <c r="L340" s="101">
        <v>48.3</v>
      </c>
      <c r="M340" s="102">
        <v>45.2</v>
      </c>
    </row>
    <row r="341" spans="1:13">
      <c r="A341" s="115"/>
      <c r="B341" s="115"/>
      <c r="C341" s="115"/>
      <c r="D341" s="96" t="s">
        <v>424</v>
      </c>
      <c r="E341" t="s">
        <v>425</v>
      </c>
      <c r="F341" t="s">
        <v>438</v>
      </c>
      <c r="G341" s="95">
        <v>44561</v>
      </c>
      <c r="H341" s="101"/>
      <c r="I341" s="102"/>
      <c r="J341" s="101"/>
      <c r="K341" s="102"/>
      <c r="L341" s="101"/>
      <c r="M341" s="102"/>
    </row>
    <row r="342" spans="1:13">
      <c r="A342" s="115"/>
      <c r="B342" s="115"/>
      <c r="C342" s="115"/>
      <c r="D342" s="96" t="s">
        <v>426</v>
      </c>
      <c r="F342" t="s">
        <v>222</v>
      </c>
      <c r="G342" s="95">
        <v>44561</v>
      </c>
      <c r="H342" s="101"/>
      <c r="I342" s="102">
        <v>636978.57948139799</v>
      </c>
      <c r="J342" s="101">
        <v>675202.15633423172</v>
      </c>
      <c r="K342" s="102">
        <v>832817.33746130043</v>
      </c>
      <c r="L342" s="101">
        <v>732928.67981790588</v>
      </c>
      <c r="M342" s="102">
        <v>943632.56784968683</v>
      </c>
    </row>
    <row r="343" spans="1:13">
      <c r="A343" s="115"/>
      <c r="B343" s="115"/>
      <c r="C343" s="115"/>
      <c r="D343" s="96" t="s">
        <v>427</v>
      </c>
      <c r="G343" s="95"/>
      <c r="H343" s="101"/>
      <c r="I343" s="102"/>
      <c r="J343" s="101"/>
      <c r="K343" s="102"/>
      <c r="L343" s="101"/>
      <c r="M343" s="102"/>
    </row>
    <row r="344" spans="1:13">
      <c r="A344" s="115" t="s">
        <v>223</v>
      </c>
      <c r="B344" s="115" t="s">
        <v>224</v>
      </c>
      <c r="C344" s="115" t="s">
        <v>225</v>
      </c>
      <c r="D344" s="96" t="s">
        <v>420</v>
      </c>
      <c r="F344" t="s">
        <v>438</v>
      </c>
      <c r="G344" s="95">
        <v>44561</v>
      </c>
      <c r="H344" s="101">
        <v>2.21654399278684</v>
      </c>
      <c r="I344" s="102">
        <v>2.25119156640157</v>
      </c>
      <c r="J344" s="101">
        <v>2.4511497723448499</v>
      </c>
      <c r="K344" s="102">
        <v>2.4417731948327601</v>
      </c>
      <c r="L344" s="101">
        <v>2.4929495902512899</v>
      </c>
      <c r="M344" s="102"/>
    </row>
    <row r="345" spans="1:13">
      <c r="A345" s="115"/>
      <c r="B345" s="115"/>
      <c r="C345" s="115"/>
      <c r="D345" s="96" t="s">
        <v>421</v>
      </c>
      <c r="E345" t="s">
        <v>422</v>
      </c>
      <c r="F345" t="s">
        <v>438</v>
      </c>
      <c r="G345" s="95">
        <v>44561</v>
      </c>
      <c r="H345" s="101">
        <v>0</v>
      </c>
      <c r="I345" s="102">
        <v>0</v>
      </c>
      <c r="J345" s="101">
        <v>0</v>
      </c>
      <c r="K345" s="102">
        <v>0</v>
      </c>
      <c r="L345" s="101">
        <v>0</v>
      </c>
      <c r="M345" s="102"/>
    </row>
    <row r="346" spans="1:13">
      <c r="A346" s="115"/>
      <c r="B346" s="115"/>
      <c r="C346" s="115"/>
      <c r="D346" s="96" t="s">
        <v>423</v>
      </c>
      <c r="E346" t="s">
        <v>422</v>
      </c>
      <c r="F346" t="s">
        <v>438</v>
      </c>
      <c r="G346" s="95">
        <v>44561</v>
      </c>
      <c r="H346" s="101">
        <v>2.21654399278684</v>
      </c>
      <c r="I346" s="102">
        <v>2.25119156640157</v>
      </c>
      <c r="J346" s="101">
        <v>2.4511497723448499</v>
      </c>
      <c r="K346" s="102">
        <v>2.4417731948327601</v>
      </c>
      <c r="L346" s="101">
        <v>2.4929495902512899</v>
      </c>
      <c r="M346" s="102"/>
    </row>
    <row r="347" spans="1:13">
      <c r="A347" s="115"/>
      <c r="B347" s="115"/>
      <c r="C347" s="115"/>
      <c r="D347" s="96" t="s">
        <v>424</v>
      </c>
      <c r="E347" t="s">
        <v>425</v>
      </c>
      <c r="F347" t="s">
        <v>438</v>
      </c>
      <c r="G347" s="95">
        <v>44561</v>
      </c>
      <c r="H347" s="101"/>
      <c r="I347" s="102"/>
      <c r="J347" s="101"/>
      <c r="K347" s="102"/>
      <c r="L347" s="101"/>
      <c r="M347" s="102"/>
    </row>
    <row r="348" spans="1:13">
      <c r="A348" s="115"/>
      <c r="B348" s="115"/>
      <c r="C348" s="115"/>
      <c r="D348" s="96" t="s">
        <v>426</v>
      </c>
      <c r="F348" t="s">
        <v>65</v>
      </c>
      <c r="G348" s="95">
        <v>44561</v>
      </c>
      <c r="H348" s="101">
        <v>32.993291999999997</v>
      </c>
      <c r="I348" s="102">
        <v>34.490223999999998</v>
      </c>
      <c r="J348" s="101">
        <v>32.281219999999998</v>
      </c>
      <c r="K348" s="102">
        <v>33.513361000000003</v>
      </c>
      <c r="L348" s="101">
        <v>28.915493999999999</v>
      </c>
      <c r="M348" s="102"/>
    </row>
    <row r="349" spans="1:13">
      <c r="A349" s="115"/>
      <c r="B349" s="115"/>
      <c r="C349" s="115"/>
      <c r="D349" s="96" t="s">
        <v>427</v>
      </c>
      <c r="G349" s="95"/>
      <c r="H349" s="101"/>
      <c r="I349" s="102"/>
      <c r="J349" s="101"/>
      <c r="K349" s="102"/>
      <c r="L349" s="101"/>
      <c r="M349" s="102"/>
    </row>
    <row r="350" spans="1:13">
      <c r="A350" s="115" t="s">
        <v>226</v>
      </c>
      <c r="B350" s="115" t="s">
        <v>227</v>
      </c>
      <c r="C350" s="115" t="s">
        <v>228</v>
      </c>
      <c r="D350" s="96" t="s">
        <v>420</v>
      </c>
      <c r="F350" t="s">
        <v>438</v>
      </c>
      <c r="G350" s="95">
        <v>44561</v>
      </c>
      <c r="H350" s="101">
        <v>6.3372507858173801</v>
      </c>
      <c r="I350" s="102">
        <v>6.4887687018882199</v>
      </c>
      <c r="J350" s="101">
        <v>5.2178957581488197</v>
      </c>
      <c r="K350" s="102">
        <v>5.3678279888909604</v>
      </c>
      <c r="L350" s="101">
        <v>5.2994389016205004</v>
      </c>
      <c r="M350" s="102"/>
    </row>
    <row r="351" spans="1:13">
      <c r="A351" s="115"/>
      <c r="B351" s="115"/>
      <c r="C351" s="115"/>
      <c r="D351" s="96" t="s">
        <v>421</v>
      </c>
      <c r="E351" t="s">
        <v>422</v>
      </c>
      <c r="F351" t="s">
        <v>438</v>
      </c>
      <c r="G351" s="95">
        <v>44561</v>
      </c>
      <c r="H351" s="101">
        <v>0</v>
      </c>
      <c r="I351" s="102">
        <v>0</v>
      </c>
      <c r="J351" s="101">
        <v>0</v>
      </c>
      <c r="K351" s="102">
        <v>0</v>
      </c>
      <c r="L351" s="101">
        <v>0</v>
      </c>
      <c r="M351" s="102"/>
    </row>
    <row r="352" spans="1:13">
      <c r="A352" s="115"/>
      <c r="B352" s="115"/>
      <c r="C352" s="115"/>
      <c r="D352" s="96" t="s">
        <v>423</v>
      </c>
      <c r="E352" t="s">
        <v>422</v>
      </c>
      <c r="F352" t="s">
        <v>438</v>
      </c>
      <c r="G352" s="95">
        <v>44561</v>
      </c>
      <c r="H352" s="101">
        <v>6.3372507858173801</v>
      </c>
      <c r="I352" s="102">
        <v>6.4887687018882199</v>
      </c>
      <c r="J352" s="101">
        <v>5.2178957581488197</v>
      </c>
      <c r="K352" s="102">
        <v>5.3678279888909604</v>
      </c>
      <c r="L352" s="101">
        <v>5.2994389016205004</v>
      </c>
      <c r="M352" s="102"/>
    </row>
    <row r="353" spans="1:13">
      <c r="A353" s="115"/>
      <c r="B353" s="115"/>
      <c r="C353" s="115"/>
      <c r="D353" s="96" t="s">
        <v>424</v>
      </c>
      <c r="E353" t="s">
        <v>425</v>
      </c>
      <c r="F353" t="s">
        <v>438</v>
      </c>
      <c r="G353" s="95">
        <v>44561</v>
      </c>
      <c r="H353" s="101"/>
      <c r="I353" s="102"/>
      <c r="J353" s="101"/>
      <c r="K353" s="102"/>
      <c r="L353" s="101"/>
      <c r="M353" s="102"/>
    </row>
    <row r="354" spans="1:13">
      <c r="A354" s="115"/>
      <c r="B354" s="115"/>
      <c r="C354" s="115"/>
      <c r="D354" s="96" t="s">
        <v>426</v>
      </c>
      <c r="F354" t="s">
        <v>65</v>
      </c>
      <c r="G354" s="95">
        <v>44561</v>
      </c>
      <c r="H354" s="101">
        <v>10.2316756958</v>
      </c>
      <c r="I354" s="102">
        <v>10.1709745005</v>
      </c>
      <c r="J354" s="101">
        <v>9.3077880987999997</v>
      </c>
      <c r="K354" s="102">
        <v>9.9073846084999992</v>
      </c>
      <c r="L354" s="101">
        <v>9.7428489771999995</v>
      </c>
      <c r="M354" s="102"/>
    </row>
    <row r="355" spans="1:13">
      <c r="A355" s="115"/>
      <c r="B355" s="115"/>
      <c r="C355" s="115"/>
      <c r="D355" s="96" t="s">
        <v>427</v>
      </c>
      <c r="G355" s="95"/>
      <c r="H355" s="101"/>
      <c r="I355" s="102"/>
      <c r="J355" s="101"/>
      <c r="K355" s="102"/>
      <c r="L355" s="101"/>
      <c r="M355" s="102"/>
    </row>
    <row r="356" spans="1:13">
      <c r="A356" s="115" t="s">
        <v>229</v>
      </c>
      <c r="B356" s="115" t="s">
        <v>230</v>
      </c>
      <c r="C356" s="115" t="s">
        <v>231</v>
      </c>
      <c r="D356" s="96" t="s">
        <v>420</v>
      </c>
      <c r="F356" t="s">
        <v>437</v>
      </c>
      <c r="G356" s="95">
        <v>44561</v>
      </c>
      <c r="H356" s="101">
        <v>81309800</v>
      </c>
      <c r="I356" s="102">
        <v>75633360</v>
      </c>
      <c r="J356" s="101">
        <v>77391479</v>
      </c>
      <c r="K356" s="102">
        <v>79447924</v>
      </c>
      <c r="L356" s="101">
        <v>75069656</v>
      </c>
      <c r="M356" s="102"/>
    </row>
    <row r="357" spans="1:13">
      <c r="A357" s="115"/>
      <c r="B357" s="115"/>
      <c r="C357" s="115"/>
      <c r="D357" s="96" t="s">
        <v>421</v>
      </c>
      <c r="E357" t="s">
        <v>422</v>
      </c>
      <c r="F357" t="s">
        <v>437</v>
      </c>
      <c r="G357" s="95">
        <v>44561</v>
      </c>
      <c r="H357" s="101">
        <v>3715700</v>
      </c>
      <c r="I357" s="102">
        <v>1107681</v>
      </c>
      <c r="J357" s="101">
        <v>1106964</v>
      </c>
      <c r="K357" s="102">
        <v>815966</v>
      </c>
      <c r="L357" s="101">
        <v>580226</v>
      </c>
      <c r="M357" s="102"/>
    </row>
    <row r="358" spans="1:13">
      <c r="A358" s="115"/>
      <c r="B358" s="115"/>
      <c r="C358" s="115"/>
      <c r="D358" s="96" t="s">
        <v>423</v>
      </c>
      <c r="E358" t="s">
        <v>422</v>
      </c>
      <c r="F358" t="s">
        <v>437</v>
      </c>
      <c r="G358" s="95">
        <v>44561</v>
      </c>
      <c r="H358" s="101">
        <v>85025500</v>
      </c>
      <c r="I358" s="102">
        <v>76741041</v>
      </c>
      <c r="J358" s="101">
        <v>78498443</v>
      </c>
      <c r="K358" s="102">
        <v>80263890</v>
      </c>
      <c r="L358" s="101">
        <v>75649882</v>
      </c>
      <c r="M358" s="102"/>
    </row>
    <row r="359" spans="1:13">
      <c r="A359" s="115"/>
      <c r="B359" s="115"/>
      <c r="C359" s="115"/>
      <c r="D359" s="96" t="s">
        <v>424</v>
      </c>
      <c r="E359" t="s">
        <v>425</v>
      </c>
      <c r="F359" t="s">
        <v>437</v>
      </c>
      <c r="G359" s="95">
        <v>44561</v>
      </c>
      <c r="H359" s="101">
        <v>18044000</v>
      </c>
      <c r="I359" s="102">
        <v>18044000</v>
      </c>
      <c r="J359" s="101">
        <v>18903000</v>
      </c>
      <c r="K359" s="102">
        <v>13139000</v>
      </c>
      <c r="L359" s="101">
        <v>11951000</v>
      </c>
      <c r="M359" s="102"/>
    </row>
    <row r="360" spans="1:13">
      <c r="A360" s="115"/>
      <c r="B360" s="115"/>
      <c r="C360" s="115"/>
      <c r="D360" s="96" t="s">
        <v>426</v>
      </c>
      <c r="F360" t="s">
        <v>102</v>
      </c>
      <c r="G360" s="95">
        <v>44561</v>
      </c>
      <c r="H360" s="101">
        <v>42199000</v>
      </c>
      <c r="I360" s="102">
        <v>37207000</v>
      </c>
      <c r="J360" s="101">
        <v>37735000</v>
      </c>
      <c r="K360" s="102">
        <v>38007000</v>
      </c>
      <c r="L360" s="101">
        <v>35935000</v>
      </c>
      <c r="M360" s="102"/>
    </row>
    <row r="361" spans="1:13">
      <c r="A361" s="115"/>
      <c r="B361" s="115"/>
      <c r="C361" s="115"/>
      <c r="D361" s="96" t="s">
        <v>427</v>
      </c>
      <c r="G361" s="95"/>
      <c r="H361" s="101"/>
      <c r="I361" s="102"/>
      <c r="J361" s="101"/>
      <c r="K361" s="102"/>
      <c r="L361" s="101"/>
      <c r="M361" s="102"/>
    </row>
    <row r="362" spans="1:13">
      <c r="A362" s="115" t="s">
        <v>233</v>
      </c>
      <c r="B362" s="115" t="s">
        <v>234</v>
      </c>
      <c r="C362" s="115" t="s">
        <v>235</v>
      </c>
      <c r="D362" s="96" t="s">
        <v>420</v>
      </c>
      <c r="F362" t="s">
        <v>438</v>
      </c>
      <c r="G362" s="95">
        <v>44561</v>
      </c>
      <c r="H362" s="101">
        <v>30.0884872251346</v>
      </c>
      <c r="I362" s="102">
        <v>30.248371457395901</v>
      </c>
      <c r="J362" s="101">
        <v>31.6114690424515</v>
      </c>
      <c r="K362" s="102">
        <v>28.7789153183409</v>
      </c>
      <c r="L362" s="101">
        <v>26.356336337583201</v>
      </c>
      <c r="M362" s="102"/>
    </row>
    <row r="363" spans="1:13">
      <c r="A363" s="115"/>
      <c r="B363" s="115"/>
      <c r="C363" s="115"/>
      <c r="D363" s="96" t="s">
        <v>421</v>
      </c>
      <c r="E363" t="s">
        <v>422</v>
      </c>
      <c r="F363" t="s">
        <v>438</v>
      </c>
      <c r="G363" s="95">
        <v>44561</v>
      </c>
      <c r="H363" s="101">
        <v>0</v>
      </c>
      <c r="I363" s="102">
        <v>0</v>
      </c>
      <c r="J363" s="101">
        <v>0</v>
      </c>
      <c r="K363" s="102">
        <v>0</v>
      </c>
      <c r="L363" s="101">
        <v>0</v>
      </c>
      <c r="M363" s="102"/>
    </row>
    <row r="364" spans="1:13">
      <c r="A364" s="115"/>
      <c r="B364" s="115"/>
      <c r="C364" s="115"/>
      <c r="D364" s="96" t="s">
        <v>423</v>
      </c>
      <c r="E364" t="s">
        <v>422</v>
      </c>
      <c r="F364" t="s">
        <v>438</v>
      </c>
      <c r="G364" s="95">
        <v>44561</v>
      </c>
      <c r="H364" s="101">
        <v>30.0884872251346</v>
      </c>
      <c r="I364" s="102">
        <v>30.248371457395901</v>
      </c>
      <c r="J364" s="101">
        <v>31.6114690424515</v>
      </c>
      <c r="K364" s="102">
        <v>28.7789153183409</v>
      </c>
      <c r="L364" s="101">
        <v>26.356336337583201</v>
      </c>
      <c r="M364" s="102"/>
    </row>
    <row r="365" spans="1:13">
      <c r="A365" s="115"/>
      <c r="B365" s="115"/>
      <c r="C365" s="115"/>
      <c r="D365" s="96" t="s">
        <v>424</v>
      </c>
      <c r="E365" t="s">
        <v>425</v>
      </c>
      <c r="F365" t="s">
        <v>438</v>
      </c>
      <c r="G365" s="95">
        <v>44561</v>
      </c>
      <c r="H365" s="101"/>
      <c r="I365" s="102"/>
      <c r="J365" s="101"/>
      <c r="K365" s="102"/>
      <c r="L365" s="101"/>
      <c r="M365" s="102"/>
    </row>
    <row r="366" spans="1:13">
      <c r="A366" s="115"/>
      <c r="B366" s="115"/>
      <c r="C366" s="115"/>
      <c r="D366" s="96" t="s">
        <v>426</v>
      </c>
      <c r="F366" t="s">
        <v>65</v>
      </c>
      <c r="G366" s="95">
        <v>44561</v>
      </c>
      <c r="H366" s="101">
        <v>34.6132211708955</v>
      </c>
      <c r="I366" s="102">
        <v>33.532868484328297</v>
      </c>
      <c r="J366" s="101">
        <v>35.571970040298503</v>
      </c>
      <c r="K366" s="102">
        <v>33.152931723134301</v>
      </c>
      <c r="L366" s="101">
        <v>30.552479561194001</v>
      </c>
      <c r="M366" s="102"/>
    </row>
    <row r="367" spans="1:13">
      <c r="A367" s="115"/>
      <c r="B367" s="115"/>
      <c r="C367" s="115"/>
      <c r="D367" s="96" t="s">
        <v>427</v>
      </c>
      <c r="G367" s="95"/>
      <c r="H367" s="101"/>
      <c r="I367" s="102"/>
      <c r="J367" s="101"/>
      <c r="K367" s="102"/>
      <c r="L367" s="101"/>
      <c r="M367" s="102"/>
    </row>
    <row r="368" spans="1:13">
      <c r="A368" s="115" t="s">
        <v>236</v>
      </c>
      <c r="B368" s="115" t="s">
        <v>237</v>
      </c>
      <c r="C368" s="115" t="s">
        <v>238</v>
      </c>
      <c r="D368" s="96" t="s">
        <v>420</v>
      </c>
      <c r="F368" t="s">
        <v>438</v>
      </c>
      <c r="G368" s="95">
        <v>44561</v>
      </c>
      <c r="H368" s="101">
        <v>10.1264200928455</v>
      </c>
      <c r="I368" s="102">
        <v>11.1203926606529</v>
      </c>
      <c r="J368" s="101">
        <v>11.1870425101908</v>
      </c>
      <c r="K368" s="102">
        <v>10.549571530444201</v>
      </c>
      <c r="L368" s="101">
        <v>10.831472549502299</v>
      </c>
      <c r="M368" s="102"/>
    </row>
    <row r="369" spans="1:13">
      <c r="A369" s="115"/>
      <c r="B369" s="115"/>
      <c r="C369" s="115"/>
      <c r="D369" s="96" t="s">
        <v>421</v>
      </c>
      <c r="E369" t="s">
        <v>422</v>
      </c>
      <c r="F369" t="s">
        <v>438</v>
      </c>
      <c r="G369" s="95">
        <v>44561</v>
      </c>
      <c r="H369" s="101">
        <v>0</v>
      </c>
      <c r="I369" s="102">
        <v>0</v>
      </c>
      <c r="J369" s="101">
        <v>0</v>
      </c>
      <c r="K369" s="102">
        <v>0</v>
      </c>
      <c r="L369" s="101">
        <v>0</v>
      </c>
      <c r="M369" s="102"/>
    </row>
    <row r="370" spans="1:13">
      <c r="A370" s="115"/>
      <c r="B370" s="115"/>
      <c r="C370" s="115"/>
      <c r="D370" s="96" t="s">
        <v>423</v>
      </c>
      <c r="E370" t="s">
        <v>422</v>
      </c>
      <c r="F370" t="s">
        <v>438</v>
      </c>
      <c r="G370" s="95">
        <v>44561</v>
      </c>
      <c r="H370" s="101">
        <v>10.1264200928455</v>
      </c>
      <c r="I370" s="102">
        <v>11.1203926606529</v>
      </c>
      <c r="J370" s="101">
        <v>11.1870425101908</v>
      </c>
      <c r="K370" s="102">
        <v>10.549571530444201</v>
      </c>
      <c r="L370" s="101">
        <v>10.831472549502299</v>
      </c>
      <c r="M370" s="102"/>
    </row>
    <row r="371" spans="1:13">
      <c r="A371" s="115"/>
      <c r="B371" s="115"/>
      <c r="C371" s="115"/>
      <c r="D371" s="96" t="s">
        <v>424</v>
      </c>
      <c r="E371" t="s">
        <v>425</v>
      </c>
      <c r="F371" t="s">
        <v>438</v>
      </c>
      <c r="G371" s="95">
        <v>44561</v>
      </c>
      <c r="H371" s="101"/>
      <c r="I371" s="102"/>
      <c r="J371" s="101"/>
      <c r="K371" s="102"/>
      <c r="L371" s="101"/>
      <c r="M371" s="102"/>
    </row>
    <row r="372" spans="1:13">
      <c r="A372" s="115"/>
      <c r="B372" s="115"/>
      <c r="C372" s="115"/>
      <c r="D372" s="96" t="s">
        <v>426</v>
      </c>
      <c r="F372" t="s">
        <v>65</v>
      </c>
      <c r="G372" s="95">
        <v>44561</v>
      </c>
      <c r="H372" s="101">
        <v>24.816709093617501</v>
      </c>
      <c r="I372" s="102">
        <v>25.543286224276802</v>
      </c>
      <c r="J372" s="101">
        <v>25.3295254644724</v>
      </c>
      <c r="K372" s="102">
        <v>25.6144668764736</v>
      </c>
      <c r="L372" s="101">
        <v>26.617025473167001</v>
      </c>
      <c r="M372" s="102"/>
    </row>
    <row r="373" spans="1:13">
      <c r="A373" s="115"/>
      <c r="B373" s="115"/>
      <c r="C373" s="115"/>
      <c r="D373" s="96" t="s">
        <v>427</v>
      </c>
      <c r="G373" s="95"/>
      <c r="H373" s="101"/>
      <c r="I373" s="102"/>
      <c r="J373" s="101"/>
      <c r="K373" s="102"/>
      <c r="L373" s="101"/>
      <c r="M373" s="102"/>
    </row>
    <row r="374" spans="1:13">
      <c r="A374" s="115" t="s">
        <v>239</v>
      </c>
      <c r="B374" s="115" t="s">
        <v>240</v>
      </c>
      <c r="C374" s="115" t="s">
        <v>241</v>
      </c>
      <c r="D374" s="96" t="s">
        <v>420</v>
      </c>
      <c r="F374" t="s">
        <v>438</v>
      </c>
      <c r="G374" s="95">
        <v>44561</v>
      </c>
      <c r="H374" s="101">
        <v>5.9896601061833996</v>
      </c>
      <c r="I374" s="102">
        <v>5.9839268728476602</v>
      </c>
      <c r="J374" s="101">
        <v>6.0355401320321702</v>
      </c>
      <c r="K374" s="102">
        <v>7.6219275866474101</v>
      </c>
      <c r="L374" s="101">
        <v>6.2495578398509801</v>
      </c>
      <c r="M374" s="102"/>
    </row>
    <row r="375" spans="1:13">
      <c r="A375" s="115"/>
      <c r="B375" s="115"/>
      <c r="C375" s="115"/>
      <c r="D375" s="96" t="s">
        <v>421</v>
      </c>
      <c r="E375" t="s">
        <v>422</v>
      </c>
      <c r="F375" t="s">
        <v>438</v>
      </c>
      <c r="G375" s="95">
        <v>44561</v>
      </c>
      <c r="H375" s="101">
        <v>0</v>
      </c>
      <c r="I375" s="102">
        <v>0</v>
      </c>
      <c r="J375" s="101">
        <v>0</v>
      </c>
      <c r="K375" s="102">
        <v>0</v>
      </c>
      <c r="L375" s="101">
        <v>0</v>
      </c>
      <c r="M375" s="102"/>
    </row>
    <row r="376" spans="1:13">
      <c r="A376" s="115"/>
      <c r="B376" s="115"/>
      <c r="C376" s="115"/>
      <c r="D376" s="96" t="s">
        <v>423</v>
      </c>
      <c r="E376" t="s">
        <v>422</v>
      </c>
      <c r="F376" t="s">
        <v>438</v>
      </c>
      <c r="G376" s="95">
        <v>44561</v>
      </c>
      <c r="H376" s="101">
        <v>5.9896601061833996</v>
      </c>
      <c r="I376" s="102">
        <v>5.9839268728476602</v>
      </c>
      <c r="J376" s="101">
        <v>6.0355401320321702</v>
      </c>
      <c r="K376" s="102">
        <v>7.6219275866474101</v>
      </c>
      <c r="L376" s="101">
        <v>6.2495578398509801</v>
      </c>
      <c r="M376" s="102"/>
    </row>
    <row r="377" spans="1:13">
      <c r="A377" s="115"/>
      <c r="B377" s="115"/>
      <c r="C377" s="115"/>
      <c r="D377" s="96" t="s">
        <v>424</v>
      </c>
      <c r="E377" t="s">
        <v>425</v>
      </c>
      <c r="F377" t="s">
        <v>438</v>
      </c>
      <c r="G377" s="95">
        <v>44561</v>
      </c>
      <c r="H377" s="101"/>
      <c r="I377" s="102"/>
      <c r="J377" s="101"/>
      <c r="K377" s="102"/>
      <c r="L377" s="101"/>
      <c r="M377" s="102"/>
    </row>
    <row r="378" spans="1:13">
      <c r="A378" s="115"/>
      <c r="B378" s="115"/>
      <c r="C378" s="115"/>
      <c r="D378" s="96" t="s">
        <v>426</v>
      </c>
      <c r="F378" t="s">
        <v>65</v>
      </c>
      <c r="G378" s="95">
        <v>44561</v>
      </c>
      <c r="H378" s="101">
        <v>13.0388771586</v>
      </c>
      <c r="I378" s="102">
        <v>13.1581340554</v>
      </c>
      <c r="J378" s="101">
        <v>13.925387108697</v>
      </c>
      <c r="K378" s="102">
        <v>15.800690788500001</v>
      </c>
      <c r="L378" s="101">
        <v>14.4241320008</v>
      </c>
      <c r="M378" s="102"/>
    </row>
    <row r="379" spans="1:13">
      <c r="A379" s="115"/>
      <c r="B379" s="115"/>
      <c r="C379" s="115"/>
      <c r="D379" s="96" t="s">
        <v>427</v>
      </c>
      <c r="G379" s="95"/>
      <c r="H379" s="101"/>
      <c r="I379" s="102"/>
      <c r="J379" s="101"/>
      <c r="K379" s="102"/>
      <c r="L379" s="101"/>
      <c r="M379" s="102"/>
    </row>
    <row r="380" spans="1:13">
      <c r="A380" s="115" t="s">
        <v>242</v>
      </c>
      <c r="B380" s="115" t="s">
        <v>243</v>
      </c>
      <c r="C380" s="115" t="s">
        <v>244</v>
      </c>
      <c r="D380" s="96" t="s">
        <v>420</v>
      </c>
      <c r="F380" t="s">
        <v>438</v>
      </c>
      <c r="G380" s="95">
        <v>44561</v>
      </c>
      <c r="H380" s="101">
        <v>11.7569055157382</v>
      </c>
      <c r="I380" s="102">
        <v>10.497003363215899</v>
      </c>
      <c r="J380" s="101">
        <v>11.8664996455886</v>
      </c>
      <c r="K380" s="102">
        <v>11.5717537423113</v>
      </c>
      <c r="L380" s="101">
        <v>8.2013432159027992</v>
      </c>
      <c r="M380" s="102"/>
    </row>
    <row r="381" spans="1:13">
      <c r="A381" s="115"/>
      <c r="B381" s="115"/>
      <c r="C381" s="115"/>
      <c r="D381" s="96" t="s">
        <v>421</v>
      </c>
      <c r="E381" t="s">
        <v>422</v>
      </c>
      <c r="F381" t="s">
        <v>438</v>
      </c>
      <c r="G381" s="95">
        <v>44561</v>
      </c>
      <c r="H381" s="101">
        <v>0</v>
      </c>
      <c r="I381" s="102">
        <v>0</v>
      </c>
      <c r="J381" s="101">
        <v>0</v>
      </c>
      <c r="K381" s="102">
        <v>0</v>
      </c>
      <c r="L381" s="101">
        <v>0</v>
      </c>
      <c r="M381" s="102"/>
    </row>
    <row r="382" spans="1:13">
      <c r="A382" s="115"/>
      <c r="B382" s="115"/>
      <c r="C382" s="115"/>
      <c r="D382" s="96" t="s">
        <v>423</v>
      </c>
      <c r="E382" t="s">
        <v>422</v>
      </c>
      <c r="F382" t="s">
        <v>438</v>
      </c>
      <c r="G382" s="95">
        <v>44561</v>
      </c>
      <c r="H382" s="101">
        <v>11.7569055157382</v>
      </c>
      <c r="I382" s="102">
        <v>10.497003363215899</v>
      </c>
      <c r="J382" s="101">
        <v>11.8664996455886</v>
      </c>
      <c r="K382" s="102">
        <v>11.5717537423113</v>
      </c>
      <c r="L382" s="101">
        <v>8.2013432159027992</v>
      </c>
      <c r="M382" s="102"/>
    </row>
    <row r="383" spans="1:13">
      <c r="A383" s="115"/>
      <c r="B383" s="115"/>
      <c r="C383" s="115"/>
      <c r="D383" s="96" t="s">
        <v>424</v>
      </c>
      <c r="E383" t="s">
        <v>425</v>
      </c>
      <c r="F383" t="s">
        <v>438</v>
      </c>
      <c r="G383" s="95">
        <v>44561</v>
      </c>
      <c r="H383" s="101"/>
      <c r="I383" s="102"/>
      <c r="J383" s="101"/>
      <c r="K383" s="102"/>
      <c r="L383" s="101"/>
      <c r="M383" s="102"/>
    </row>
    <row r="384" spans="1:13">
      <c r="A384" s="115"/>
      <c r="B384" s="115"/>
      <c r="C384" s="115"/>
      <c r="D384" s="96" t="s">
        <v>426</v>
      </c>
      <c r="F384" t="s">
        <v>65</v>
      </c>
      <c r="G384" s="95">
        <v>44561</v>
      </c>
      <c r="H384" s="101">
        <v>51.638514609600001</v>
      </c>
      <c r="I384" s="102">
        <v>51.196017137600002</v>
      </c>
      <c r="J384" s="101">
        <v>53.823207085</v>
      </c>
      <c r="K384" s="102">
        <v>53.4572160069999</v>
      </c>
      <c r="L384" s="101">
        <v>49.809330486083802</v>
      </c>
      <c r="M384" s="102"/>
    </row>
    <row r="385" spans="1:13">
      <c r="A385" s="115"/>
      <c r="B385" s="115"/>
      <c r="C385" s="115"/>
      <c r="D385" s="96" t="s">
        <v>427</v>
      </c>
      <c r="G385" s="95"/>
      <c r="H385" s="101"/>
      <c r="I385" s="102"/>
      <c r="J385" s="101"/>
      <c r="K385" s="102"/>
      <c r="L385" s="101"/>
      <c r="M385" s="102"/>
    </row>
    <row r="386" spans="1:13">
      <c r="A386" s="115" t="s">
        <v>245</v>
      </c>
      <c r="B386" s="115" t="s">
        <v>246</v>
      </c>
      <c r="C386" s="115" t="s">
        <v>247</v>
      </c>
      <c r="D386" s="96" t="s">
        <v>420</v>
      </c>
      <c r="F386" t="s">
        <v>438</v>
      </c>
      <c r="G386" s="95">
        <v>44561</v>
      </c>
      <c r="H386" s="101"/>
      <c r="I386" s="102"/>
      <c r="J386" s="101">
        <v>54.210290827740486</v>
      </c>
      <c r="K386" s="102">
        <v>52</v>
      </c>
      <c r="L386" s="101">
        <v>50.2</v>
      </c>
      <c r="M386" s="102">
        <v>52.3</v>
      </c>
    </row>
    <row r="387" spans="1:13">
      <c r="A387" s="115"/>
      <c r="B387" s="115"/>
      <c r="C387" s="115"/>
      <c r="D387" s="96" t="s">
        <v>421</v>
      </c>
      <c r="E387" t="s">
        <v>422</v>
      </c>
      <c r="F387" t="s">
        <v>438</v>
      </c>
      <c r="G387" s="95">
        <v>44561</v>
      </c>
      <c r="H387" s="101"/>
      <c r="I387" s="102"/>
      <c r="J387" s="101">
        <v>19</v>
      </c>
      <c r="K387" s="102">
        <v>19</v>
      </c>
      <c r="L387" s="101">
        <v>18.100000000000001</v>
      </c>
      <c r="M387" s="102">
        <v>15.5</v>
      </c>
    </row>
    <row r="388" spans="1:13">
      <c r="A388" s="115"/>
      <c r="B388" s="115"/>
      <c r="C388" s="115"/>
      <c r="D388" s="96" t="s">
        <v>423</v>
      </c>
      <c r="E388" t="s">
        <v>422</v>
      </c>
      <c r="F388" t="s">
        <v>438</v>
      </c>
      <c r="G388" s="95">
        <v>44561</v>
      </c>
      <c r="H388" s="101"/>
      <c r="I388" s="102"/>
      <c r="J388" s="101">
        <v>73.210290827740494</v>
      </c>
      <c r="K388" s="102">
        <v>71</v>
      </c>
      <c r="L388" s="101">
        <v>68.300000000000011</v>
      </c>
      <c r="M388" s="102">
        <v>67.8</v>
      </c>
    </row>
    <row r="389" spans="1:13">
      <c r="A389" s="115"/>
      <c r="B389" s="115"/>
      <c r="C389" s="115"/>
      <c r="D389" s="96" t="s">
        <v>424</v>
      </c>
      <c r="E389" t="s">
        <v>425</v>
      </c>
      <c r="F389" t="s">
        <v>438</v>
      </c>
      <c r="G389" s="95">
        <v>44561</v>
      </c>
      <c r="H389" s="101"/>
      <c r="I389" s="102"/>
      <c r="J389" s="101">
        <v>2134.52</v>
      </c>
      <c r="K389" s="102">
        <v>2071.7399999999998</v>
      </c>
      <c r="L389" s="101">
        <v>1946.18</v>
      </c>
      <c r="M389" s="102">
        <v>1930.4849999999999</v>
      </c>
    </row>
    <row r="390" spans="1:13">
      <c r="A390" s="115"/>
      <c r="B390" s="115"/>
      <c r="C390" s="115"/>
      <c r="D390" s="96" t="s">
        <v>426</v>
      </c>
      <c r="F390" t="s">
        <v>188</v>
      </c>
      <c r="G390" s="95">
        <v>44561</v>
      </c>
      <c r="H390" s="101"/>
      <c r="I390" s="102"/>
      <c r="J390" s="101">
        <v>4964</v>
      </c>
      <c r="K390" s="102">
        <v>4818</v>
      </c>
      <c r="L390" s="101">
        <v>4526</v>
      </c>
      <c r="M390" s="102">
        <v>4489.5</v>
      </c>
    </row>
    <row r="391" spans="1:13">
      <c r="A391" s="115"/>
      <c r="B391" s="115"/>
      <c r="C391" s="115"/>
      <c r="D391" s="96" t="s">
        <v>427</v>
      </c>
      <c r="G391" s="95"/>
      <c r="H391" s="101"/>
      <c r="I391" s="102"/>
      <c r="J391" s="101"/>
      <c r="K391" s="102"/>
      <c r="L391" s="101"/>
      <c r="M391" s="102"/>
    </row>
    <row r="392" spans="1:13">
      <c r="A392" s="115" t="s">
        <v>249</v>
      </c>
      <c r="B392" s="115" t="s">
        <v>250</v>
      </c>
      <c r="C392" s="115" t="s">
        <v>251</v>
      </c>
      <c r="D392" s="96" t="s">
        <v>420</v>
      </c>
      <c r="F392" t="s">
        <v>438</v>
      </c>
      <c r="G392" s="95">
        <v>44561</v>
      </c>
      <c r="H392" s="101">
        <v>0.93325631030505496</v>
      </c>
      <c r="I392" s="102">
        <v>1.0145733542115101</v>
      </c>
      <c r="J392" s="101">
        <v>0.78712423475055404</v>
      </c>
      <c r="K392" s="102">
        <v>0.49535753618873202</v>
      </c>
      <c r="L392" s="101">
        <v>0.81038145236854997</v>
      </c>
      <c r="M392" s="102"/>
    </row>
    <row r="393" spans="1:13">
      <c r="A393" s="115"/>
      <c r="B393" s="115"/>
      <c r="C393" s="115"/>
      <c r="D393" s="96" t="s">
        <v>421</v>
      </c>
      <c r="E393" t="s">
        <v>422</v>
      </c>
      <c r="F393" t="s">
        <v>438</v>
      </c>
      <c r="G393" s="95">
        <v>44561</v>
      </c>
      <c r="H393" s="101">
        <v>0</v>
      </c>
      <c r="I393" s="102">
        <v>0</v>
      </c>
      <c r="J393" s="101">
        <v>0</v>
      </c>
      <c r="K393" s="102">
        <v>0</v>
      </c>
      <c r="L393" s="101">
        <v>0</v>
      </c>
      <c r="M393" s="102"/>
    </row>
    <row r="394" spans="1:13">
      <c r="A394" s="115"/>
      <c r="B394" s="115"/>
      <c r="C394" s="115"/>
      <c r="D394" s="96" t="s">
        <v>423</v>
      </c>
      <c r="E394" t="s">
        <v>422</v>
      </c>
      <c r="F394" t="s">
        <v>438</v>
      </c>
      <c r="G394" s="95">
        <v>44561</v>
      </c>
      <c r="H394" s="101">
        <v>0.93325631030505496</v>
      </c>
      <c r="I394" s="102">
        <v>1.0145733542115101</v>
      </c>
      <c r="J394" s="101">
        <v>0.78712423475055404</v>
      </c>
      <c r="K394" s="102">
        <v>0.49535753618873202</v>
      </c>
      <c r="L394" s="101">
        <v>0.81038145236854997</v>
      </c>
      <c r="M394" s="102"/>
    </row>
    <row r="395" spans="1:13">
      <c r="A395" s="115"/>
      <c r="B395" s="115"/>
      <c r="C395" s="115"/>
      <c r="D395" s="96" t="s">
        <v>424</v>
      </c>
      <c r="E395" t="s">
        <v>425</v>
      </c>
      <c r="F395" t="s">
        <v>438</v>
      </c>
      <c r="G395" s="95">
        <v>44561</v>
      </c>
      <c r="H395" s="101"/>
      <c r="I395" s="102"/>
      <c r="J395" s="101"/>
      <c r="K395" s="102"/>
      <c r="L395" s="101"/>
      <c r="M395" s="102"/>
    </row>
    <row r="396" spans="1:13">
      <c r="A396" s="115"/>
      <c r="B396" s="115"/>
      <c r="C396" s="115"/>
      <c r="D396" s="96" t="s">
        <v>426</v>
      </c>
      <c r="F396" t="s">
        <v>65</v>
      </c>
      <c r="G396" s="95">
        <v>44561</v>
      </c>
      <c r="H396" s="101">
        <v>2.4300410000000001</v>
      </c>
      <c r="I396" s="102">
        <v>2.6489569999999998</v>
      </c>
      <c r="J396" s="101">
        <v>2.03335</v>
      </c>
      <c r="K396" s="102">
        <v>1.263015</v>
      </c>
      <c r="L396" s="101">
        <v>2.1170110000000002</v>
      </c>
      <c r="M396" s="102"/>
    </row>
    <row r="397" spans="1:13">
      <c r="A397" s="115"/>
      <c r="B397" s="115"/>
      <c r="C397" s="115"/>
      <c r="D397" s="96" t="s">
        <v>427</v>
      </c>
      <c r="G397" s="95"/>
      <c r="H397" s="101"/>
      <c r="I397" s="102"/>
      <c r="J397" s="101"/>
      <c r="K397" s="102"/>
      <c r="L397" s="101"/>
      <c r="M397" s="102"/>
    </row>
    <row r="398" spans="1:13">
      <c r="A398" s="115" t="s">
        <v>252</v>
      </c>
      <c r="B398" s="115" t="s">
        <v>253</v>
      </c>
      <c r="C398" s="115" t="s">
        <v>254</v>
      </c>
      <c r="D398" s="96" t="s">
        <v>420</v>
      </c>
      <c r="F398" t="s">
        <v>438</v>
      </c>
      <c r="G398" s="95">
        <v>44561</v>
      </c>
      <c r="H398" s="101">
        <v>68</v>
      </c>
      <c r="I398" s="102">
        <v>73</v>
      </c>
      <c r="J398" s="101">
        <v>71</v>
      </c>
      <c r="K398" s="102">
        <v>70</v>
      </c>
      <c r="L398" s="101">
        <v>63</v>
      </c>
      <c r="M398" s="102">
        <v>60</v>
      </c>
    </row>
    <row r="399" spans="1:13">
      <c r="A399" s="115"/>
      <c r="B399" s="115"/>
      <c r="C399" s="115"/>
      <c r="D399" s="96" t="s">
        <v>421</v>
      </c>
      <c r="E399" t="s">
        <v>422</v>
      </c>
      <c r="F399" t="s">
        <v>438</v>
      </c>
      <c r="G399" s="95">
        <v>44561</v>
      </c>
      <c r="H399" s="101"/>
      <c r="I399" s="102">
        <v>12</v>
      </c>
      <c r="J399" s="101">
        <v>11</v>
      </c>
      <c r="K399" s="102">
        <v>10</v>
      </c>
      <c r="L399" s="101">
        <v>8</v>
      </c>
      <c r="M399" s="102">
        <v>8</v>
      </c>
    </row>
    <row r="400" spans="1:13">
      <c r="A400" s="115"/>
      <c r="B400" s="115"/>
      <c r="C400" s="115"/>
      <c r="D400" s="96" t="s">
        <v>423</v>
      </c>
      <c r="E400" t="s">
        <v>422</v>
      </c>
      <c r="F400" t="s">
        <v>438</v>
      </c>
      <c r="G400" s="95">
        <v>44561</v>
      </c>
      <c r="H400" s="101">
        <v>68</v>
      </c>
      <c r="I400" s="102">
        <v>85</v>
      </c>
      <c r="J400" s="101">
        <v>82</v>
      </c>
      <c r="K400" s="102">
        <v>80</v>
      </c>
      <c r="L400" s="101">
        <v>71</v>
      </c>
      <c r="M400" s="102">
        <v>68</v>
      </c>
    </row>
    <row r="401" spans="1:13">
      <c r="A401" s="115"/>
      <c r="B401" s="115"/>
      <c r="C401" s="115"/>
      <c r="D401" s="96" t="s">
        <v>424</v>
      </c>
      <c r="E401" t="s">
        <v>425</v>
      </c>
      <c r="F401" t="s">
        <v>438</v>
      </c>
      <c r="G401" s="95">
        <v>44561</v>
      </c>
      <c r="H401" s="101">
        <v>2909</v>
      </c>
      <c r="I401" s="102">
        <v>2909</v>
      </c>
      <c r="J401" s="101">
        <v>2988</v>
      </c>
      <c r="K401" s="102">
        <v>2823</v>
      </c>
      <c r="L401" s="101">
        <v>2358</v>
      </c>
      <c r="M401" s="102">
        <v>2309</v>
      </c>
    </row>
    <row r="402" spans="1:13">
      <c r="A402" s="115"/>
      <c r="B402" s="115"/>
      <c r="C402" s="115"/>
      <c r="D402" s="96" t="s">
        <v>426</v>
      </c>
      <c r="F402" t="s">
        <v>255</v>
      </c>
      <c r="G402" s="95">
        <v>44561</v>
      </c>
      <c r="H402" s="101">
        <v>21.44</v>
      </c>
      <c r="I402" s="102">
        <v>21.44</v>
      </c>
      <c r="J402" s="101">
        <v>22</v>
      </c>
      <c r="K402" s="102">
        <v>21.05</v>
      </c>
      <c r="L402" s="101">
        <v>18.399999999999999</v>
      </c>
      <c r="M402" s="102">
        <v>17.89</v>
      </c>
    </row>
    <row r="403" spans="1:13">
      <c r="A403" s="115"/>
      <c r="B403" s="115"/>
      <c r="C403" s="115"/>
      <c r="D403" s="96" t="s">
        <v>427</v>
      </c>
      <c r="G403" s="95"/>
      <c r="H403" s="101"/>
      <c r="I403" s="102"/>
      <c r="J403" s="101"/>
      <c r="K403" s="102"/>
      <c r="L403" s="101"/>
      <c r="M403" s="102"/>
    </row>
    <row r="404" spans="1:13">
      <c r="A404" s="115" t="s">
        <v>256</v>
      </c>
      <c r="B404" s="115" t="s">
        <v>257</v>
      </c>
      <c r="C404" s="115" t="s">
        <v>258</v>
      </c>
      <c r="D404" s="96" t="s">
        <v>420</v>
      </c>
      <c r="F404" t="s">
        <v>438</v>
      </c>
      <c r="G404" s="95">
        <v>44561</v>
      </c>
      <c r="H404" s="101"/>
      <c r="I404" s="102"/>
      <c r="J404" s="101"/>
      <c r="K404" s="102">
        <v>125.68</v>
      </c>
      <c r="L404" s="101">
        <v>128.58000000000001</v>
      </c>
      <c r="M404" s="102">
        <v>148.38</v>
      </c>
    </row>
    <row r="405" spans="1:13">
      <c r="A405" s="115"/>
      <c r="B405" s="115"/>
      <c r="C405" s="115"/>
      <c r="D405" s="96" t="s">
        <v>421</v>
      </c>
      <c r="E405" t="s">
        <v>422</v>
      </c>
      <c r="F405" t="s">
        <v>438</v>
      </c>
      <c r="G405" s="95">
        <v>44561</v>
      </c>
      <c r="H405" s="101"/>
      <c r="I405" s="102"/>
      <c r="J405" s="101"/>
      <c r="K405" s="102">
        <v>45.01</v>
      </c>
      <c r="L405" s="101">
        <v>42.36</v>
      </c>
      <c r="M405" s="102">
        <v>24.18</v>
      </c>
    </row>
    <row r="406" spans="1:13">
      <c r="A406" s="115"/>
      <c r="B406" s="115"/>
      <c r="C406" s="115"/>
      <c r="D406" s="96" t="s">
        <v>423</v>
      </c>
      <c r="E406" t="s">
        <v>422</v>
      </c>
      <c r="F406" t="s">
        <v>438</v>
      </c>
      <c r="G406" s="95">
        <v>44561</v>
      </c>
      <c r="H406" s="101"/>
      <c r="I406" s="102"/>
      <c r="J406" s="101"/>
      <c r="K406" s="102">
        <v>170.69</v>
      </c>
      <c r="L406" s="101">
        <v>170.94</v>
      </c>
      <c r="M406" s="102">
        <v>172.56</v>
      </c>
    </row>
    <row r="407" spans="1:13">
      <c r="A407" s="115"/>
      <c r="B407" s="115"/>
      <c r="C407" s="115"/>
      <c r="D407" s="96" t="s">
        <v>424</v>
      </c>
      <c r="E407" t="s">
        <v>425</v>
      </c>
      <c r="F407" t="s">
        <v>438</v>
      </c>
      <c r="G407" s="95">
        <v>44561</v>
      </c>
      <c r="H407" s="101"/>
      <c r="I407" s="102"/>
      <c r="J407" s="101"/>
      <c r="K407" s="102">
        <v>197.3356</v>
      </c>
      <c r="L407" s="101">
        <v>197.37860000000001</v>
      </c>
      <c r="M407" s="102">
        <v>206.28819999999999</v>
      </c>
    </row>
    <row r="408" spans="1:13">
      <c r="A408" s="115"/>
      <c r="B408" s="115"/>
      <c r="C408" s="115"/>
      <c r="D408" s="96" t="s">
        <v>426</v>
      </c>
      <c r="F408" t="s">
        <v>188</v>
      </c>
      <c r="G408" s="95">
        <v>44561</v>
      </c>
      <c r="H408" s="101"/>
      <c r="I408" s="102"/>
      <c r="J408" s="101"/>
      <c r="K408" s="102">
        <v>458.92</v>
      </c>
      <c r="L408" s="101">
        <v>459.02</v>
      </c>
      <c r="M408" s="102">
        <v>479.74</v>
      </c>
    </row>
    <row r="409" spans="1:13">
      <c r="A409" s="115"/>
      <c r="B409" s="115"/>
      <c r="C409" s="115"/>
      <c r="D409" s="96" t="s">
        <v>427</v>
      </c>
      <c r="G409" s="95"/>
      <c r="H409" s="101"/>
      <c r="I409" s="102"/>
      <c r="J409" s="101"/>
      <c r="K409" s="102"/>
      <c r="L409" s="101"/>
      <c r="M409" s="102"/>
    </row>
    <row r="410" spans="1:13">
      <c r="A410" s="115" t="s">
        <v>260</v>
      </c>
      <c r="B410" s="115" t="s">
        <v>261</v>
      </c>
      <c r="C410" s="115" t="s">
        <v>262</v>
      </c>
      <c r="D410" s="96" t="s">
        <v>420</v>
      </c>
      <c r="F410" t="s">
        <v>437</v>
      </c>
      <c r="G410" s="95">
        <v>44561</v>
      </c>
      <c r="H410" s="101"/>
      <c r="I410" s="102">
        <v>10515907</v>
      </c>
      <c r="J410" s="101">
        <v>10484559</v>
      </c>
      <c r="K410" s="102">
        <v>10117596</v>
      </c>
      <c r="L410" s="101">
        <v>9703851</v>
      </c>
      <c r="M410" s="102">
        <v>8521728.0528707132</v>
      </c>
    </row>
    <row r="411" spans="1:13">
      <c r="A411" s="115"/>
      <c r="B411" s="115"/>
      <c r="C411" s="115"/>
      <c r="D411" s="96" t="s">
        <v>421</v>
      </c>
      <c r="E411" t="s">
        <v>422</v>
      </c>
      <c r="F411" t="s">
        <v>437</v>
      </c>
      <c r="G411" s="95">
        <v>44561</v>
      </c>
      <c r="H411" s="101"/>
      <c r="I411" s="102">
        <v>2387301</v>
      </c>
      <c r="J411" s="101">
        <v>2480244</v>
      </c>
      <c r="K411" s="102">
        <v>2400554</v>
      </c>
      <c r="L411" s="101">
        <v>2389387</v>
      </c>
      <c r="M411" s="102">
        <v>2378271.9471292882</v>
      </c>
    </row>
    <row r="412" spans="1:13">
      <c r="A412" s="115"/>
      <c r="B412" s="115"/>
      <c r="C412" s="115"/>
      <c r="D412" s="96" t="s">
        <v>423</v>
      </c>
      <c r="E412" t="s">
        <v>422</v>
      </c>
      <c r="F412" t="s">
        <v>437</v>
      </c>
      <c r="G412" s="95">
        <v>44561</v>
      </c>
      <c r="H412" s="101"/>
      <c r="I412" s="102">
        <v>12903208</v>
      </c>
      <c r="J412" s="101">
        <v>12964803</v>
      </c>
      <c r="K412" s="102">
        <v>12518150</v>
      </c>
      <c r="L412" s="101">
        <v>12093238</v>
      </c>
      <c r="M412" s="102">
        <v>10900000</v>
      </c>
    </row>
    <row r="413" spans="1:13">
      <c r="A413" s="115"/>
      <c r="B413" s="115"/>
      <c r="C413" s="115"/>
      <c r="D413" s="96" t="s">
        <v>424</v>
      </c>
      <c r="E413" t="s">
        <v>425</v>
      </c>
      <c r="F413" t="s">
        <v>437</v>
      </c>
      <c r="G413" s="95">
        <v>44561</v>
      </c>
      <c r="H413" s="101"/>
      <c r="I413" s="102">
        <v>151800000</v>
      </c>
      <c r="J413" s="101">
        <v>151800000</v>
      </c>
      <c r="K413" s="102">
        <v>151800000</v>
      </c>
      <c r="L413" s="101">
        <v>131470000</v>
      </c>
      <c r="M413" s="102">
        <v>118350000</v>
      </c>
    </row>
    <row r="414" spans="1:13">
      <c r="A414" s="115"/>
      <c r="B414" s="115"/>
      <c r="C414" s="115"/>
      <c r="D414" s="96" t="s">
        <v>426</v>
      </c>
      <c r="F414" t="s">
        <v>263</v>
      </c>
      <c r="G414" s="95">
        <v>44561</v>
      </c>
      <c r="H414" s="101"/>
      <c r="I414" s="102">
        <v>353023255.81395352</v>
      </c>
      <c r="J414" s="101">
        <v>353023255.81395352</v>
      </c>
      <c r="K414" s="102">
        <v>353023255.81395352</v>
      </c>
      <c r="L414" s="101">
        <v>305744186.04651171</v>
      </c>
      <c r="M414" s="102">
        <v>329383720.93023258</v>
      </c>
    </row>
    <row r="415" spans="1:13">
      <c r="A415" s="115"/>
      <c r="B415" s="115"/>
      <c r="C415" s="115"/>
      <c r="D415" s="96" t="s">
        <v>427</v>
      </c>
      <c r="G415" s="95"/>
      <c r="H415" s="101"/>
      <c r="I415" s="102"/>
      <c r="J415" s="101"/>
      <c r="K415" s="102"/>
      <c r="L415" s="101"/>
      <c r="M415" s="102"/>
    </row>
    <row r="416" spans="1:13">
      <c r="A416" s="115" t="s">
        <v>264</v>
      </c>
      <c r="B416" s="115" t="s">
        <v>265</v>
      </c>
      <c r="C416" s="115" t="s">
        <v>266</v>
      </c>
      <c r="D416" s="96" t="s">
        <v>420</v>
      </c>
      <c r="F416" t="s">
        <v>438</v>
      </c>
      <c r="G416" s="95">
        <v>44561</v>
      </c>
      <c r="H416" s="101">
        <v>73.158060139100499</v>
      </c>
      <c r="I416" s="102">
        <v>68.701762309261795</v>
      </c>
      <c r="J416" s="101">
        <v>70.065115266754603</v>
      </c>
      <c r="K416" s="102">
        <v>63.436734029678099</v>
      </c>
      <c r="L416" s="101">
        <v>55.268400132395499</v>
      </c>
      <c r="M416" s="102"/>
    </row>
    <row r="417" spans="1:13">
      <c r="A417" s="115"/>
      <c r="B417" s="115"/>
      <c r="C417" s="115"/>
      <c r="D417" s="96" t="s">
        <v>421</v>
      </c>
      <c r="E417" t="s">
        <v>422</v>
      </c>
      <c r="F417" t="s">
        <v>438</v>
      </c>
      <c r="G417" s="95">
        <v>44561</v>
      </c>
      <c r="H417" s="101">
        <v>0</v>
      </c>
      <c r="I417" s="102">
        <v>0</v>
      </c>
      <c r="J417" s="101">
        <v>0</v>
      </c>
      <c r="K417" s="102">
        <v>0</v>
      </c>
      <c r="L417" s="101">
        <v>0</v>
      </c>
      <c r="M417" s="102"/>
    </row>
    <row r="418" spans="1:13">
      <c r="A418" s="115"/>
      <c r="B418" s="115"/>
      <c r="C418" s="115"/>
      <c r="D418" s="96" t="s">
        <v>423</v>
      </c>
      <c r="E418" t="s">
        <v>422</v>
      </c>
      <c r="F418" t="s">
        <v>438</v>
      </c>
      <c r="G418" s="95">
        <v>44561</v>
      </c>
      <c r="H418" s="101">
        <v>73.158060139100499</v>
      </c>
      <c r="I418" s="102">
        <v>68.701762309261795</v>
      </c>
      <c r="J418" s="101">
        <v>70.065115266754603</v>
      </c>
      <c r="K418" s="102">
        <v>63.436734029678099</v>
      </c>
      <c r="L418" s="101">
        <v>55.268400132395499</v>
      </c>
      <c r="M418" s="102"/>
    </row>
    <row r="419" spans="1:13">
      <c r="A419" s="115"/>
      <c r="B419" s="115"/>
      <c r="C419" s="115"/>
      <c r="D419" s="96" t="s">
        <v>424</v>
      </c>
      <c r="E419" t="s">
        <v>425</v>
      </c>
      <c r="F419" t="s">
        <v>438</v>
      </c>
      <c r="G419" s="95">
        <v>44561</v>
      </c>
      <c r="H419" s="101"/>
      <c r="I419" s="102"/>
      <c r="J419" s="101"/>
      <c r="K419" s="102"/>
      <c r="L419" s="101"/>
      <c r="M419" s="102"/>
    </row>
    <row r="420" spans="1:13">
      <c r="A420" s="115"/>
      <c r="B420" s="115"/>
      <c r="C420" s="115"/>
      <c r="D420" s="96" t="s">
        <v>426</v>
      </c>
      <c r="F420" t="s">
        <v>65</v>
      </c>
      <c r="G420" s="95">
        <v>44561</v>
      </c>
      <c r="H420" s="101">
        <v>142.170798416672</v>
      </c>
      <c r="I420" s="102">
        <v>139.134164092411</v>
      </c>
      <c r="J420" s="101">
        <v>143.25452060572201</v>
      </c>
      <c r="K420" s="102">
        <v>139.142471613559</v>
      </c>
      <c r="L420" s="101">
        <v>133.66992427778101</v>
      </c>
      <c r="M420" s="102"/>
    </row>
    <row r="421" spans="1:13">
      <c r="A421" s="115"/>
      <c r="B421" s="115"/>
      <c r="C421" s="115"/>
      <c r="D421" s="96" t="s">
        <v>427</v>
      </c>
      <c r="G421" s="95"/>
      <c r="H421" s="101"/>
      <c r="I421" s="102"/>
      <c r="J421" s="101"/>
      <c r="K421" s="102"/>
      <c r="L421" s="101"/>
      <c r="M421" s="102"/>
    </row>
    <row r="422" spans="1:13">
      <c r="A422" s="115" t="s">
        <v>267</v>
      </c>
      <c r="B422" s="115" t="s">
        <v>268</v>
      </c>
      <c r="C422" s="115" t="s">
        <v>269</v>
      </c>
      <c r="D422" s="96" t="s">
        <v>420</v>
      </c>
      <c r="F422" t="s">
        <v>437</v>
      </c>
      <c r="G422" s="95">
        <v>44561</v>
      </c>
      <c r="H422" s="101">
        <v>3215942</v>
      </c>
      <c r="I422" s="102">
        <v>3215942</v>
      </c>
      <c r="J422" s="101">
        <v>3299883</v>
      </c>
      <c r="K422" s="102">
        <v>3145097</v>
      </c>
      <c r="L422" s="101">
        <v>3063829.9454545402</v>
      </c>
      <c r="M422" s="102"/>
    </row>
    <row r="423" spans="1:13">
      <c r="A423" s="115"/>
      <c r="B423" s="115"/>
      <c r="C423" s="115"/>
      <c r="D423" s="96" t="s">
        <v>421</v>
      </c>
      <c r="E423" t="s">
        <v>422</v>
      </c>
      <c r="F423" t="s">
        <v>437</v>
      </c>
      <c r="G423" s="95">
        <v>44561</v>
      </c>
      <c r="H423" s="101">
        <v>1700245</v>
      </c>
      <c r="I423" s="102">
        <v>1700245</v>
      </c>
      <c r="J423" s="101">
        <v>1863045</v>
      </c>
      <c r="K423" s="102">
        <v>1744669</v>
      </c>
      <c r="L423" s="101">
        <v>1694260.13636364</v>
      </c>
      <c r="M423" s="102"/>
    </row>
    <row r="424" spans="1:13">
      <c r="A424" s="115"/>
      <c r="B424" s="115"/>
      <c r="C424" s="115"/>
      <c r="D424" s="96" t="s">
        <v>423</v>
      </c>
      <c r="E424" t="s">
        <v>422</v>
      </c>
      <c r="F424" t="s">
        <v>437</v>
      </c>
      <c r="G424" s="95">
        <v>44561</v>
      </c>
      <c r="H424" s="101">
        <v>4916187</v>
      </c>
      <c r="I424" s="102">
        <v>4916187</v>
      </c>
      <c r="J424" s="101">
        <v>5162928</v>
      </c>
      <c r="K424" s="102">
        <v>4889766</v>
      </c>
      <c r="L424" s="101">
        <v>4758090.0818181802</v>
      </c>
      <c r="M424" s="102"/>
    </row>
    <row r="425" spans="1:13">
      <c r="A425" s="115"/>
      <c r="B425" s="115"/>
      <c r="C425" s="115"/>
      <c r="D425" s="96" t="s">
        <v>424</v>
      </c>
      <c r="E425" t="s">
        <v>425</v>
      </c>
      <c r="F425" t="s">
        <v>437</v>
      </c>
      <c r="G425" s="95">
        <v>44561</v>
      </c>
      <c r="H425" s="101"/>
      <c r="I425" s="102"/>
      <c r="J425" s="101"/>
      <c r="K425" s="102"/>
      <c r="L425" s="101"/>
      <c r="M425" s="102"/>
    </row>
    <row r="426" spans="1:13">
      <c r="A426" s="115"/>
      <c r="B426" s="115"/>
      <c r="C426" s="115"/>
      <c r="D426" s="96" t="s">
        <v>426</v>
      </c>
      <c r="F426" t="s">
        <v>102</v>
      </c>
      <c r="G426" s="95">
        <v>44561</v>
      </c>
      <c r="H426" s="101">
        <v>8529969</v>
      </c>
      <c r="I426" s="102">
        <v>8529969</v>
      </c>
      <c r="J426" s="101">
        <v>9074135</v>
      </c>
      <c r="K426" s="102">
        <v>8793160</v>
      </c>
      <c r="L426" s="101">
        <v>8925057.4000000004</v>
      </c>
      <c r="M426" s="102"/>
    </row>
    <row r="427" spans="1:13">
      <c r="A427" s="115"/>
      <c r="B427" s="115"/>
      <c r="C427" s="115"/>
      <c r="D427" s="96" t="s">
        <v>427</v>
      </c>
      <c r="G427" s="95"/>
      <c r="H427" s="101"/>
      <c r="I427" s="102"/>
      <c r="J427" s="101"/>
      <c r="K427" s="102"/>
      <c r="L427" s="101"/>
      <c r="M427" s="102"/>
    </row>
    <row r="428" spans="1:13">
      <c r="A428" s="115" t="s">
        <v>270</v>
      </c>
      <c r="B428" s="115" t="s">
        <v>271</v>
      </c>
      <c r="C428" s="115" t="s">
        <v>272</v>
      </c>
      <c r="D428" s="96" t="s">
        <v>420</v>
      </c>
      <c r="F428" t="s">
        <v>438</v>
      </c>
      <c r="G428" s="95">
        <v>44561</v>
      </c>
      <c r="H428" s="101">
        <v>0.376086646397781</v>
      </c>
      <c r="I428" s="102">
        <v>0.47113547279974</v>
      </c>
      <c r="J428" s="101">
        <v>0.71664363849399704</v>
      </c>
      <c r="K428" s="102">
        <v>0.58371024316223097</v>
      </c>
      <c r="L428" s="101">
        <v>0.54203648477180599</v>
      </c>
      <c r="M428" s="102"/>
    </row>
    <row r="429" spans="1:13">
      <c r="A429" s="115"/>
      <c r="B429" s="115"/>
      <c r="C429" s="115"/>
      <c r="D429" s="96" t="s">
        <v>421</v>
      </c>
      <c r="E429" t="s">
        <v>422</v>
      </c>
      <c r="F429" t="s">
        <v>438</v>
      </c>
      <c r="G429" s="95">
        <v>44561</v>
      </c>
      <c r="H429" s="101">
        <v>0</v>
      </c>
      <c r="I429" s="102">
        <v>0</v>
      </c>
      <c r="J429" s="101">
        <v>0</v>
      </c>
      <c r="K429" s="102">
        <v>0</v>
      </c>
      <c r="L429" s="101">
        <v>0</v>
      </c>
      <c r="M429" s="102"/>
    </row>
    <row r="430" spans="1:13">
      <c r="A430" s="115"/>
      <c r="B430" s="115"/>
      <c r="C430" s="115"/>
      <c r="D430" s="96" t="s">
        <v>423</v>
      </c>
      <c r="E430" t="s">
        <v>422</v>
      </c>
      <c r="F430" t="s">
        <v>438</v>
      </c>
      <c r="G430" s="95">
        <v>44561</v>
      </c>
      <c r="H430" s="101">
        <v>0.376086646397781</v>
      </c>
      <c r="I430" s="102">
        <v>0.47113547279974</v>
      </c>
      <c r="J430" s="101">
        <v>0.71664363849399704</v>
      </c>
      <c r="K430" s="102">
        <v>0.58371024316223097</v>
      </c>
      <c r="L430" s="101">
        <v>0.54203648477180599</v>
      </c>
      <c r="M430" s="102"/>
    </row>
    <row r="431" spans="1:13">
      <c r="A431" s="115"/>
      <c r="B431" s="115"/>
      <c r="C431" s="115"/>
      <c r="D431" s="96" t="s">
        <v>424</v>
      </c>
      <c r="E431" t="s">
        <v>425</v>
      </c>
      <c r="F431" t="s">
        <v>438</v>
      </c>
      <c r="G431" s="95">
        <v>44561</v>
      </c>
      <c r="H431" s="101"/>
      <c r="I431" s="102"/>
      <c r="J431" s="101"/>
      <c r="K431" s="102"/>
      <c r="L431" s="101"/>
      <c r="M431" s="102"/>
    </row>
    <row r="432" spans="1:13">
      <c r="A432" s="115"/>
      <c r="B432" s="115"/>
      <c r="C432" s="115"/>
      <c r="D432" s="96" t="s">
        <v>426</v>
      </c>
      <c r="F432" t="s">
        <v>65</v>
      </c>
      <c r="G432" s="95">
        <v>44561</v>
      </c>
      <c r="H432" s="101">
        <v>2.0033089999999998</v>
      </c>
      <c r="I432" s="102">
        <v>1.0567139999999999</v>
      </c>
      <c r="J432" s="101">
        <v>1.51502</v>
      </c>
      <c r="K432" s="102">
        <v>1.2483029999999999</v>
      </c>
      <c r="L432" s="101">
        <v>1.2963249999999999</v>
      </c>
      <c r="M432" s="102"/>
    </row>
    <row r="433" spans="1:13">
      <c r="A433" s="115"/>
      <c r="B433" s="115"/>
      <c r="C433" s="115"/>
      <c r="D433" s="96" t="s">
        <v>427</v>
      </c>
      <c r="G433" s="95"/>
      <c r="H433" s="101"/>
      <c r="I433" s="102"/>
      <c r="J433" s="101"/>
      <c r="K433" s="102"/>
      <c r="L433" s="101"/>
      <c r="M433" s="102"/>
    </row>
    <row r="434" spans="1:13">
      <c r="A434" s="115" t="s">
        <v>273</v>
      </c>
      <c r="B434" s="115" t="s">
        <v>274</v>
      </c>
      <c r="C434" s="115" t="s">
        <v>275</v>
      </c>
      <c r="D434" s="96" t="s">
        <v>420</v>
      </c>
      <c r="F434" t="s">
        <v>437</v>
      </c>
      <c r="G434" s="95">
        <v>44561</v>
      </c>
      <c r="H434" s="101">
        <v>2000000</v>
      </c>
      <c r="I434" s="102">
        <v>2000000</v>
      </c>
      <c r="J434" s="101">
        <v>2000000</v>
      </c>
      <c r="K434" s="102">
        <v>1800000</v>
      </c>
      <c r="L434" s="101">
        <v>1100000</v>
      </c>
      <c r="M434" s="102"/>
    </row>
    <row r="435" spans="1:13">
      <c r="A435" s="115"/>
      <c r="B435" s="115"/>
      <c r="C435" s="115"/>
      <c r="D435" s="96" t="s">
        <v>421</v>
      </c>
      <c r="E435" t="s">
        <v>422</v>
      </c>
      <c r="F435" t="s">
        <v>437</v>
      </c>
      <c r="G435" s="95">
        <v>44561</v>
      </c>
      <c r="H435" s="101">
        <v>1000000</v>
      </c>
      <c r="I435" s="102">
        <v>1000000</v>
      </c>
      <c r="J435" s="101">
        <v>1000000</v>
      </c>
      <c r="K435" s="102">
        <v>800000</v>
      </c>
      <c r="L435" s="101">
        <v>400000</v>
      </c>
      <c r="M435" s="102"/>
    </row>
    <row r="436" spans="1:13">
      <c r="A436" s="115"/>
      <c r="B436" s="115"/>
      <c r="C436" s="115"/>
      <c r="D436" s="96" t="s">
        <v>423</v>
      </c>
      <c r="E436" t="s">
        <v>422</v>
      </c>
      <c r="F436" t="s">
        <v>437</v>
      </c>
      <c r="G436" s="95">
        <v>44561</v>
      </c>
      <c r="H436" s="101">
        <v>3000000</v>
      </c>
      <c r="I436" s="102">
        <v>3000000</v>
      </c>
      <c r="J436" s="101">
        <v>3000000</v>
      </c>
      <c r="K436" s="102">
        <v>2600000</v>
      </c>
      <c r="L436" s="101">
        <v>1500000</v>
      </c>
      <c r="M436" s="102"/>
    </row>
    <row r="437" spans="1:13">
      <c r="A437" s="115"/>
      <c r="B437" s="115"/>
      <c r="C437" s="115"/>
      <c r="D437" s="96" t="s">
        <v>424</v>
      </c>
      <c r="E437" t="s">
        <v>425</v>
      </c>
      <c r="F437" t="s">
        <v>437</v>
      </c>
      <c r="G437" s="95">
        <v>44561</v>
      </c>
      <c r="H437" s="101">
        <v>3200000</v>
      </c>
      <c r="I437" s="102">
        <v>3200000</v>
      </c>
      <c r="J437" s="101">
        <v>3200000</v>
      </c>
      <c r="K437" s="102">
        <v>2300000</v>
      </c>
      <c r="L437" s="101">
        <v>1300000</v>
      </c>
      <c r="M437" s="102"/>
    </row>
    <row r="438" spans="1:13">
      <c r="A438" s="115"/>
      <c r="B438" s="115"/>
      <c r="C438" s="115"/>
      <c r="D438" s="96" t="s">
        <v>426</v>
      </c>
      <c r="F438" t="s">
        <v>102</v>
      </c>
      <c r="G438" s="95">
        <v>44561</v>
      </c>
      <c r="H438" s="101">
        <v>2900000</v>
      </c>
      <c r="I438" s="102">
        <v>2900000</v>
      </c>
      <c r="J438" s="101">
        <v>2900000</v>
      </c>
      <c r="K438" s="102">
        <v>2900000</v>
      </c>
      <c r="L438" s="101">
        <v>1800000</v>
      </c>
      <c r="M438" s="102"/>
    </row>
    <row r="439" spans="1:13">
      <c r="A439" s="115"/>
      <c r="B439" s="115"/>
      <c r="C439" s="115"/>
      <c r="D439" s="96" t="s">
        <v>427</v>
      </c>
      <c r="G439" s="95"/>
      <c r="H439" s="101"/>
      <c r="I439" s="102"/>
      <c r="J439" s="101"/>
      <c r="K439" s="102"/>
      <c r="L439" s="101"/>
      <c r="M439" s="102"/>
    </row>
    <row r="440" spans="1:13">
      <c r="A440" s="115" t="s">
        <v>277</v>
      </c>
      <c r="B440" s="115" t="s">
        <v>278</v>
      </c>
      <c r="C440" s="115" t="s">
        <v>279</v>
      </c>
      <c r="D440" s="96" t="s">
        <v>420</v>
      </c>
      <c r="F440" t="s">
        <v>436</v>
      </c>
      <c r="G440" s="95">
        <v>44561</v>
      </c>
      <c r="H440" s="101"/>
      <c r="I440" s="102"/>
      <c r="J440" s="101">
        <v>81604</v>
      </c>
      <c r="K440" s="102">
        <v>191</v>
      </c>
      <c r="L440" s="101">
        <v>190</v>
      </c>
      <c r="M440" s="102">
        <v>192</v>
      </c>
    </row>
    <row r="441" spans="1:13">
      <c r="A441" s="115"/>
      <c r="B441" s="115"/>
      <c r="C441" s="115"/>
      <c r="D441" s="96" t="s">
        <v>421</v>
      </c>
      <c r="E441" t="s">
        <v>422</v>
      </c>
      <c r="F441" t="s">
        <v>436</v>
      </c>
      <c r="G441" s="95">
        <v>44561</v>
      </c>
      <c r="H441" s="101"/>
      <c r="I441" s="102"/>
      <c r="J441" s="101">
        <v>532</v>
      </c>
      <c r="K441" s="102">
        <v>5886</v>
      </c>
      <c r="L441" s="101">
        <v>5205</v>
      </c>
      <c r="M441" s="102">
        <v>6108</v>
      </c>
    </row>
    <row r="442" spans="1:13">
      <c r="A442" s="115"/>
      <c r="B442" s="115"/>
      <c r="C442" s="115"/>
      <c r="D442" s="96" t="s">
        <v>423</v>
      </c>
      <c r="E442" t="s">
        <v>422</v>
      </c>
      <c r="F442" t="s">
        <v>436</v>
      </c>
      <c r="G442" s="95">
        <v>44561</v>
      </c>
      <c r="H442" s="101"/>
      <c r="I442" s="102"/>
      <c r="J442" s="101">
        <v>82136</v>
      </c>
      <c r="K442" s="102">
        <v>6077</v>
      </c>
      <c r="L442" s="101">
        <v>5395</v>
      </c>
      <c r="M442" s="102">
        <v>6300</v>
      </c>
    </row>
    <row r="443" spans="1:13">
      <c r="A443" s="115"/>
      <c r="B443" s="115"/>
      <c r="C443" s="115"/>
      <c r="D443" s="96" t="s">
        <v>424</v>
      </c>
      <c r="E443" t="s">
        <v>425</v>
      </c>
      <c r="F443" t="s">
        <v>436</v>
      </c>
      <c r="G443" s="95">
        <v>44561</v>
      </c>
      <c r="H443" s="101"/>
      <c r="I443" s="102"/>
      <c r="J443" s="101">
        <v>42355</v>
      </c>
      <c r="K443" s="102">
        <v>121446</v>
      </c>
      <c r="L443" s="101">
        <v>110119</v>
      </c>
      <c r="M443" s="102">
        <v>102137</v>
      </c>
    </row>
    <row r="444" spans="1:13">
      <c r="A444" s="115"/>
      <c r="B444" s="115"/>
      <c r="C444" s="115"/>
      <c r="D444" s="96" t="s">
        <v>426</v>
      </c>
      <c r="F444" t="s">
        <v>59</v>
      </c>
      <c r="G444" s="95">
        <v>44561</v>
      </c>
      <c r="H444" s="101"/>
      <c r="I444" s="102"/>
      <c r="J444" s="101">
        <v>230306</v>
      </c>
      <c r="K444" s="102">
        <v>222277</v>
      </c>
      <c r="L444" s="101">
        <v>204484</v>
      </c>
      <c r="M444" s="102">
        <v>233812</v>
      </c>
    </row>
    <row r="445" spans="1:13">
      <c r="A445" s="115"/>
      <c r="B445" s="115"/>
      <c r="C445" s="115"/>
      <c r="D445" s="96" t="s">
        <v>427</v>
      </c>
      <c r="G445" s="95"/>
      <c r="H445" s="101"/>
      <c r="I445" s="102"/>
      <c r="J445" s="101"/>
      <c r="K445" s="102"/>
      <c r="L445" s="101"/>
      <c r="M445" s="102"/>
    </row>
    <row r="446" spans="1:13">
      <c r="A446" s="115" t="s">
        <v>280</v>
      </c>
      <c r="B446" s="115" t="s">
        <v>281</v>
      </c>
      <c r="C446" s="115" t="s">
        <v>282</v>
      </c>
      <c r="D446" s="96" t="s">
        <v>420</v>
      </c>
      <c r="F446" t="s">
        <v>437</v>
      </c>
      <c r="G446" s="95">
        <v>44561</v>
      </c>
      <c r="H446" s="101">
        <v>17744560</v>
      </c>
      <c r="I446" s="102">
        <v>17744560</v>
      </c>
      <c r="J446" s="101">
        <v>17744560</v>
      </c>
      <c r="K446" s="102">
        <v>16682357</v>
      </c>
      <c r="L446" s="101">
        <v>15257923</v>
      </c>
      <c r="M446" s="102"/>
    </row>
    <row r="447" spans="1:13">
      <c r="A447" s="115"/>
      <c r="B447" s="115"/>
      <c r="C447" s="115"/>
      <c r="D447" s="96" t="s">
        <v>421</v>
      </c>
      <c r="E447" t="s">
        <v>422</v>
      </c>
      <c r="F447" t="s">
        <v>437</v>
      </c>
      <c r="G447" s="95">
        <v>44561</v>
      </c>
      <c r="H447" s="101">
        <v>858941</v>
      </c>
      <c r="I447" s="102">
        <v>858941</v>
      </c>
      <c r="J447" s="101">
        <v>858941</v>
      </c>
      <c r="K447" s="102">
        <v>1141024</v>
      </c>
      <c r="L447" s="101">
        <v>1154111</v>
      </c>
      <c r="M447" s="102"/>
    </row>
    <row r="448" spans="1:13">
      <c r="A448" s="115"/>
      <c r="B448" s="115"/>
      <c r="C448" s="115"/>
      <c r="D448" s="96" t="s">
        <v>423</v>
      </c>
      <c r="E448" t="s">
        <v>422</v>
      </c>
      <c r="F448" t="s">
        <v>437</v>
      </c>
      <c r="G448" s="95">
        <v>44561</v>
      </c>
      <c r="H448" s="101">
        <v>18603501</v>
      </c>
      <c r="I448" s="102">
        <v>18603501</v>
      </c>
      <c r="J448" s="101">
        <v>18603501</v>
      </c>
      <c r="K448" s="102">
        <v>17823381</v>
      </c>
      <c r="L448" s="101">
        <v>16412034</v>
      </c>
      <c r="M448" s="102"/>
    </row>
    <row r="449" spans="1:13">
      <c r="A449" s="115"/>
      <c r="B449" s="115"/>
      <c r="C449" s="115"/>
      <c r="D449" s="96" t="s">
        <v>424</v>
      </c>
      <c r="E449" t="s">
        <v>425</v>
      </c>
      <c r="F449" t="s">
        <v>437</v>
      </c>
      <c r="G449" s="95">
        <v>44561</v>
      </c>
      <c r="H449" s="101">
        <v>1056210</v>
      </c>
      <c r="I449" s="102">
        <v>1056210</v>
      </c>
      <c r="J449" s="101">
        <v>1056210</v>
      </c>
      <c r="K449" s="102">
        <v>910292</v>
      </c>
      <c r="L449" s="101">
        <v>767666</v>
      </c>
      <c r="M449" s="102"/>
    </row>
    <row r="450" spans="1:13">
      <c r="A450" s="115"/>
      <c r="B450" s="115"/>
      <c r="C450" s="115"/>
      <c r="D450" s="96" t="s">
        <v>426</v>
      </c>
      <c r="F450" t="s">
        <v>102</v>
      </c>
      <c r="G450" s="95">
        <v>44561</v>
      </c>
      <c r="H450" s="101">
        <v>10953432.098765399</v>
      </c>
      <c r="I450" s="102">
        <v>10953432.098765399</v>
      </c>
      <c r="J450" s="101">
        <v>10953432.098765399</v>
      </c>
      <c r="K450" s="102">
        <v>10297751.234567899</v>
      </c>
      <c r="L450" s="101">
        <v>9418470.9876543209</v>
      </c>
      <c r="M450" s="102"/>
    </row>
    <row r="451" spans="1:13">
      <c r="A451" s="115"/>
      <c r="B451" s="115"/>
      <c r="C451" s="115"/>
      <c r="D451" s="96" t="s">
        <v>427</v>
      </c>
      <c r="G451" s="95"/>
      <c r="H451" s="101"/>
      <c r="I451" s="102"/>
      <c r="J451" s="101"/>
      <c r="K451" s="102"/>
      <c r="L451" s="101"/>
      <c r="M451" s="102"/>
    </row>
    <row r="452" spans="1:13">
      <c r="A452" s="115" t="s">
        <v>283</v>
      </c>
      <c r="B452" s="115" t="s">
        <v>284</v>
      </c>
      <c r="C452" s="115" t="s">
        <v>285</v>
      </c>
      <c r="D452" s="96" t="s">
        <v>420</v>
      </c>
      <c r="F452" t="s">
        <v>436</v>
      </c>
      <c r="G452" s="95">
        <v>44561</v>
      </c>
      <c r="H452" s="101"/>
      <c r="I452" s="102">
        <v>20.555555555555561</v>
      </c>
      <c r="J452" s="101">
        <v>51.388888888888893</v>
      </c>
      <c r="K452" s="102">
        <v>71.944444444444443</v>
      </c>
      <c r="L452" s="101">
        <v>102.7777777777778</v>
      </c>
      <c r="M452" s="102">
        <v>185</v>
      </c>
    </row>
    <row r="453" spans="1:13">
      <c r="A453" s="115"/>
      <c r="B453" s="115"/>
      <c r="C453" s="115"/>
      <c r="D453" s="96" t="s">
        <v>421</v>
      </c>
      <c r="E453" t="s">
        <v>422</v>
      </c>
      <c r="F453" t="s">
        <v>436</v>
      </c>
      <c r="G453" s="95">
        <v>44561</v>
      </c>
      <c r="H453" s="101"/>
      <c r="I453" s="102">
        <v>44.777777777777779</v>
      </c>
      <c r="J453" s="101">
        <v>111.9444444444444</v>
      </c>
      <c r="K453" s="102">
        <v>156.7222222222222</v>
      </c>
      <c r="L453" s="101">
        <v>223.88888888888891</v>
      </c>
      <c r="M453" s="102">
        <v>403</v>
      </c>
    </row>
    <row r="454" spans="1:13">
      <c r="A454" s="115"/>
      <c r="B454" s="115"/>
      <c r="C454" s="115"/>
      <c r="D454" s="96" t="s">
        <v>423</v>
      </c>
      <c r="E454" t="s">
        <v>422</v>
      </c>
      <c r="F454" t="s">
        <v>436</v>
      </c>
      <c r="G454" s="95">
        <v>44561</v>
      </c>
      <c r="H454" s="101"/>
      <c r="I454" s="102">
        <v>65.333333333333343</v>
      </c>
      <c r="J454" s="101">
        <v>163.33333333333329</v>
      </c>
      <c r="K454" s="102">
        <v>228.66666666666671</v>
      </c>
      <c r="L454" s="101">
        <v>326.66666666666657</v>
      </c>
      <c r="M454" s="102">
        <v>588</v>
      </c>
    </row>
    <row r="455" spans="1:13">
      <c r="A455" s="115"/>
      <c r="B455" s="115"/>
      <c r="C455" s="115"/>
      <c r="D455" s="96" t="s">
        <v>424</v>
      </c>
      <c r="E455" t="s">
        <v>425</v>
      </c>
      <c r="F455" t="s">
        <v>436</v>
      </c>
      <c r="G455" s="95">
        <v>44561</v>
      </c>
      <c r="H455" s="101"/>
      <c r="I455" s="102">
        <v>217.11111111111109</v>
      </c>
      <c r="J455" s="101">
        <v>542.77777777777783</v>
      </c>
      <c r="K455" s="102">
        <v>759.88888888888891</v>
      </c>
      <c r="L455" s="101">
        <v>1085.5555555555561</v>
      </c>
      <c r="M455" s="102">
        <v>1954</v>
      </c>
    </row>
    <row r="456" spans="1:13">
      <c r="A456" s="115"/>
      <c r="B456" s="115"/>
      <c r="C456" s="115"/>
      <c r="D456" s="96" t="s">
        <v>426</v>
      </c>
      <c r="F456" t="s">
        <v>90</v>
      </c>
      <c r="G456" s="95">
        <v>44561</v>
      </c>
      <c r="H456" s="101"/>
      <c r="I456" s="102">
        <v>1200</v>
      </c>
      <c r="J456" s="101">
        <v>4200</v>
      </c>
      <c r="K456" s="102">
        <v>8400</v>
      </c>
      <c r="L456" s="101">
        <v>14400</v>
      </c>
      <c r="M456" s="102">
        <v>25200</v>
      </c>
    </row>
    <row r="457" spans="1:13">
      <c r="A457" s="115"/>
      <c r="B457" s="115"/>
      <c r="C457" s="115"/>
      <c r="D457" s="96" t="s">
        <v>427</v>
      </c>
      <c r="G457" s="95"/>
      <c r="H457" s="101"/>
      <c r="I457" s="102"/>
      <c r="J457" s="101"/>
      <c r="K457" s="102"/>
      <c r="L457" s="101"/>
      <c r="M457" s="102"/>
    </row>
    <row r="458" spans="1:13">
      <c r="A458" s="115" t="s">
        <v>286</v>
      </c>
      <c r="B458" s="115" t="s">
        <v>287</v>
      </c>
      <c r="C458" s="115" t="s">
        <v>288</v>
      </c>
      <c r="D458" s="96" t="s">
        <v>420</v>
      </c>
      <c r="F458" t="s">
        <v>437</v>
      </c>
      <c r="G458" s="95">
        <v>44561</v>
      </c>
      <c r="H458" s="101">
        <v>99660</v>
      </c>
      <c r="I458" s="102">
        <v>99660</v>
      </c>
      <c r="J458" s="101">
        <v>99660</v>
      </c>
      <c r="K458" s="102">
        <v>94460</v>
      </c>
      <c r="L458" s="101">
        <v>91490</v>
      </c>
      <c r="M458" s="102"/>
    </row>
    <row r="459" spans="1:13">
      <c r="A459" s="115"/>
      <c r="B459" s="115"/>
      <c r="C459" s="115"/>
      <c r="D459" s="96" t="s">
        <v>421</v>
      </c>
      <c r="E459" t="s">
        <v>422</v>
      </c>
      <c r="F459" t="s">
        <v>437</v>
      </c>
      <c r="G459" s="95">
        <v>44561</v>
      </c>
      <c r="H459" s="101">
        <v>371530</v>
      </c>
      <c r="I459" s="102">
        <v>371530</v>
      </c>
      <c r="J459" s="101">
        <v>371530</v>
      </c>
      <c r="K459" s="102">
        <v>336550</v>
      </c>
      <c r="L459" s="101">
        <v>316640</v>
      </c>
      <c r="M459" s="102"/>
    </row>
    <row r="460" spans="1:13">
      <c r="A460" s="115"/>
      <c r="B460" s="115"/>
      <c r="C460" s="115"/>
      <c r="D460" s="96" t="s">
        <v>423</v>
      </c>
      <c r="E460" t="s">
        <v>422</v>
      </c>
      <c r="F460" t="s">
        <v>437</v>
      </c>
      <c r="G460" s="95">
        <v>44561</v>
      </c>
      <c r="H460" s="101">
        <v>471190</v>
      </c>
      <c r="I460" s="102">
        <v>471190</v>
      </c>
      <c r="J460" s="101">
        <v>471190</v>
      </c>
      <c r="K460" s="102">
        <v>431010</v>
      </c>
      <c r="L460" s="101">
        <v>408130</v>
      </c>
      <c r="M460" s="102"/>
    </row>
    <row r="461" spans="1:13">
      <c r="A461" s="115"/>
      <c r="B461" s="115"/>
      <c r="C461" s="115"/>
      <c r="D461" s="96" t="s">
        <v>424</v>
      </c>
      <c r="E461" t="s">
        <v>425</v>
      </c>
      <c r="F461" t="s">
        <v>437</v>
      </c>
      <c r="G461" s="95">
        <v>44561</v>
      </c>
      <c r="H461" s="101">
        <v>421722</v>
      </c>
      <c r="I461" s="102">
        <v>421722</v>
      </c>
      <c r="J461" s="101">
        <v>421722</v>
      </c>
      <c r="K461" s="102">
        <v>298526</v>
      </c>
      <c r="L461" s="101">
        <v>197605</v>
      </c>
      <c r="M461" s="102"/>
    </row>
    <row r="462" spans="1:13">
      <c r="A462" s="115"/>
      <c r="B462" s="115"/>
      <c r="C462" s="115"/>
      <c r="D462" s="96" t="s">
        <v>426</v>
      </c>
      <c r="F462" t="s">
        <v>102</v>
      </c>
      <c r="G462" s="95">
        <v>44561</v>
      </c>
      <c r="H462" s="101">
        <v>1472468.75</v>
      </c>
      <c r="I462" s="102">
        <v>1472468.75</v>
      </c>
      <c r="J462" s="101">
        <v>1472468.75</v>
      </c>
      <c r="K462" s="102">
        <v>1346906.25</v>
      </c>
      <c r="L462" s="101">
        <v>1360433.33333333</v>
      </c>
      <c r="M462" s="102"/>
    </row>
    <row r="463" spans="1:13">
      <c r="A463" s="115"/>
      <c r="B463" s="115"/>
      <c r="C463" s="115"/>
      <c r="D463" s="96" t="s">
        <v>427</v>
      </c>
      <c r="G463" s="95"/>
      <c r="H463" s="101"/>
      <c r="I463" s="102"/>
      <c r="J463" s="101"/>
      <c r="K463" s="102"/>
      <c r="L463" s="101"/>
      <c r="M463" s="102"/>
    </row>
    <row r="464" spans="1:13">
      <c r="A464" s="115" t="s">
        <v>289</v>
      </c>
      <c r="B464" s="115" t="s">
        <v>290</v>
      </c>
      <c r="C464" s="115" t="s">
        <v>291</v>
      </c>
      <c r="D464" s="96" t="s">
        <v>420</v>
      </c>
      <c r="F464" t="s">
        <v>438</v>
      </c>
      <c r="G464" s="95">
        <v>44561</v>
      </c>
      <c r="H464" s="101"/>
      <c r="I464" s="102"/>
      <c r="J464" s="101">
        <v>1.92</v>
      </c>
      <c r="K464" s="102">
        <v>1.9</v>
      </c>
      <c r="L464" s="101">
        <v>1.64</v>
      </c>
      <c r="M464" s="102">
        <v>1.69</v>
      </c>
    </row>
    <row r="465" spans="1:13">
      <c r="A465" s="115"/>
      <c r="B465" s="115"/>
      <c r="C465" s="115"/>
      <c r="D465" s="96" t="s">
        <v>421</v>
      </c>
      <c r="E465" t="s">
        <v>422</v>
      </c>
      <c r="F465" t="s">
        <v>438</v>
      </c>
      <c r="G465" s="95">
        <v>44561</v>
      </c>
      <c r="H465" s="101"/>
      <c r="I465" s="102"/>
      <c r="J465" s="101">
        <v>4.08</v>
      </c>
      <c r="K465" s="102">
        <v>3.78</v>
      </c>
      <c r="L465" s="101">
        <v>3.26</v>
      </c>
      <c r="M465" s="102">
        <v>3.46</v>
      </c>
    </row>
    <row r="466" spans="1:13">
      <c r="A466" s="115"/>
      <c r="B466" s="115"/>
      <c r="C466" s="115"/>
      <c r="D466" s="96" t="s">
        <v>423</v>
      </c>
      <c r="E466" t="s">
        <v>422</v>
      </c>
      <c r="F466" t="s">
        <v>438</v>
      </c>
      <c r="G466" s="95">
        <v>44561</v>
      </c>
      <c r="H466" s="101"/>
      <c r="I466" s="102"/>
      <c r="J466" s="101">
        <v>6</v>
      </c>
      <c r="K466" s="102">
        <v>5.68</v>
      </c>
      <c r="L466" s="101">
        <v>4.8999999999999986</v>
      </c>
      <c r="M466" s="102">
        <v>5.15</v>
      </c>
    </row>
    <row r="467" spans="1:13">
      <c r="A467" s="115"/>
      <c r="B467" s="115"/>
      <c r="C467" s="115"/>
      <c r="D467" s="96" t="s">
        <v>424</v>
      </c>
      <c r="E467" t="s">
        <v>425</v>
      </c>
      <c r="F467" t="s">
        <v>438</v>
      </c>
      <c r="G467" s="95">
        <v>44561</v>
      </c>
      <c r="H467" s="101"/>
      <c r="I467" s="102"/>
      <c r="J467" s="101">
        <v>414.91</v>
      </c>
      <c r="K467" s="102">
        <v>397.94</v>
      </c>
      <c r="L467" s="101">
        <v>341.35</v>
      </c>
      <c r="M467" s="102">
        <v>292.80751495200292</v>
      </c>
    </row>
    <row r="468" spans="1:13">
      <c r="A468" s="115"/>
      <c r="B468" s="115"/>
      <c r="C468" s="115"/>
      <c r="D468" s="96" t="s">
        <v>426</v>
      </c>
      <c r="F468" t="s">
        <v>292</v>
      </c>
      <c r="G468" s="95">
        <v>44561</v>
      </c>
      <c r="H468" s="101"/>
      <c r="I468" s="102"/>
      <c r="J468" s="101">
        <v>2.2128533333333338</v>
      </c>
      <c r="K468" s="102">
        <v>2.273942857142857</v>
      </c>
      <c r="L468" s="101">
        <v>2.1006153846153852</v>
      </c>
      <c r="M468" s="102">
        <v>1.952050099680019</v>
      </c>
    </row>
    <row r="469" spans="1:13">
      <c r="A469" s="115"/>
      <c r="B469" s="115"/>
      <c r="C469" s="115"/>
      <c r="D469" s="96" t="s">
        <v>427</v>
      </c>
      <c r="G469" s="95"/>
      <c r="H469" s="101"/>
      <c r="I469" s="102"/>
      <c r="J469" s="101"/>
      <c r="K469" s="102"/>
      <c r="L469" s="101"/>
      <c r="M469" s="102"/>
    </row>
    <row r="470" spans="1:13">
      <c r="A470" s="115" t="s">
        <v>293</v>
      </c>
      <c r="B470" s="115" t="s">
        <v>294</v>
      </c>
      <c r="C470" s="115" t="s">
        <v>295</v>
      </c>
      <c r="D470" s="96" t="s">
        <v>420</v>
      </c>
      <c r="F470" t="s">
        <v>437</v>
      </c>
      <c r="G470" s="95">
        <v>44561</v>
      </c>
      <c r="H470" s="101">
        <v>29000000</v>
      </c>
      <c r="I470" s="102">
        <v>30000000</v>
      </c>
      <c r="J470" s="101">
        <v>32500000</v>
      </c>
      <c r="K470" s="102">
        <v>29500000</v>
      </c>
      <c r="L470" s="101">
        <v>24500000</v>
      </c>
      <c r="M470" s="102"/>
    </row>
    <row r="471" spans="1:13">
      <c r="A471" s="115"/>
      <c r="B471" s="115"/>
      <c r="C471" s="115"/>
      <c r="D471" s="96" t="s">
        <v>421</v>
      </c>
      <c r="E471" t="s">
        <v>422</v>
      </c>
      <c r="F471" t="s">
        <v>437</v>
      </c>
      <c r="G471" s="95">
        <v>44561</v>
      </c>
      <c r="H471" s="101">
        <v>3200000</v>
      </c>
      <c r="I471" s="102">
        <v>3300000</v>
      </c>
      <c r="J471" s="101">
        <v>3300000</v>
      </c>
      <c r="K471" s="102">
        <v>3200000</v>
      </c>
      <c r="L471" s="101">
        <v>2000000</v>
      </c>
      <c r="M471" s="102"/>
    </row>
    <row r="472" spans="1:13">
      <c r="A472" s="115"/>
      <c r="B472" s="115"/>
      <c r="C472" s="115"/>
      <c r="D472" s="96" t="s">
        <v>423</v>
      </c>
      <c r="E472" t="s">
        <v>422</v>
      </c>
      <c r="F472" t="s">
        <v>437</v>
      </c>
      <c r="G472" s="95">
        <v>44561</v>
      </c>
      <c r="H472" s="101">
        <v>32200000</v>
      </c>
      <c r="I472" s="102">
        <v>33300000</v>
      </c>
      <c r="J472" s="101">
        <v>35800000</v>
      </c>
      <c r="K472" s="102">
        <v>32700000</v>
      </c>
      <c r="L472" s="101">
        <v>26500000</v>
      </c>
      <c r="M472" s="102"/>
    </row>
    <row r="473" spans="1:13">
      <c r="A473" s="115"/>
      <c r="B473" s="115"/>
      <c r="C473" s="115"/>
      <c r="D473" s="96" t="s">
        <v>424</v>
      </c>
      <c r="E473" t="s">
        <v>425</v>
      </c>
      <c r="F473" t="s">
        <v>437</v>
      </c>
      <c r="G473" s="95">
        <v>44561</v>
      </c>
      <c r="H473" s="101"/>
      <c r="I473" s="102"/>
      <c r="J473" s="101"/>
      <c r="K473" s="102"/>
      <c r="L473" s="101"/>
      <c r="M473" s="102"/>
    </row>
    <row r="474" spans="1:13">
      <c r="A474" s="115"/>
      <c r="B474" s="115"/>
      <c r="C474" s="115"/>
      <c r="D474" s="96" t="s">
        <v>426</v>
      </c>
      <c r="F474" t="s">
        <v>102</v>
      </c>
      <c r="G474" s="95">
        <v>44561</v>
      </c>
      <c r="H474" s="101">
        <v>14220000</v>
      </c>
      <c r="I474" s="102">
        <v>14440000</v>
      </c>
      <c r="J474" s="101">
        <v>15350000</v>
      </c>
      <c r="K474" s="102">
        <v>13890000</v>
      </c>
      <c r="L474" s="101">
        <v>11540000</v>
      </c>
      <c r="M474" s="102"/>
    </row>
    <row r="475" spans="1:13">
      <c r="A475" s="115"/>
      <c r="B475" s="115"/>
      <c r="C475" s="115"/>
      <c r="D475" s="96" t="s">
        <v>427</v>
      </c>
      <c r="G475" s="95"/>
      <c r="H475" s="101"/>
      <c r="I475" s="102"/>
      <c r="J475" s="101"/>
      <c r="K475" s="102"/>
      <c r="L475" s="101"/>
      <c r="M475" s="102"/>
    </row>
    <row r="476" spans="1:13">
      <c r="A476" s="115" t="s">
        <v>296</v>
      </c>
      <c r="B476" s="115" t="s">
        <v>297</v>
      </c>
      <c r="C476" s="115" t="s">
        <v>298</v>
      </c>
      <c r="D476" s="96" t="s">
        <v>420</v>
      </c>
      <c r="F476" t="s">
        <v>436</v>
      </c>
      <c r="G476" s="95">
        <v>44561</v>
      </c>
      <c r="H476" s="101"/>
      <c r="I476" s="102"/>
      <c r="J476" s="101"/>
      <c r="K476" s="102">
        <v>1073</v>
      </c>
      <c r="L476" s="101">
        <v>654</v>
      </c>
      <c r="M476" s="102">
        <v>454</v>
      </c>
    </row>
    <row r="477" spans="1:13">
      <c r="A477" s="115"/>
      <c r="B477" s="115"/>
      <c r="C477" s="115"/>
      <c r="D477" s="96" t="s">
        <v>421</v>
      </c>
      <c r="E477" t="s">
        <v>422</v>
      </c>
      <c r="F477" t="s">
        <v>436</v>
      </c>
      <c r="G477" s="95">
        <v>44561</v>
      </c>
      <c r="H477" s="101"/>
      <c r="I477" s="102"/>
      <c r="J477" s="101"/>
      <c r="K477" s="102">
        <v>272</v>
      </c>
      <c r="L477" s="101">
        <v>265</v>
      </c>
      <c r="M477" s="102">
        <v>255</v>
      </c>
    </row>
    <row r="478" spans="1:13">
      <c r="A478" s="115"/>
      <c r="B478" s="115"/>
      <c r="C478" s="115"/>
      <c r="D478" s="96" t="s">
        <v>423</v>
      </c>
      <c r="E478" t="s">
        <v>422</v>
      </c>
      <c r="F478" t="s">
        <v>436</v>
      </c>
      <c r="G478" s="95">
        <v>44561</v>
      </c>
      <c r="H478" s="101"/>
      <c r="I478" s="102"/>
      <c r="J478" s="101"/>
      <c r="K478" s="102">
        <v>1345</v>
      </c>
      <c r="L478" s="101">
        <v>919</v>
      </c>
      <c r="M478" s="102">
        <v>709</v>
      </c>
    </row>
    <row r="479" spans="1:13">
      <c r="A479" s="115"/>
      <c r="B479" s="115"/>
      <c r="C479" s="115"/>
      <c r="D479" s="96" t="s">
        <v>424</v>
      </c>
      <c r="E479" t="s">
        <v>425</v>
      </c>
      <c r="F479" t="s">
        <v>436</v>
      </c>
      <c r="G479" s="95">
        <v>44561</v>
      </c>
      <c r="H479" s="101"/>
      <c r="I479" s="102"/>
      <c r="J479" s="101"/>
      <c r="K479" s="102">
        <v>198</v>
      </c>
      <c r="L479" s="101">
        <v>221</v>
      </c>
      <c r="M479" s="102">
        <v>249</v>
      </c>
    </row>
    <row r="480" spans="1:13">
      <c r="A480" s="115"/>
      <c r="B480" s="115"/>
      <c r="C480" s="115"/>
      <c r="D480" s="96" t="s">
        <v>426</v>
      </c>
      <c r="F480" t="s">
        <v>59</v>
      </c>
      <c r="G480" s="95">
        <v>44561</v>
      </c>
      <c r="H480" s="101"/>
      <c r="I480" s="102"/>
      <c r="J480" s="101"/>
      <c r="K480" s="102">
        <v>62179</v>
      </c>
      <c r="L480" s="101">
        <v>62741</v>
      </c>
      <c r="M480" s="102">
        <v>58896</v>
      </c>
    </row>
    <row r="481" spans="1:13">
      <c r="A481" s="115"/>
      <c r="B481" s="115"/>
      <c r="C481" s="115"/>
      <c r="D481" s="96" t="s">
        <v>427</v>
      </c>
      <c r="G481" s="95"/>
      <c r="H481" s="101"/>
      <c r="I481" s="102"/>
      <c r="J481" s="101"/>
      <c r="K481" s="102"/>
      <c r="L481" s="101"/>
      <c r="M481" s="102"/>
    </row>
    <row r="482" spans="1:13">
      <c r="A482" s="115" t="s">
        <v>300</v>
      </c>
      <c r="B482" s="115" t="s">
        <v>301</v>
      </c>
      <c r="C482" s="115" t="s">
        <v>302</v>
      </c>
      <c r="D482" s="96" t="s">
        <v>420</v>
      </c>
      <c r="F482" t="s">
        <v>438</v>
      </c>
      <c r="G482" s="95">
        <v>44561</v>
      </c>
      <c r="H482" s="101">
        <v>11.6416389602593</v>
      </c>
      <c r="I482" s="102">
        <v>9.41263241795032</v>
      </c>
      <c r="J482" s="101">
        <v>10.1279024835251</v>
      </c>
      <c r="K482" s="102">
        <v>8.7046989666181105</v>
      </c>
      <c r="L482" s="101">
        <v>7.8127186930359001</v>
      </c>
      <c r="M482" s="102"/>
    </row>
    <row r="483" spans="1:13">
      <c r="A483" s="115"/>
      <c r="B483" s="115"/>
      <c r="C483" s="115"/>
      <c r="D483" s="96" t="s">
        <v>421</v>
      </c>
      <c r="E483" t="s">
        <v>422</v>
      </c>
      <c r="F483" t="s">
        <v>438</v>
      </c>
      <c r="G483" s="95">
        <v>44561</v>
      </c>
      <c r="H483" s="101">
        <v>0</v>
      </c>
      <c r="I483" s="102">
        <v>0</v>
      </c>
      <c r="J483" s="101">
        <v>0</v>
      </c>
      <c r="K483" s="102">
        <v>0</v>
      </c>
      <c r="L483" s="101">
        <v>0</v>
      </c>
      <c r="M483" s="102"/>
    </row>
    <row r="484" spans="1:13">
      <c r="A484" s="115"/>
      <c r="B484" s="115"/>
      <c r="C484" s="115"/>
      <c r="D484" s="96" t="s">
        <v>423</v>
      </c>
      <c r="E484" t="s">
        <v>422</v>
      </c>
      <c r="F484" t="s">
        <v>438</v>
      </c>
      <c r="G484" s="95">
        <v>44561</v>
      </c>
      <c r="H484" s="101">
        <v>11.6416389602593</v>
      </c>
      <c r="I484" s="102">
        <v>9.41263241795032</v>
      </c>
      <c r="J484" s="101">
        <v>10.1279024835251</v>
      </c>
      <c r="K484" s="102">
        <v>8.7046989666181105</v>
      </c>
      <c r="L484" s="101">
        <v>7.8127186930359001</v>
      </c>
      <c r="M484" s="102"/>
    </row>
    <row r="485" spans="1:13">
      <c r="A485" s="115"/>
      <c r="B485" s="115"/>
      <c r="C485" s="115"/>
      <c r="D485" s="96" t="s">
        <v>424</v>
      </c>
      <c r="E485" t="s">
        <v>425</v>
      </c>
      <c r="F485" t="s">
        <v>438</v>
      </c>
      <c r="G485" s="95">
        <v>44561</v>
      </c>
      <c r="H485" s="101"/>
      <c r="I485" s="102"/>
      <c r="J485" s="101"/>
      <c r="K485" s="102"/>
      <c r="L485" s="101"/>
      <c r="M485" s="102"/>
    </row>
    <row r="486" spans="1:13">
      <c r="A486" s="115"/>
      <c r="B486" s="115"/>
      <c r="C486" s="115"/>
      <c r="D486" s="96" t="s">
        <v>426</v>
      </c>
      <c r="F486" t="s">
        <v>65</v>
      </c>
      <c r="G486" s="95">
        <v>44561</v>
      </c>
      <c r="H486" s="101">
        <v>17.412890000000001</v>
      </c>
      <c r="I486" s="102">
        <v>13.2565779694781</v>
      </c>
      <c r="J486" s="101">
        <v>19.823205962022801</v>
      </c>
      <c r="K486" s="102">
        <v>19.4268650530346</v>
      </c>
      <c r="L486" s="101">
        <v>18.5517652927645</v>
      </c>
      <c r="M486" s="102"/>
    </row>
    <row r="487" spans="1:13">
      <c r="A487" s="115"/>
      <c r="B487" s="115"/>
      <c r="C487" s="115"/>
      <c r="D487" s="96" t="s">
        <v>427</v>
      </c>
      <c r="G487" s="95"/>
      <c r="H487" s="101"/>
      <c r="I487" s="102"/>
      <c r="J487" s="101"/>
      <c r="K487" s="102"/>
      <c r="L487" s="101"/>
      <c r="M487" s="102"/>
    </row>
    <row r="488" spans="1:13">
      <c r="A488" s="115" t="s">
        <v>303</v>
      </c>
      <c r="B488" s="115" t="s">
        <v>304</v>
      </c>
      <c r="C488" s="115" t="s">
        <v>305</v>
      </c>
      <c r="D488" s="96" t="s">
        <v>420</v>
      </c>
      <c r="F488" t="s">
        <v>438</v>
      </c>
      <c r="G488" s="95">
        <v>44561</v>
      </c>
      <c r="H488" s="101"/>
      <c r="I488" s="102"/>
      <c r="J488" s="101"/>
      <c r="K488" s="102">
        <v>105.523364</v>
      </c>
      <c r="L488" s="101">
        <v>94.290023000000005</v>
      </c>
      <c r="M488" s="102">
        <v>98.749588000000003</v>
      </c>
    </row>
    <row r="489" spans="1:13">
      <c r="A489" s="115"/>
      <c r="B489" s="115"/>
      <c r="C489" s="115"/>
      <c r="D489" s="96" t="s">
        <v>421</v>
      </c>
      <c r="E489" t="s">
        <v>422</v>
      </c>
      <c r="F489" t="s">
        <v>438</v>
      </c>
      <c r="G489" s="95">
        <v>44561</v>
      </c>
      <c r="H489" s="101"/>
      <c r="I489" s="102"/>
      <c r="J489" s="101"/>
      <c r="K489" s="102">
        <v>0.24906800000000001</v>
      </c>
      <c r="L489" s="101">
        <v>0.33377000000000001</v>
      </c>
      <c r="M489" s="102">
        <v>0.24296999999999999</v>
      </c>
    </row>
    <row r="490" spans="1:13">
      <c r="A490" s="115"/>
      <c r="B490" s="115"/>
      <c r="C490" s="115"/>
      <c r="D490" s="96" t="s">
        <v>423</v>
      </c>
      <c r="E490" t="s">
        <v>422</v>
      </c>
      <c r="F490" t="s">
        <v>438</v>
      </c>
      <c r="G490" s="95">
        <v>44561</v>
      </c>
      <c r="H490" s="101"/>
      <c r="I490" s="102"/>
      <c r="J490" s="101"/>
      <c r="K490" s="102">
        <v>105.77243199999999</v>
      </c>
      <c r="L490" s="101">
        <v>94.623793000000006</v>
      </c>
      <c r="M490" s="102">
        <v>98.992558000000002</v>
      </c>
    </row>
    <row r="491" spans="1:13">
      <c r="A491" s="115"/>
      <c r="B491" s="115"/>
      <c r="C491" s="115"/>
      <c r="D491" s="96" t="s">
        <v>424</v>
      </c>
      <c r="E491" t="s">
        <v>425</v>
      </c>
      <c r="F491" t="s">
        <v>438</v>
      </c>
      <c r="G491" s="95">
        <v>44561</v>
      </c>
      <c r="H491" s="101"/>
      <c r="I491" s="102"/>
      <c r="J491" s="101"/>
      <c r="K491" s="102">
        <v>2.7247889999999999</v>
      </c>
      <c r="L491" s="101">
        <v>2.7247889999999999</v>
      </c>
      <c r="M491" s="102">
        <v>2.386622</v>
      </c>
    </row>
    <row r="492" spans="1:13">
      <c r="A492" s="115"/>
      <c r="B492" s="115"/>
      <c r="C492" s="115"/>
      <c r="D492" s="96" t="s">
        <v>426</v>
      </c>
      <c r="F492" t="s">
        <v>65</v>
      </c>
      <c r="G492" s="95">
        <v>44561</v>
      </c>
      <c r="H492" s="101"/>
      <c r="I492" s="102"/>
      <c r="J492" s="101"/>
      <c r="K492" s="102">
        <v>186.428605</v>
      </c>
      <c r="L492" s="101">
        <v>172.24373800000001</v>
      </c>
      <c r="M492" s="102">
        <v>174</v>
      </c>
    </row>
    <row r="493" spans="1:13">
      <c r="A493" s="115"/>
      <c r="B493" s="115"/>
      <c r="C493" s="115"/>
      <c r="D493" s="96" t="s">
        <v>427</v>
      </c>
      <c r="G493" s="95"/>
      <c r="H493" s="101"/>
      <c r="I493" s="102"/>
      <c r="J493" s="101"/>
      <c r="K493" s="102"/>
      <c r="L493" s="101"/>
      <c r="M493" s="102"/>
    </row>
    <row r="494" spans="1:13">
      <c r="A494" s="115" t="s">
        <v>306</v>
      </c>
      <c r="B494" s="115" t="s">
        <v>307</v>
      </c>
      <c r="C494" s="115" t="s">
        <v>308</v>
      </c>
      <c r="D494" s="96" t="s">
        <v>420</v>
      </c>
      <c r="F494" t="s">
        <v>438</v>
      </c>
      <c r="G494" s="95">
        <v>44561</v>
      </c>
      <c r="H494" s="101">
        <v>19.0203714477306</v>
      </c>
      <c r="I494" s="102">
        <v>19.627231815165601</v>
      </c>
      <c r="J494" s="101">
        <v>16.478434173257199</v>
      </c>
      <c r="K494" s="102">
        <v>9.8745765849492209</v>
      </c>
      <c r="L494" s="101">
        <v>9.6672977881650493</v>
      </c>
      <c r="M494" s="102"/>
    </row>
    <row r="495" spans="1:13">
      <c r="A495" s="115"/>
      <c r="B495" s="115"/>
      <c r="C495" s="115"/>
      <c r="D495" s="96" t="s">
        <v>421</v>
      </c>
      <c r="E495" t="s">
        <v>422</v>
      </c>
      <c r="F495" t="s">
        <v>438</v>
      </c>
      <c r="G495" s="95">
        <v>44561</v>
      </c>
      <c r="H495" s="101">
        <v>0</v>
      </c>
      <c r="I495" s="102">
        <v>0</v>
      </c>
      <c r="J495" s="101">
        <v>0</v>
      </c>
      <c r="K495" s="102">
        <v>0</v>
      </c>
      <c r="L495" s="101">
        <v>0</v>
      </c>
      <c r="M495" s="102"/>
    </row>
    <row r="496" spans="1:13">
      <c r="A496" s="115"/>
      <c r="B496" s="115"/>
      <c r="C496" s="115"/>
      <c r="D496" s="96" t="s">
        <v>423</v>
      </c>
      <c r="E496" t="s">
        <v>422</v>
      </c>
      <c r="F496" t="s">
        <v>438</v>
      </c>
      <c r="G496" s="95">
        <v>44561</v>
      </c>
      <c r="H496" s="101">
        <v>19.0203714477306</v>
      </c>
      <c r="I496" s="102">
        <v>19.627231815165601</v>
      </c>
      <c r="J496" s="101">
        <v>16.478434173257199</v>
      </c>
      <c r="K496" s="102">
        <v>9.8745765849492209</v>
      </c>
      <c r="L496" s="101">
        <v>9.6672977881650493</v>
      </c>
      <c r="M496" s="102"/>
    </row>
    <row r="497" spans="1:13">
      <c r="A497" s="115"/>
      <c r="B497" s="115"/>
      <c r="C497" s="115"/>
      <c r="D497" s="96" t="s">
        <v>424</v>
      </c>
      <c r="E497" t="s">
        <v>425</v>
      </c>
      <c r="F497" t="s">
        <v>438</v>
      </c>
      <c r="G497" s="95">
        <v>44561</v>
      </c>
      <c r="H497" s="101"/>
      <c r="I497" s="102"/>
      <c r="J497" s="101"/>
      <c r="K497" s="102"/>
      <c r="L497" s="101"/>
      <c r="M497" s="102"/>
    </row>
    <row r="498" spans="1:13">
      <c r="A498" s="115"/>
      <c r="B498" s="115"/>
      <c r="C498" s="115"/>
      <c r="D498" s="96" t="s">
        <v>426</v>
      </c>
      <c r="F498" t="s">
        <v>65</v>
      </c>
      <c r="G498" s="95">
        <v>44561</v>
      </c>
      <c r="H498" s="101">
        <v>23.3673241056539</v>
      </c>
      <c r="I498" s="102">
        <v>23.864635428668901</v>
      </c>
      <c r="J498" s="101">
        <v>21.139317437999999</v>
      </c>
      <c r="K498" s="102">
        <v>15.874233994000001</v>
      </c>
      <c r="L498" s="101">
        <v>15.8652856885</v>
      </c>
      <c r="M498" s="102"/>
    </row>
    <row r="499" spans="1:13">
      <c r="A499" s="115"/>
      <c r="B499" s="115"/>
      <c r="C499" s="115"/>
      <c r="D499" s="96" t="s">
        <v>427</v>
      </c>
      <c r="G499" s="95"/>
      <c r="H499" s="101"/>
      <c r="I499" s="102"/>
      <c r="J499" s="101"/>
      <c r="K499" s="102"/>
      <c r="L499" s="101"/>
      <c r="M499" s="102"/>
    </row>
    <row r="500" spans="1:13">
      <c r="A500" s="115" t="s">
        <v>309</v>
      </c>
      <c r="B500" s="115" t="s">
        <v>310</v>
      </c>
      <c r="C500" s="115" t="s">
        <v>311</v>
      </c>
      <c r="D500" s="96" t="s">
        <v>420</v>
      </c>
      <c r="F500" t="s">
        <v>437</v>
      </c>
      <c r="G500" s="95">
        <v>44561</v>
      </c>
      <c r="H500" s="101">
        <v>126399</v>
      </c>
      <c r="I500" s="102">
        <v>132944</v>
      </c>
      <c r="J500" s="101">
        <v>139953</v>
      </c>
      <c r="K500" s="102">
        <v>134257</v>
      </c>
      <c r="L500" s="101">
        <v>130506</v>
      </c>
      <c r="M500" s="102"/>
    </row>
    <row r="501" spans="1:13">
      <c r="A501" s="115"/>
      <c r="B501" s="115"/>
      <c r="C501" s="115"/>
      <c r="D501" s="96" t="s">
        <v>421</v>
      </c>
      <c r="E501" t="s">
        <v>422</v>
      </c>
      <c r="F501" t="s">
        <v>437</v>
      </c>
      <c r="G501" s="95">
        <v>44561</v>
      </c>
      <c r="H501" s="101">
        <v>191840</v>
      </c>
      <c r="I501" s="102">
        <v>176617</v>
      </c>
      <c r="J501" s="101">
        <v>175958</v>
      </c>
      <c r="K501" s="102">
        <v>160799</v>
      </c>
      <c r="L501" s="101">
        <v>139201</v>
      </c>
      <c r="M501" s="102"/>
    </row>
    <row r="502" spans="1:13">
      <c r="A502" s="115"/>
      <c r="B502" s="115"/>
      <c r="C502" s="115"/>
      <c r="D502" s="96" t="s">
        <v>423</v>
      </c>
      <c r="E502" t="s">
        <v>422</v>
      </c>
      <c r="F502" t="s">
        <v>437</v>
      </c>
      <c r="G502" s="95">
        <v>44561</v>
      </c>
      <c r="H502" s="101">
        <v>318239</v>
      </c>
      <c r="I502" s="102">
        <v>309561</v>
      </c>
      <c r="J502" s="101">
        <v>315911</v>
      </c>
      <c r="K502" s="102">
        <v>295056</v>
      </c>
      <c r="L502" s="101">
        <v>269707</v>
      </c>
      <c r="M502" s="102"/>
    </row>
    <row r="503" spans="1:13">
      <c r="A503" s="115"/>
      <c r="B503" s="115"/>
      <c r="C503" s="115"/>
      <c r="D503" s="96" t="s">
        <v>424</v>
      </c>
      <c r="E503" t="s">
        <v>425</v>
      </c>
      <c r="F503" t="s">
        <v>437</v>
      </c>
      <c r="G503" s="95">
        <v>44561</v>
      </c>
      <c r="H503" s="101"/>
      <c r="I503" s="102"/>
      <c r="J503" s="101"/>
      <c r="K503" s="102"/>
      <c r="L503" s="101"/>
      <c r="M503" s="102"/>
    </row>
    <row r="504" spans="1:13">
      <c r="A504" s="115"/>
      <c r="B504" s="115"/>
      <c r="C504" s="115"/>
      <c r="D504" s="96" t="s">
        <v>426</v>
      </c>
      <c r="F504" t="s">
        <v>102</v>
      </c>
      <c r="G504" s="95">
        <v>44561</v>
      </c>
      <c r="H504" s="101">
        <v>3523000</v>
      </c>
      <c r="I504" s="102">
        <v>4070000</v>
      </c>
      <c r="J504" s="101">
        <v>3820000</v>
      </c>
      <c r="K504" s="102">
        <v>3715000</v>
      </c>
      <c r="L504" s="101">
        <v>3830000</v>
      </c>
      <c r="M504" s="102"/>
    </row>
    <row r="505" spans="1:13">
      <c r="A505" s="115"/>
      <c r="B505" s="115"/>
      <c r="C505" s="115"/>
      <c r="D505" s="96" t="s">
        <v>427</v>
      </c>
      <c r="G505" s="95"/>
      <c r="H505" s="101"/>
      <c r="I505" s="102"/>
      <c r="J505" s="101"/>
      <c r="K505" s="102"/>
      <c r="L505" s="101"/>
      <c r="M505" s="102"/>
    </row>
    <row r="506" spans="1:13">
      <c r="A506" s="115" t="s">
        <v>312</v>
      </c>
      <c r="B506" s="115" t="s">
        <v>313</v>
      </c>
      <c r="C506" s="115" t="s">
        <v>314</v>
      </c>
      <c r="D506" s="96" t="s">
        <v>420</v>
      </c>
      <c r="F506" t="s">
        <v>438</v>
      </c>
      <c r="G506" s="95">
        <v>44561</v>
      </c>
      <c r="H506" s="101">
        <v>46.128179096556003</v>
      </c>
      <c r="I506" s="102">
        <v>45.010998633485997</v>
      </c>
      <c r="J506" s="101">
        <v>45.358516394732497</v>
      </c>
      <c r="K506" s="102">
        <v>41.448404774063498</v>
      </c>
      <c r="L506" s="101">
        <v>34.8794800473854</v>
      </c>
      <c r="M506" s="102"/>
    </row>
    <row r="507" spans="1:13">
      <c r="A507" s="115"/>
      <c r="B507" s="115"/>
      <c r="C507" s="115"/>
      <c r="D507" s="96" t="s">
        <v>421</v>
      </c>
      <c r="E507" t="s">
        <v>422</v>
      </c>
      <c r="F507" t="s">
        <v>438</v>
      </c>
      <c r="G507" s="95">
        <v>44561</v>
      </c>
      <c r="H507" s="101">
        <v>0</v>
      </c>
      <c r="I507" s="102">
        <v>0</v>
      </c>
      <c r="J507" s="101">
        <v>0</v>
      </c>
      <c r="K507" s="102">
        <v>0</v>
      </c>
      <c r="L507" s="101">
        <v>0</v>
      </c>
      <c r="M507" s="102"/>
    </row>
    <row r="508" spans="1:13">
      <c r="A508" s="115"/>
      <c r="B508" s="115"/>
      <c r="C508" s="115"/>
      <c r="D508" s="96" t="s">
        <v>423</v>
      </c>
      <c r="E508" t="s">
        <v>422</v>
      </c>
      <c r="F508" t="s">
        <v>438</v>
      </c>
      <c r="G508" s="95">
        <v>44561</v>
      </c>
      <c r="H508" s="101">
        <v>46.128179096556003</v>
      </c>
      <c r="I508" s="102">
        <v>45.010998633485997</v>
      </c>
      <c r="J508" s="101">
        <v>45.358516394732497</v>
      </c>
      <c r="K508" s="102">
        <v>41.448404774063498</v>
      </c>
      <c r="L508" s="101">
        <v>34.8794800473854</v>
      </c>
      <c r="M508" s="102"/>
    </row>
    <row r="509" spans="1:13">
      <c r="A509" s="115"/>
      <c r="B509" s="115"/>
      <c r="C509" s="115"/>
      <c r="D509" s="96" t="s">
        <v>424</v>
      </c>
      <c r="E509" t="s">
        <v>425</v>
      </c>
      <c r="F509" t="s">
        <v>438</v>
      </c>
      <c r="G509" s="95">
        <v>44561</v>
      </c>
      <c r="H509" s="101"/>
      <c r="I509" s="102"/>
      <c r="J509" s="101"/>
      <c r="K509" s="102"/>
      <c r="L509" s="101"/>
      <c r="M509" s="102"/>
    </row>
    <row r="510" spans="1:13">
      <c r="A510" s="115"/>
      <c r="B510" s="115"/>
      <c r="C510" s="115"/>
      <c r="D510" s="96" t="s">
        <v>426</v>
      </c>
      <c r="F510" t="s">
        <v>65</v>
      </c>
      <c r="G510" s="95">
        <v>44561</v>
      </c>
      <c r="H510" s="101">
        <v>73.830967827900906</v>
      </c>
      <c r="I510" s="102">
        <v>72.028542699037601</v>
      </c>
      <c r="J510" s="101">
        <v>76.006929525492396</v>
      </c>
      <c r="K510" s="102">
        <v>75.731406905347697</v>
      </c>
      <c r="L510" s="101">
        <v>69.493403520078303</v>
      </c>
      <c r="M510" s="102"/>
    </row>
    <row r="511" spans="1:13">
      <c r="A511" s="115"/>
      <c r="B511" s="115"/>
      <c r="C511" s="115"/>
      <c r="D511" s="96" t="s">
        <v>427</v>
      </c>
      <c r="G511" s="95"/>
      <c r="H511" s="101"/>
      <c r="I511" s="102"/>
      <c r="J511" s="101"/>
      <c r="K511" s="102"/>
      <c r="L511" s="101"/>
      <c r="M511" s="102"/>
    </row>
    <row r="512" spans="1:13">
      <c r="A512" s="115" t="s">
        <v>315</v>
      </c>
      <c r="B512" s="115" t="s">
        <v>316</v>
      </c>
      <c r="C512" s="115" t="s">
        <v>317</v>
      </c>
      <c r="D512" s="96" t="s">
        <v>420</v>
      </c>
      <c r="F512" t="s">
        <v>437</v>
      </c>
      <c r="G512" s="95">
        <v>44561</v>
      </c>
      <c r="H512" s="101"/>
      <c r="I512" s="102">
        <v>170937</v>
      </c>
      <c r="J512" s="101">
        <v>175065</v>
      </c>
      <c r="K512" s="102">
        <v>167071</v>
      </c>
      <c r="L512" s="101">
        <v>162816</v>
      </c>
      <c r="M512" s="102">
        <v>199002</v>
      </c>
    </row>
    <row r="513" spans="1:13">
      <c r="A513" s="115"/>
      <c r="B513" s="115"/>
      <c r="C513" s="115"/>
      <c r="D513" s="96" t="s">
        <v>421</v>
      </c>
      <c r="E513" t="s">
        <v>422</v>
      </c>
      <c r="F513" t="s">
        <v>437</v>
      </c>
      <c r="G513" s="95">
        <v>44561</v>
      </c>
      <c r="H513" s="101"/>
      <c r="I513" s="102">
        <v>71170</v>
      </c>
      <c r="J513" s="101">
        <v>49365</v>
      </c>
      <c r="K513" s="102">
        <v>43561</v>
      </c>
      <c r="L513" s="101">
        <v>42701</v>
      </c>
      <c r="M513" s="102">
        <v>41779</v>
      </c>
    </row>
    <row r="514" spans="1:13">
      <c r="A514" s="115"/>
      <c r="B514" s="115"/>
      <c r="C514" s="115"/>
      <c r="D514" s="96" t="s">
        <v>423</v>
      </c>
      <c r="E514" t="s">
        <v>422</v>
      </c>
      <c r="F514" t="s">
        <v>437</v>
      </c>
      <c r="G514" s="95">
        <v>44561</v>
      </c>
      <c r="H514" s="101"/>
      <c r="I514" s="102">
        <v>242107</v>
      </c>
      <c r="J514" s="101">
        <v>224430</v>
      </c>
      <c r="K514" s="102">
        <v>210632</v>
      </c>
      <c r="L514" s="101">
        <v>205517</v>
      </c>
      <c r="M514" s="102">
        <v>240781</v>
      </c>
    </row>
    <row r="515" spans="1:13">
      <c r="A515" s="115"/>
      <c r="B515" s="115"/>
      <c r="C515" s="115"/>
      <c r="D515" s="96" t="s">
        <v>424</v>
      </c>
      <c r="E515" t="s">
        <v>425</v>
      </c>
      <c r="F515" t="s">
        <v>437</v>
      </c>
      <c r="G515" s="95">
        <v>44561</v>
      </c>
      <c r="H515" s="101"/>
      <c r="I515" s="102"/>
      <c r="J515" s="101"/>
      <c r="K515" s="102"/>
      <c r="L515" s="101"/>
      <c r="M515" s="102"/>
    </row>
    <row r="516" spans="1:13">
      <c r="A516" s="115"/>
      <c r="B516" s="115"/>
      <c r="C516" s="115"/>
      <c r="D516" s="96" t="s">
        <v>426</v>
      </c>
      <c r="F516" t="s">
        <v>57</v>
      </c>
      <c r="G516" s="95">
        <v>44561</v>
      </c>
      <c r="H516" s="101"/>
      <c r="I516" s="102">
        <v>8234000000</v>
      </c>
      <c r="J516" s="101">
        <v>7802000000</v>
      </c>
      <c r="K516" s="102">
        <v>8405000000</v>
      </c>
      <c r="L516" s="101">
        <v>8587000000</v>
      </c>
      <c r="M516" s="102">
        <v>8280000000</v>
      </c>
    </row>
    <row r="517" spans="1:13">
      <c r="A517" s="115"/>
      <c r="B517" s="115"/>
      <c r="C517" s="115"/>
      <c r="D517" s="96" t="s">
        <v>427</v>
      </c>
      <c r="G517" s="95"/>
      <c r="H517" s="101"/>
      <c r="I517" s="102"/>
      <c r="J517" s="101"/>
      <c r="K517" s="102"/>
      <c r="L517" s="101"/>
      <c r="M517" s="102"/>
    </row>
    <row r="518" spans="1:13">
      <c r="A518" s="115" t="s">
        <v>319</v>
      </c>
      <c r="B518" s="115" t="s">
        <v>320</v>
      </c>
      <c r="C518" s="115" t="s">
        <v>321</v>
      </c>
      <c r="D518" s="96" t="s">
        <v>420</v>
      </c>
      <c r="F518" t="s">
        <v>437</v>
      </c>
      <c r="G518" s="95">
        <v>44561</v>
      </c>
      <c r="H518" s="101">
        <v>63414</v>
      </c>
      <c r="I518" s="102">
        <v>46057</v>
      </c>
      <c r="J518" s="101">
        <v>46069</v>
      </c>
      <c r="K518" s="102">
        <v>58770</v>
      </c>
      <c r="L518" s="101">
        <v>60379</v>
      </c>
      <c r="M518" s="102">
        <v>46251</v>
      </c>
    </row>
    <row r="519" spans="1:13">
      <c r="A519" s="115"/>
      <c r="B519" s="115"/>
      <c r="C519" s="115"/>
      <c r="D519" s="96" t="s">
        <v>421</v>
      </c>
      <c r="E519" t="s">
        <v>422</v>
      </c>
      <c r="F519" t="s">
        <v>437</v>
      </c>
      <c r="G519" s="95">
        <v>44561</v>
      </c>
      <c r="H519" s="101">
        <v>29678</v>
      </c>
      <c r="I519" s="102">
        <v>25010</v>
      </c>
      <c r="J519" s="101">
        <v>24439</v>
      </c>
      <c r="K519" s="102">
        <v>28020</v>
      </c>
      <c r="L519" s="101">
        <v>22644</v>
      </c>
      <c r="M519" s="102">
        <v>19847</v>
      </c>
    </row>
    <row r="520" spans="1:13">
      <c r="A520" s="115"/>
      <c r="B520" s="115"/>
      <c r="C520" s="115"/>
      <c r="D520" s="96" t="s">
        <v>423</v>
      </c>
      <c r="E520" t="s">
        <v>422</v>
      </c>
      <c r="F520" t="s">
        <v>437</v>
      </c>
      <c r="G520" s="95">
        <v>44561</v>
      </c>
      <c r="H520" s="101">
        <v>93092</v>
      </c>
      <c r="I520" s="102">
        <v>71067</v>
      </c>
      <c r="J520" s="101">
        <v>70508</v>
      </c>
      <c r="K520" s="102">
        <v>86790</v>
      </c>
      <c r="L520" s="101">
        <v>83023</v>
      </c>
      <c r="M520" s="102">
        <v>66098</v>
      </c>
    </row>
    <row r="521" spans="1:13">
      <c r="A521" s="115"/>
      <c r="B521" s="115"/>
      <c r="C521" s="115"/>
      <c r="D521" s="96" t="s">
        <v>424</v>
      </c>
      <c r="E521" t="s">
        <v>425</v>
      </c>
      <c r="F521" t="s">
        <v>437</v>
      </c>
      <c r="G521" s="95">
        <v>44561</v>
      </c>
      <c r="H521" s="101">
        <v>16954</v>
      </c>
      <c r="I521" s="102">
        <v>18626</v>
      </c>
      <c r="J521" s="101">
        <v>19984</v>
      </c>
      <c r="K521" s="102">
        <v>58307929</v>
      </c>
      <c r="L521" s="101">
        <v>54684733</v>
      </c>
      <c r="M521" s="102">
        <v>89168768</v>
      </c>
    </row>
    <row r="522" spans="1:13">
      <c r="A522" s="115"/>
      <c r="B522" s="115"/>
      <c r="C522" s="115"/>
      <c r="D522" s="96" t="s">
        <v>426</v>
      </c>
      <c r="F522" t="s">
        <v>323</v>
      </c>
      <c r="G522" s="95">
        <v>44561</v>
      </c>
      <c r="H522" s="101">
        <v>5300000000</v>
      </c>
      <c r="I522" s="102">
        <v>5500000000</v>
      </c>
      <c r="J522" s="101">
        <v>6000000000</v>
      </c>
      <c r="K522" s="102">
        <v>6800000000</v>
      </c>
      <c r="L522" s="101">
        <v>7000000000</v>
      </c>
      <c r="M522" s="102">
        <v>7100000000</v>
      </c>
    </row>
    <row r="523" spans="1:13">
      <c r="A523" s="115"/>
      <c r="B523" s="115"/>
      <c r="C523" s="115"/>
      <c r="D523" s="96" t="s">
        <v>427</v>
      </c>
      <c r="G523" s="95"/>
      <c r="H523" s="101"/>
      <c r="I523" s="102"/>
      <c r="J523" s="101"/>
      <c r="K523" s="102"/>
      <c r="L523" s="101"/>
      <c r="M523" s="102"/>
    </row>
  </sheetData>
  <mergeCells count="243">
    <mergeCell ref="C512:C517"/>
    <mergeCell ref="C518:C523"/>
    <mergeCell ref="B31:B40"/>
    <mergeCell ref="C31:C40"/>
    <mergeCell ref="A11:A20"/>
    <mergeCell ref="B11:B20"/>
    <mergeCell ref="C11:C20"/>
    <mergeCell ref="A2:A10"/>
    <mergeCell ref="B2:B10"/>
    <mergeCell ref="C2:C10"/>
    <mergeCell ref="A96:A108"/>
    <mergeCell ref="B96:B108"/>
    <mergeCell ref="C96:C108"/>
    <mergeCell ref="A83:A95"/>
    <mergeCell ref="B83:B95"/>
    <mergeCell ref="C83:C95"/>
    <mergeCell ref="A21:A30"/>
    <mergeCell ref="A41:A46"/>
    <mergeCell ref="A47:A52"/>
    <mergeCell ref="A53:A58"/>
    <mergeCell ref="A59:A64"/>
    <mergeCell ref="A65:A70"/>
    <mergeCell ref="A71:A76"/>
    <mergeCell ref="A77:A82"/>
    <mergeCell ref="C458:C463"/>
    <mergeCell ref="C464:C469"/>
    <mergeCell ref="C470:C475"/>
    <mergeCell ref="C476:C481"/>
    <mergeCell ref="C482:C487"/>
    <mergeCell ref="C488:C493"/>
    <mergeCell ref="C494:C499"/>
    <mergeCell ref="C500:C505"/>
    <mergeCell ref="C506:C511"/>
    <mergeCell ref="C404:C409"/>
    <mergeCell ref="C410:C415"/>
    <mergeCell ref="C416:C421"/>
    <mergeCell ref="C422:C427"/>
    <mergeCell ref="C428:C433"/>
    <mergeCell ref="C434:C439"/>
    <mergeCell ref="C440:C445"/>
    <mergeCell ref="C446:C451"/>
    <mergeCell ref="C452:C457"/>
    <mergeCell ref="C350:C355"/>
    <mergeCell ref="C356:C361"/>
    <mergeCell ref="C362:C367"/>
    <mergeCell ref="C368:C373"/>
    <mergeCell ref="C374:C379"/>
    <mergeCell ref="C380:C385"/>
    <mergeCell ref="C386:C391"/>
    <mergeCell ref="C392:C397"/>
    <mergeCell ref="C398:C403"/>
    <mergeCell ref="C296:C301"/>
    <mergeCell ref="C302:C307"/>
    <mergeCell ref="C308:C313"/>
    <mergeCell ref="C314:C319"/>
    <mergeCell ref="C320:C325"/>
    <mergeCell ref="C326:C331"/>
    <mergeCell ref="C332:C337"/>
    <mergeCell ref="C338:C343"/>
    <mergeCell ref="C344:C349"/>
    <mergeCell ref="C242:C247"/>
    <mergeCell ref="C248:C253"/>
    <mergeCell ref="C254:C259"/>
    <mergeCell ref="C260:C265"/>
    <mergeCell ref="C266:C271"/>
    <mergeCell ref="C272:C277"/>
    <mergeCell ref="C278:C283"/>
    <mergeCell ref="C284:C289"/>
    <mergeCell ref="C290:C295"/>
    <mergeCell ref="C188:C193"/>
    <mergeCell ref="C194:C199"/>
    <mergeCell ref="C200:C205"/>
    <mergeCell ref="C206:C211"/>
    <mergeCell ref="C212:C217"/>
    <mergeCell ref="C218:C223"/>
    <mergeCell ref="C224:C229"/>
    <mergeCell ref="C230:C235"/>
    <mergeCell ref="C236:C241"/>
    <mergeCell ref="B500:B505"/>
    <mergeCell ref="B506:B511"/>
    <mergeCell ref="B512:B517"/>
    <mergeCell ref="B518:B523"/>
    <mergeCell ref="C21:C30"/>
    <mergeCell ref="C41:C46"/>
    <mergeCell ref="C47:C52"/>
    <mergeCell ref="C53:C58"/>
    <mergeCell ref="C59:C64"/>
    <mergeCell ref="C65:C70"/>
    <mergeCell ref="C71:C76"/>
    <mergeCell ref="C77:C82"/>
    <mergeCell ref="C109:C121"/>
    <mergeCell ref="C122:C127"/>
    <mergeCell ref="C128:C133"/>
    <mergeCell ref="C134:C139"/>
    <mergeCell ref="C140:C145"/>
    <mergeCell ref="C146:C151"/>
    <mergeCell ref="C152:C157"/>
    <mergeCell ref="C158:C163"/>
    <mergeCell ref="C164:C169"/>
    <mergeCell ref="C170:C175"/>
    <mergeCell ref="C176:C181"/>
    <mergeCell ref="C182:C187"/>
    <mergeCell ref="B446:B451"/>
    <mergeCell ref="B452:B457"/>
    <mergeCell ref="B458:B463"/>
    <mergeCell ref="B464:B469"/>
    <mergeCell ref="B470:B475"/>
    <mergeCell ref="B476:B481"/>
    <mergeCell ref="B482:B487"/>
    <mergeCell ref="B488:B493"/>
    <mergeCell ref="B494:B499"/>
    <mergeCell ref="B392:B397"/>
    <mergeCell ref="B398:B403"/>
    <mergeCell ref="B404:B409"/>
    <mergeCell ref="B410:B415"/>
    <mergeCell ref="B416:B421"/>
    <mergeCell ref="B422:B427"/>
    <mergeCell ref="B428:B433"/>
    <mergeCell ref="B434:B439"/>
    <mergeCell ref="B440:B445"/>
    <mergeCell ref="B338:B343"/>
    <mergeCell ref="B344:B349"/>
    <mergeCell ref="B350:B355"/>
    <mergeCell ref="B356:B361"/>
    <mergeCell ref="B362:B367"/>
    <mergeCell ref="B368:B373"/>
    <mergeCell ref="B374:B379"/>
    <mergeCell ref="B380:B385"/>
    <mergeCell ref="B386:B391"/>
    <mergeCell ref="B284:B289"/>
    <mergeCell ref="B290:B295"/>
    <mergeCell ref="B296:B301"/>
    <mergeCell ref="B302:B307"/>
    <mergeCell ref="B308:B313"/>
    <mergeCell ref="B314:B319"/>
    <mergeCell ref="B320:B325"/>
    <mergeCell ref="B326:B331"/>
    <mergeCell ref="B332:B337"/>
    <mergeCell ref="B230:B235"/>
    <mergeCell ref="B236:B241"/>
    <mergeCell ref="B242:B247"/>
    <mergeCell ref="B248:B253"/>
    <mergeCell ref="B254:B259"/>
    <mergeCell ref="B260:B265"/>
    <mergeCell ref="B266:B271"/>
    <mergeCell ref="B272:B277"/>
    <mergeCell ref="B278:B283"/>
    <mergeCell ref="B176:B181"/>
    <mergeCell ref="B182:B187"/>
    <mergeCell ref="B188:B193"/>
    <mergeCell ref="B194:B199"/>
    <mergeCell ref="B200:B205"/>
    <mergeCell ref="B206:B211"/>
    <mergeCell ref="B212:B217"/>
    <mergeCell ref="B218:B223"/>
    <mergeCell ref="B224:B229"/>
    <mergeCell ref="A488:A493"/>
    <mergeCell ref="A494:A499"/>
    <mergeCell ref="A500:A505"/>
    <mergeCell ref="A506:A511"/>
    <mergeCell ref="A512:A517"/>
    <mergeCell ref="A518:A523"/>
    <mergeCell ref="B21:B30"/>
    <mergeCell ref="B41:B46"/>
    <mergeCell ref="B47:B52"/>
    <mergeCell ref="B53:B58"/>
    <mergeCell ref="B59:B64"/>
    <mergeCell ref="B65:B70"/>
    <mergeCell ref="B71:B76"/>
    <mergeCell ref="B77:B82"/>
    <mergeCell ref="B109:B121"/>
    <mergeCell ref="B122:B127"/>
    <mergeCell ref="B128:B133"/>
    <mergeCell ref="B134:B139"/>
    <mergeCell ref="B140:B145"/>
    <mergeCell ref="B146:B151"/>
    <mergeCell ref="B152:B157"/>
    <mergeCell ref="B158:B163"/>
    <mergeCell ref="B164:B169"/>
    <mergeCell ref="B170:B175"/>
    <mergeCell ref="A434:A439"/>
    <mergeCell ref="A440:A445"/>
    <mergeCell ref="A446:A451"/>
    <mergeCell ref="A452:A457"/>
    <mergeCell ref="A458:A463"/>
    <mergeCell ref="A464:A469"/>
    <mergeCell ref="A470:A475"/>
    <mergeCell ref="A476:A481"/>
    <mergeCell ref="A482:A487"/>
    <mergeCell ref="A380:A385"/>
    <mergeCell ref="A386:A391"/>
    <mergeCell ref="A392:A397"/>
    <mergeCell ref="A398:A403"/>
    <mergeCell ref="A404:A409"/>
    <mergeCell ref="A410:A415"/>
    <mergeCell ref="A416:A421"/>
    <mergeCell ref="A422:A427"/>
    <mergeCell ref="A428:A433"/>
    <mergeCell ref="A326:A331"/>
    <mergeCell ref="A332:A337"/>
    <mergeCell ref="A338:A343"/>
    <mergeCell ref="A344:A349"/>
    <mergeCell ref="A350:A355"/>
    <mergeCell ref="A356:A361"/>
    <mergeCell ref="A362:A367"/>
    <mergeCell ref="A368:A373"/>
    <mergeCell ref="A374:A379"/>
    <mergeCell ref="A272:A277"/>
    <mergeCell ref="A278:A283"/>
    <mergeCell ref="A284:A289"/>
    <mergeCell ref="A290:A295"/>
    <mergeCell ref="A296:A301"/>
    <mergeCell ref="A302:A307"/>
    <mergeCell ref="A308:A313"/>
    <mergeCell ref="A314:A319"/>
    <mergeCell ref="A320:A325"/>
    <mergeCell ref="A218:A223"/>
    <mergeCell ref="A224:A229"/>
    <mergeCell ref="A230:A235"/>
    <mergeCell ref="A236:A241"/>
    <mergeCell ref="A242:A247"/>
    <mergeCell ref="A248:A253"/>
    <mergeCell ref="A254:A259"/>
    <mergeCell ref="A260:A265"/>
    <mergeCell ref="A266:A271"/>
    <mergeCell ref="A164:A169"/>
    <mergeCell ref="A170:A175"/>
    <mergeCell ref="A176:A181"/>
    <mergeCell ref="A182:A187"/>
    <mergeCell ref="A188:A193"/>
    <mergeCell ref="A194:A199"/>
    <mergeCell ref="A200:A205"/>
    <mergeCell ref="A206:A211"/>
    <mergeCell ref="A212:A217"/>
    <mergeCell ref="A109:A121"/>
    <mergeCell ref="A31:A40"/>
    <mergeCell ref="A122:A127"/>
    <mergeCell ref="A128:A133"/>
    <mergeCell ref="A134:A139"/>
    <mergeCell ref="A140:A145"/>
    <mergeCell ref="A146:A151"/>
    <mergeCell ref="A152:A157"/>
    <mergeCell ref="A158:A163"/>
  </mergeCells>
  <hyperlinks>
    <hyperlink ref="L30" r:id="rId1" xr:uid="{0B00E541-600E-124F-8530-7CF03623D698}"/>
    <hyperlink ref="M40" r:id="rId2" xr:uid="{819A42CE-2F85-DD47-B008-984E98BBD177}"/>
    <hyperlink ref="K20" r:id="rId3" xr:uid="{D807AC6B-367B-1444-BBB9-D28F438DBD19}"/>
    <hyperlink ref="J10" r:id="rId4" xr:uid="{6E71E545-2846-5B4B-AD5F-85DA7DD90255}"/>
    <hyperlink ref="M121" r:id="rId5" xr:uid="{F47DB3C8-5F49-8647-B2FF-AEBF5AC3C99B}"/>
    <hyperlink ref="L108" r:id="rId6" xr:uid="{0C8623CD-01FB-E540-9412-4CE8DBF09085}"/>
    <hyperlink ref="K95" r:id="rId7" xr:uid="{3D4F0DE7-F3C8-AF45-ABC1-12E91D3E6261}"/>
  </hyperlinks>
  <pageMargins left="0.75" right="0.75" top="1" bottom="1" header="0.5" footer="0.5"/>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Z77"/>
  <sheetViews>
    <sheetView zoomScale="150" zoomScaleNormal="150" workbookViewId="0">
      <pane xSplit="1" ySplit="1" topLeftCell="AK49" activePane="bottomRight" state="frozen"/>
      <selection pane="topRight" activeCell="B1" sqref="B1"/>
      <selection pane="bottomLeft" activeCell="A2" sqref="A2"/>
      <selection pane="bottomRight" activeCell="AQ77" sqref="AQ77"/>
    </sheetView>
  </sheetViews>
  <sheetFormatPr baseColWidth="10" defaultColWidth="16.5" defaultRowHeight="15"/>
  <cols>
    <col min="2" max="2" width="26.6640625" style="1" customWidth="1"/>
    <col min="3" max="4" width="16.5" customWidth="1"/>
    <col min="5" max="5" width="16.5" style="2" customWidth="1"/>
    <col min="6" max="6" width="16.5" customWidth="1"/>
    <col min="7" max="7" width="16.5" style="1" customWidth="1"/>
    <col min="8" max="8" width="16.5" customWidth="1"/>
    <col min="9" max="9" width="16.5" style="3" customWidth="1"/>
    <col min="10" max="13" width="16.5" customWidth="1"/>
    <col min="14" max="15" width="25.6640625" customWidth="1"/>
    <col min="16" max="16" width="22.1640625" customWidth="1"/>
    <col min="17" max="22" width="16.5" customWidth="1"/>
    <col min="23" max="23" width="16.5" style="53" customWidth="1"/>
    <col min="24" max="29" width="16.5" customWidth="1"/>
    <col min="30" max="30" width="16.5" style="53" customWidth="1"/>
    <col min="45" max="49" width="16.6640625" customWidth="1"/>
  </cols>
  <sheetData>
    <row r="1" spans="1:52" s="16" customFormat="1" ht="16" customHeight="1">
      <c r="A1" s="4" t="s">
        <v>0</v>
      </c>
      <c r="B1" s="4" t="s">
        <v>1</v>
      </c>
      <c r="C1" s="4" t="s">
        <v>2</v>
      </c>
      <c r="D1" s="4" t="s">
        <v>3</v>
      </c>
      <c r="E1" s="5" t="s">
        <v>4</v>
      </c>
      <c r="F1" s="4" t="s">
        <v>5</v>
      </c>
      <c r="G1" s="5" t="s">
        <v>6</v>
      </c>
      <c r="H1" s="4" t="s">
        <v>7</v>
      </c>
      <c r="I1" s="6" t="s">
        <v>8</v>
      </c>
      <c r="J1" s="4" t="s">
        <v>9</v>
      </c>
      <c r="K1" s="4" t="s">
        <v>10</v>
      </c>
      <c r="L1" s="4" t="s">
        <v>11</v>
      </c>
      <c r="M1" s="4" t="s">
        <v>12</v>
      </c>
      <c r="N1" s="4" t="s">
        <v>13</v>
      </c>
      <c r="O1" s="7" t="s">
        <v>14</v>
      </c>
      <c r="P1" s="7" t="s">
        <v>15</v>
      </c>
      <c r="Q1" s="8" t="s">
        <v>16</v>
      </c>
      <c r="R1" s="8" t="s">
        <v>17</v>
      </c>
      <c r="S1" s="8" t="s">
        <v>18</v>
      </c>
      <c r="T1" s="8" t="s">
        <v>19</v>
      </c>
      <c r="U1" s="8" t="s">
        <v>20</v>
      </c>
      <c r="V1" s="8" t="s">
        <v>21</v>
      </c>
      <c r="W1" s="9" t="s">
        <v>22</v>
      </c>
      <c r="X1" s="10" t="s">
        <v>23</v>
      </c>
      <c r="Y1" s="10" t="s">
        <v>24</v>
      </c>
      <c r="Z1" s="10" t="s">
        <v>25</v>
      </c>
      <c r="AA1" s="10" t="s">
        <v>26</v>
      </c>
      <c r="AB1" s="10" t="s">
        <v>27</v>
      </c>
      <c r="AC1" s="10" t="s">
        <v>28</v>
      </c>
      <c r="AD1" s="11" t="s">
        <v>29</v>
      </c>
      <c r="AE1" s="12" t="s">
        <v>30</v>
      </c>
      <c r="AF1" s="13" t="s">
        <v>31</v>
      </c>
      <c r="AG1" s="13" t="s">
        <v>32</v>
      </c>
      <c r="AH1" s="13" t="s">
        <v>33</v>
      </c>
      <c r="AI1" s="13" t="s">
        <v>34</v>
      </c>
      <c r="AJ1" s="13" t="s">
        <v>35</v>
      </c>
      <c r="AK1" s="14" t="s">
        <v>36</v>
      </c>
      <c r="AL1" s="8" t="s">
        <v>37</v>
      </c>
      <c r="AM1" s="8" t="s">
        <v>38</v>
      </c>
      <c r="AN1" s="8" t="s">
        <v>39</v>
      </c>
      <c r="AO1" s="8" t="s">
        <v>40</v>
      </c>
      <c r="AP1" s="8" t="s">
        <v>41</v>
      </c>
      <c r="AQ1" s="8" t="s">
        <v>42</v>
      </c>
      <c r="AR1" s="9" t="s">
        <v>43</v>
      </c>
      <c r="AS1" s="15" t="s">
        <v>44</v>
      </c>
      <c r="AT1" s="15" t="s">
        <v>45</v>
      </c>
      <c r="AU1" s="15" t="s">
        <v>46</v>
      </c>
      <c r="AV1" s="15" t="s">
        <v>47</v>
      </c>
      <c r="AW1" s="15" t="s">
        <v>48</v>
      </c>
      <c r="AX1" s="15" t="s">
        <v>49</v>
      </c>
      <c r="AY1" s="15" t="s">
        <v>50</v>
      </c>
    </row>
    <row r="2" spans="1:52">
      <c r="A2" t="s">
        <v>51</v>
      </c>
      <c r="B2" s="1" t="s">
        <v>52</v>
      </c>
      <c r="C2" t="s">
        <v>53</v>
      </c>
      <c r="D2" t="s">
        <v>54</v>
      </c>
      <c r="E2" s="1"/>
      <c r="F2" t="s">
        <v>55</v>
      </c>
      <c r="G2" s="1" t="s">
        <v>56</v>
      </c>
      <c r="H2" t="s">
        <v>57</v>
      </c>
      <c r="I2" s="3">
        <v>44196</v>
      </c>
      <c r="J2">
        <v>9420000000</v>
      </c>
      <c r="K2">
        <v>10189000000</v>
      </c>
      <c r="L2">
        <v>8652000000</v>
      </c>
      <c r="M2">
        <v>9681000000</v>
      </c>
      <c r="N2">
        <v>33648000000</v>
      </c>
      <c r="O2" t="s">
        <v>58</v>
      </c>
      <c r="P2" t="s">
        <v>59</v>
      </c>
      <c r="Q2" s="17">
        <v>70457000</v>
      </c>
      <c r="R2" s="17">
        <v>59804000</v>
      </c>
      <c r="S2" s="17">
        <v>50291000</v>
      </c>
      <c r="T2" s="17">
        <v>45611000</v>
      </c>
      <c r="U2" s="17">
        <v>42961000</v>
      </c>
      <c r="V2" s="17">
        <v>41202392</v>
      </c>
      <c r="W2" s="17"/>
      <c r="X2" s="17">
        <v>306000</v>
      </c>
      <c r="Y2" s="17">
        <v>220000</v>
      </c>
      <c r="Z2" s="17">
        <v>314000</v>
      </c>
      <c r="AA2" s="17">
        <v>324000</v>
      </c>
      <c r="AB2" s="17">
        <v>254000</v>
      </c>
      <c r="AC2" s="17">
        <v>253302</v>
      </c>
      <c r="AD2" s="17"/>
      <c r="AE2" s="18">
        <f t="shared" ref="AE2:AE10" si="0">IF(ISBLANK(Q2),IF(ISBLANK(X2),"",X2),Q2+X2)</f>
        <v>70763000</v>
      </c>
      <c r="AF2" s="18">
        <f t="shared" ref="AF2:AF10" si="1">IF(ISBLANK(R2),IF(ISBLANK(Y2),"",Y2),R2+Y2)</f>
        <v>60024000</v>
      </c>
      <c r="AG2" s="18">
        <f t="shared" ref="AG2:AG10" si="2">IF(ISBLANK(S2),IF(ISBLANK(Z2),"",Z2),S2+Z2)</f>
        <v>50605000</v>
      </c>
      <c r="AH2" s="18">
        <f t="shared" ref="AH2:AH10" si="3">IF(ISBLANK(T2),IF(ISBLANK(AA2),"",AA2),T2+AA2)</f>
        <v>45935000</v>
      </c>
      <c r="AI2" s="18">
        <f t="shared" ref="AI2:AI10" si="4">IF(ISBLANK(U2),IF(ISBLANK(AB2),"",AB2),U2+AB2)</f>
        <v>43215000</v>
      </c>
      <c r="AJ2" s="18">
        <f t="shared" ref="AJ2:AJ10" si="5">IF(ISBLANK(V2),IF(ISBLANK(AC2),"",AC2),V2+AC2)</f>
        <v>41455694</v>
      </c>
      <c r="AK2" s="18" t="str">
        <f t="shared" ref="AK2:AK10" si="6">IF(ISBLANK(W2),IF(ISBLANK(AD2),"",AD2),W2+AD2)</f>
        <v/>
      </c>
      <c r="AL2" s="17">
        <v>5864000</v>
      </c>
      <c r="AM2" s="17">
        <f>13871000+800</f>
        <v>13871800</v>
      </c>
      <c r="AN2" s="17">
        <f>10070000+1100</f>
        <v>10071100</v>
      </c>
      <c r="AO2" s="17">
        <f>9972000+1200</f>
        <v>9973200</v>
      </c>
      <c r="AP2" s="17">
        <f>7269000+200</f>
        <v>7269200</v>
      </c>
      <c r="AQ2" s="17">
        <f>7350511+527</f>
        <v>7351038</v>
      </c>
      <c r="AR2" s="17"/>
      <c r="AS2">
        <v>104312</v>
      </c>
      <c r="AT2">
        <f>(AS2+AU2)/2</f>
        <v>94148.97</v>
      </c>
      <c r="AU2">
        <v>83985.94</v>
      </c>
      <c r="AV2">
        <v>75904.354999999996</v>
      </c>
      <c r="AW2">
        <v>75271.521999999997</v>
      </c>
      <c r="AX2" s="17">
        <v>72506.148000000001</v>
      </c>
      <c r="AY2" s="17"/>
      <c r="AZ2" s="17"/>
    </row>
    <row r="3" spans="1:52">
      <c r="A3" t="s">
        <v>60</v>
      </c>
      <c r="B3" s="1" t="s">
        <v>61</v>
      </c>
      <c r="C3" t="s">
        <v>62</v>
      </c>
      <c r="D3" t="s">
        <v>54</v>
      </c>
      <c r="E3" s="1" t="s">
        <v>63</v>
      </c>
      <c r="F3" t="s">
        <v>55</v>
      </c>
      <c r="G3" s="1" t="s">
        <v>56</v>
      </c>
      <c r="H3" t="s">
        <v>57</v>
      </c>
      <c r="I3">
        <v>2019</v>
      </c>
      <c r="J3">
        <v>4285299935</v>
      </c>
      <c r="K3">
        <v>1240500000</v>
      </c>
      <c r="L3">
        <v>5829799935</v>
      </c>
      <c r="M3">
        <v>5899099935</v>
      </c>
      <c r="N3">
        <v>5482800000</v>
      </c>
      <c r="O3" t="s">
        <v>64</v>
      </c>
      <c r="P3" t="s">
        <v>65</v>
      </c>
      <c r="Q3">
        <v>8.0287915246316803</v>
      </c>
      <c r="R3">
        <v>6.5660701667357202</v>
      </c>
      <c r="S3">
        <v>6.62201886746863</v>
      </c>
      <c r="T3">
        <v>4.2233661489335503</v>
      </c>
      <c r="U3">
        <v>3.7507315607425</v>
      </c>
      <c r="V3">
        <v>4.2233661489335503</v>
      </c>
      <c r="X3">
        <v>0</v>
      </c>
      <c r="Y3">
        <v>0</v>
      </c>
      <c r="Z3">
        <v>0</v>
      </c>
      <c r="AA3">
        <v>0</v>
      </c>
      <c r="AB3">
        <v>0</v>
      </c>
      <c r="AC3">
        <v>0</v>
      </c>
      <c r="AE3" s="18">
        <f t="shared" si="0"/>
        <v>8.0287915246316803</v>
      </c>
      <c r="AF3" s="18">
        <f t="shared" si="1"/>
        <v>6.5660701667357202</v>
      </c>
      <c r="AG3" s="18">
        <f t="shared" si="2"/>
        <v>6.62201886746863</v>
      </c>
      <c r="AH3" s="18">
        <f t="shared" si="3"/>
        <v>4.2233661489335503</v>
      </c>
      <c r="AI3" s="18">
        <f t="shared" si="4"/>
        <v>3.7507315607425</v>
      </c>
      <c r="AJ3" s="18">
        <f t="shared" si="5"/>
        <v>4.2233661489335503</v>
      </c>
      <c r="AK3" s="18" t="str">
        <f t="shared" si="6"/>
        <v/>
      </c>
      <c r="AS3">
        <v>10.311126979999999</v>
      </c>
      <c r="AT3">
        <v>9.0333661999999997</v>
      </c>
      <c r="AU3">
        <v>8.7434580000000004</v>
      </c>
      <c r="AV3">
        <v>6.4909062000000004</v>
      </c>
      <c r="AW3">
        <v>6.0783424000000004</v>
      </c>
      <c r="AX3">
        <v>6.4909062000000004</v>
      </c>
    </row>
    <row r="4" spans="1:52">
      <c r="A4" t="s">
        <v>66</v>
      </c>
      <c r="B4" s="1" t="s">
        <v>67</v>
      </c>
      <c r="C4" t="s">
        <v>68</v>
      </c>
      <c r="D4" t="s">
        <v>54</v>
      </c>
      <c r="E4" s="1" t="s">
        <v>63</v>
      </c>
      <c r="F4" t="s">
        <v>55</v>
      </c>
      <c r="G4" s="1" t="s">
        <v>56</v>
      </c>
      <c r="H4" t="s">
        <v>57</v>
      </c>
      <c r="I4">
        <v>2019</v>
      </c>
      <c r="J4">
        <v>11600000000</v>
      </c>
      <c r="K4">
        <v>3647700000</v>
      </c>
      <c r="L4">
        <v>18503600000</v>
      </c>
      <c r="M4">
        <v>18519900000</v>
      </c>
      <c r="N4">
        <v>16700700000</v>
      </c>
      <c r="O4" t="s">
        <v>64</v>
      </c>
      <c r="P4" t="s">
        <v>65</v>
      </c>
      <c r="Q4">
        <v>12.247083817892101</v>
      </c>
      <c r="R4">
        <v>13.5958064794906</v>
      </c>
      <c r="S4">
        <v>14.5804238153298</v>
      </c>
      <c r="T4">
        <v>11.098764958614</v>
      </c>
      <c r="U4">
        <v>11.0377558529367</v>
      </c>
      <c r="X4">
        <v>0</v>
      </c>
      <c r="Y4">
        <v>0</v>
      </c>
      <c r="Z4">
        <v>0</v>
      </c>
      <c r="AA4">
        <v>0</v>
      </c>
      <c r="AB4">
        <v>0</v>
      </c>
      <c r="AE4" s="18">
        <f t="shared" si="0"/>
        <v>12.247083817892101</v>
      </c>
      <c r="AF4" s="18">
        <f t="shared" si="1"/>
        <v>13.5958064794906</v>
      </c>
      <c r="AG4" s="18">
        <f t="shared" si="2"/>
        <v>14.5804238153298</v>
      </c>
      <c r="AH4" s="18">
        <f t="shared" si="3"/>
        <v>11.098764958614</v>
      </c>
      <c r="AI4" s="18">
        <f t="shared" si="4"/>
        <v>11.0377558529367</v>
      </c>
      <c r="AJ4" s="18" t="str">
        <f t="shared" si="5"/>
        <v/>
      </c>
      <c r="AK4" s="18" t="str">
        <f t="shared" si="6"/>
        <v/>
      </c>
      <c r="AS4">
        <v>16.476443515</v>
      </c>
      <c r="AT4">
        <v>18.56133809</v>
      </c>
      <c r="AU4">
        <v>21.667851862999999</v>
      </c>
      <c r="AV4">
        <v>20.524337211500001</v>
      </c>
      <c r="AW4">
        <v>22.008184386</v>
      </c>
    </row>
    <row r="5" spans="1:52">
      <c r="A5" t="s">
        <v>69</v>
      </c>
      <c r="B5" s="1" t="s">
        <v>70</v>
      </c>
      <c r="C5" t="s">
        <v>71</v>
      </c>
      <c r="D5" t="s">
        <v>54</v>
      </c>
      <c r="E5" s="1" t="s">
        <v>63</v>
      </c>
      <c r="F5" t="s">
        <v>55</v>
      </c>
      <c r="G5" s="1" t="s">
        <v>56</v>
      </c>
      <c r="H5" t="s">
        <v>57</v>
      </c>
      <c r="I5">
        <v>2019</v>
      </c>
      <c r="J5">
        <v>18378774986</v>
      </c>
      <c r="K5">
        <v>5910000000</v>
      </c>
      <c r="L5">
        <v>27804774986</v>
      </c>
      <c r="M5">
        <v>27820774986</v>
      </c>
      <c r="N5">
        <v>28933000000</v>
      </c>
      <c r="O5" t="s">
        <v>64</v>
      </c>
      <c r="P5" t="s">
        <v>65</v>
      </c>
      <c r="Q5">
        <v>28.146923974777199</v>
      </c>
      <c r="R5">
        <v>31.187509563115398</v>
      </c>
      <c r="S5">
        <v>30.6720137556736</v>
      </c>
      <c r="T5">
        <v>23.409708274206501</v>
      </c>
      <c r="U5">
        <v>25.799494098497401</v>
      </c>
      <c r="X5">
        <v>0</v>
      </c>
      <c r="Y5">
        <v>0</v>
      </c>
      <c r="Z5">
        <v>0</v>
      </c>
      <c r="AA5">
        <v>0</v>
      </c>
      <c r="AB5">
        <v>0</v>
      </c>
      <c r="AE5" s="18">
        <f t="shared" si="0"/>
        <v>28.146923974777199</v>
      </c>
      <c r="AF5" s="18">
        <f t="shared" si="1"/>
        <v>31.187509563115398</v>
      </c>
      <c r="AG5" s="18">
        <f t="shared" si="2"/>
        <v>30.6720137556736</v>
      </c>
      <c r="AH5" s="18">
        <f t="shared" si="3"/>
        <v>23.409708274206501</v>
      </c>
      <c r="AI5" s="18">
        <f t="shared" si="4"/>
        <v>25.799494098497401</v>
      </c>
      <c r="AJ5" s="18" t="str">
        <f t="shared" si="5"/>
        <v/>
      </c>
      <c r="AK5" s="18" t="str">
        <f t="shared" si="6"/>
        <v/>
      </c>
      <c r="AS5">
        <v>38.509234999999997</v>
      </c>
      <c r="AT5">
        <v>40.953088000000001</v>
      </c>
      <c r="AU5">
        <v>42.757387999999999</v>
      </c>
      <c r="AV5">
        <v>35.416853000000003</v>
      </c>
      <c r="AW5">
        <v>35.824987</v>
      </c>
    </row>
    <row r="6" spans="1:52">
      <c r="A6" t="s">
        <v>72</v>
      </c>
      <c r="B6" s="1" t="s">
        <v>73</v>
      </c>
      <c r="C6" t="s">
        <v>74</v>
      </c>
      <c r="D6" t="s">
        <v>54</v>
      </c>
      <c r="E6" s="1" t="s">
        <v>63</v>
      </c>
      <c r="F6" t="s">
        <v>55</v>
      </c>
      <c r="G6" s="1" t="s">
        <v>56</v>
      </c>
      <c r="H6" t="s">
        <v>57</v>
      </c>
      <c r="I6">
        <v>2019</v>
      </c>
      <c r="J6">
        <v>43491855142</v>
      </c>
      <c r="K6">
        <v>15561400000</v>
      </c>
      <c r="L6">
        <v>73417055142</v>
      </c>
      <c r="M6">
        <v>73663855142</v>
      </c>
      <c r="N6">
        <v>75892300000</v>
      </c>
      <c r="O6" t="s">
        <v>64</v>
      </c>
      <c r="P6" t="s">
        <v>65</v>
      </c>
      <c r="Q6">
        <v>91.800593776570196</v>
      </c>
      <c r="R6">
        <v>66.975500250346002</v>
      </c>
      <c r="S6">
        <v>66.441625876883506</v>
      </c>
      <c r="T6">
        <v>58.130282313466502</v>
      </c>
      <c r="U6">
        <v>43.9616275947863</v>
      </c>
      <c r="X6">
        <v>0</v>
      </c>
      <c r="Y6">
        <v>0</v>
      </c>
      <c r="Z6">
        <v>0</v>
      </c>
      <c r="AA6">
        <v>0</v>
      </c>
      <c r="AB6">
        <v>0</v>
      </c>
      <c r="AE6" s="18">
        <f t="shared" si="0"/>
        <v>91.800593776570196</v>
      </c>
      <c r="AF6" s="18">
        <f t="shared" si="1"/>
        <v>66.975500250346002</v>
      </c>
      <c r="AG6" s="18">
        <f t="shared" si="2"/>
        <v>66.441625876883506</v>
      </c>
      <c r="AH6" s="18">
        <f t="shared" si="3"/>
        <v>58.130282313466502</v>
      </c>
      <c r="AI6" s="18">
        <f t="shared" si="4"/>
        <v>43.9616275947863</v>
      </c>
      <c r="AJ6" s="18" t="str">
        <f t="shared" si="5"/>
        <v/>
      </c>
      <c r="AK6" s="18" t="str">
        <f t="shared" si="6"/>
        <v/>
      </c>
      <c r="AS6">
        <v>127.7698075333</v>
      </c>
      <c r="AT6">
        <v>93.827355038848793</v>
      </c>
      <c r="AU6">
        <v>93.541288949491104</v>
      </c>
      <c r="AV6">
        <v>83.962493096499898</v>
      </c>
      <c r="AW6">
        <v>71.7325673733</v>
      </c>
    </row>
    <row r="7" spans="1:52">
      <c r="A7" t="s">
        <v>75</v>
      </c>
      <c r="B7" s="1" t="s">
        <v>76</v>
      </c>
      <c r="C7" t="s">
        <v>77</v>
      </c>
      <c r="D7" t="s">
        <v>54</v>
      </c>
      <c r="E7" s="1"/>
      <c r="F7" t="s">
        <v>55</v>
      </c>
      <c r="G7" s="1" t="s">
        <v>56</v>
      </c>
      <c r="H7" t="s">
        <v>57</v>
      </c>
      <c r="I7" s="3">
        <v>44561</v>
      </c>
      <c r="J7" s="26">
        <v>19310000000</v>
      </c>
      <c r="K7" s="26">
        <v>6974000000</v>
      </c>
      <c r="L7" s="26">
        <v>25930000000</v>
      </c>
      <c r="M7" s="26">
        <f>L7+411000000</f>
        <v>26341000000</v>
      </c>
      <c r="N7" s="26">
        <v>39504000000</v>
      </c>
      <c r="O7" t="s">
        <v>58</v>
      </c>
      <c r="P7" t="s">
        <v>59</v>
      </c>
      <c r="Q7" s="85">
        <v>1040335</v>
      </c>
      <c r="R7" s="85">
        <v>965570</v>
      </c>
      <c r="S7">
        <v>1363231</v>
      </c>
      <c r="T7">
        <v>1934393</v>
      </c>
      <c r="U7">
        <v>1416448</v>
      </c>
      <c r="V7">
        <f>1590305</f>
        <v>1590305</v>
      </c>
      <c r="X7">
        <v>0</v>
      </c>
      <c r="Y7">
        <v>0</v>
      </c>
      <c r="Z7">
        <v>381533</v>
      </c>
      <c r="AA7">
        <v>231192</v>
      </c>
      <c r="AB7">
        <v>297283</v>
      </c>
      <c r="AC7" s="85">
        <v>273432</v>
      </c>
      <c r="AE7" s="18">
        <f t="shared" si="0"/>
        <v>1040335</v>
      </c>
      <c r="AF7" s="18">
        <f t="shared" si="1"/>
        <v>965570</v>
      </c>
      <c r="AG7" s="18">
        <f t="shared" si="2"/>
        <v>1744764</v>
      </c>
      <c r="AH7" s="18">
        <f t="shared" si="3"/>
        <v>2165585</v>
      </c>
      <c r="AI7" s="18">
        <f t="shared" si="4"/>
        <v>1713731</v>
      </c>
      <c r="AJ7" s="18">
        <f t="shared" si="5"/>
        <v>1863737</v>
      </c>
      <c r="AK7" s="18" t="str">
        <f t="shared" si="6"/>
        <v/>
      </c>
      <c r="AN7">
        <v>21590220</v>
      </c>
      <c r="AO7">
        <v>19892852</v>
      </c>
      <c r="AP7">
        <v>24528246</v>
      </c>
      <c r="AQ7" s="85">
        <v>21996103</v>
      </c>
      <c r="AS7" s="19">
        <v>17912</v>
      </c>
      <c r="AT7" s="19">
        <v>18104</v>
      </c>
      <c r="AU7">
        <v>20057</v>
      </c>
      <c r="AV7">
        <v>20960</v>
      </c>
      <c r="AW7">
        <v>22142</v>
      </c>
      <c r="AX7" s="85">
        <v>22591</v>
      </c>
    </row>
    <row r="8" spans="1:52">
      <c r="A8" t="s">
        <v>78</v>
      </c>
      <c r="B8" s="1" t="s">
        <v>76</v>
      </c>
      <c r="C8" t="s">
        <v>79</v>
      </c>
      <c r="D8" t="s">
        <v>54</v>
      </c>
      <c r="E8" s="1"/>
      <c r="F8" t="s">
        <v>80</v>
      </c>
      <c r="G8" s="1" t="s">
        <v>56</v>
      </c>
      <c r="H8" t="s">
        <v>57</v>
      </c>
      <c r="I8" s="3">
        <v>44561</v>
      </c>
      <c r="J8" s="26">
        <v>19310000000</v>
      </c>
      <c r="K8" s="26">
        <v>6974000000</v>
      </c>
      <c r="L8" s="26">
        <v>25930000000</v>
      </c>
      <c r="M8" s="26">
        <f>L8+411000000</f>
        <v>26341000000</v>
      </c>
      <c r="N8" s="26">
        <v>39504000000</v>
      </c>
      <c r="O8" t="s">
        <v>58</v>
      </c>
      <c r="P8" t="s">
        <v>59</v>
      </c>
      <c r="Q8" s="85">
        <v>1040335</v>
      </c>
      <c r="R8" s="85">
        <v>965570</v>
      </c>
      <c r="S8">
        <v>1363231</v>
      </c>
      <c r="T8">
        <v>1934393</v>
      </c>
      <c r="U8">
        <v>1416448</v>
      </c>
      <c r="V8">
        <f>1590305</f>
        <v>1590305</v>
      </c>
      <c r="X8">
        <v>0</v>
      </c>
      <c r="Y8">
        <v>0</v>
      </c>
      <c r="Z8">
        <v>381533</v>
      </c>
      <c r="AA8">
        <v>231192</v>
      </c>
      <c r="AB8">
        <v>297283</v>
      </c>
      <c r="AC8" s="85">
        <v>273432</v>
      </c>
      <c r="AE8" s="18">
        <f t="shared" si="0"/>
        <v>1040335</v>
      </c>
      <c r="AF8" s="18">
        <f t="shared" si="1"/>
        <v>965570</v>
      </c>
      <c r="AG8" s="18">
        <f t="shared" si="2"/>
        <v>1744764</v>
      </c>
      <c r="AH8" s="18">
        <f t="shared" si="3"/>
        <v>2165585</v>
      </c>
      <c r="AI8" s="18">
        <f t="shared" si="4"/>
        <v>1713731</v>
      </c>
      <c r="AJ8" s="18">
        <f t="shared" si="5"/>
        <v>1863737</v>
      </c>
      <c r="AK8" s="18" t="str">
        <f t="shared" si="6"/>
        <v/>
      </c>
      <c r="AN8">
        <v>21590220</v>
      </c>
      <c r="AO8">
        <v>19892852</v>
      </c>
      <c r="AP8">
        <v>24528246</v>
      </c>
      <c r="AQ8" s="85">
        <v>21996103</v>
      </c>
      <c r="AS8" s="19">
        <v>17912</v>
      </c>
      <c r="AT8" s="19">
        <v>18104</v>
      </c>
      <c r="AU8">
        <v>20057</v>
      </c>
      <c r="AV8">
        <v>20960</v>
      </c>
      <c r="AW8">
        <v>22142</v>
      </c>
      <c r="AX8" s="85">
        <v>22591</v>
      </c>
    </row>
    <row r="9" spans="1:52">
      <c r="A9" t="s">
        <v>81</v>
      </c>
      <c r="B9" s="1" t="s">
        <v>82</v>
      </c>
      <c r="C9" t="s">
        <v>83</v>
      </c>
      <c r="D9" t="s">
        <v>54</v>
      </c>
      <c r="E9" s="1"/>
      <c r="F9" t="s">
        <v>55</v>
      </c>
      <c r="G9" s="1" t="s">
        <v>56</v>
      </c>
      <c r="H9" t="s">
        <v>57</v>
      </c>
      <c r="I9" s="3">
        <v>44196</v>
      </c>
      <c r="J9">
        <v>3528768075</v>
      </c>
      <c r="K9">
        <v>1734900000</v>
      </c>
      <c r="L9">
        <v>6659087075</v>
      </c>
      <c r="M9">
        <v>6668864075</v>
      </c>
      <c r="N9">
        <v>7558457000</v>
      </c>
      <c r="O9" t="s">
        <v>58</v>
      </c>
      <c r="P9" t="s">
        <v>84</v>
      </c>
      <c r="S9" s="85">
        <v>4063143</v>
      </c>
      <c r="T9" s="85">
        <v>3963128</v>
      </c>
      <c r="U9" s="85">
        <v>4036591</v>
      </c>
      <c r="Z9" s="85">
        <v>1300042</v>
      </c>
      <c r="AA9" s="85">
        <v>1219954</v>
      </c>
      <c r="AB9" s="85">
        <v>1001588</v>
      </c>
      <c r="AE9" s="18" t="str">
        <f t="shared" si="0"/>
        <v/>
      </c>
      <c r="AF9" s="18" t="str">
        <f t="shared" si="1"/>
        <v/>
      </c>
      <c r="AG9" s="18">
        <f t="shared" si="2"/>
        <v>5363185</v>
      </c>
      <c r="AH9" s="18">
        <f t="shared" si="3"/>
        <v>5183082</v>
      </c>
      <c r="AI9" s="18">
        <f t="shared" si="4"/>
        <v>5038179</v>
      </c>
      <c r="AJ9" s="18" t="str">
        <f t="shared" si="5"/>
        <v/>
      </c>
      <c r="AK9" s="18" t="str">
        <f t="shared" si="6"/>
        <v/>
      </c>
      <c r="AU9">
        <v>7067031.0930000003</v>
      </c>
      <c r="AV9">
        <v>7195251.4900000002</v>
      </c>
      <c r="AW9" s="85">
        <v>7324609</v>
      </c>
    </row>
    <row r="10" spans="1:52">
      <c r="A10" t="s">
        <v>85</v>
      </c>
      <c r="B10" s="1" t="s">
        <v>86</v>
      </c>
      <c r="C10" t="s">
        <v>87</v>
      </c>
      <c r="D10" t="s">
        <v>88</v>
      </c>
      <c r="E10" s="1"/>
      <c r="F10" t="s">
        <v>89</v>
      </c>
      <c r="G10" s="1" t="s">
        <v>56</v>
      </c>
      <c r="H10" t="s">
        <v>57</v>
      </c>
      <c r="I10" s="3">
        <v>44561</v>
      </c>
      <c r="J10" s="26">
        <v>65110000000</v>
      </c>
      <c r="K10" s="26">
        <v>122400000000</v>
      </c>
      <c r="L10" s="26">
        <v>126440000000</v>
      </c>
      <c r="M10">
        <f>L10+18630000000</f>
        <v>145070000000</v>
      </c>
      <c r="N10" s="26">
        <v>229527000000</v>
      </c>
      <c r="O10" t="s">
        <v>58</v>
      </c>
      <c r="P10" t="s">
        <v>90</v>
      </c>
      <c r="R10">
        <v>625072</v>
      </c>
      <c r="S10">
        <v>581703</v>
      </c>
      <c r="T10">
        <v>678403</v>
      </c>
      <c r="U10">
        <v>678967</v>
      </c>
      <c r="V10">
        <v>699713</v>
      </c>
      <c r="Y10">
        <v>510911</v>
      </c>
      <c r="Z10">
        <v>538622</v>
      </c>
      <c r="AA10">
        <v>354095</v>
      </c>
      <c r="AB10">
        <v>130090</v>
      </c>
      <c r="AC10">
        <v>134849</v>
      </c>
      <c r="AE10" s="18" t="str">
        <f t="shared" si="0"/>
        <v/>
      </c>
      <c r="AF10" s="18">
        <f t="shared" si="1"/>
        <v>1135983</v>
      </c>
      <c r="AG10" s="18">
        <f t="shared" si="2"/>
        <v>1120325</v>
      </c>
      <c r="AH10" s="18">
        <f t="shared" si="3"/>
        <v>1032498</v>
      </c>
      <c r="AI10" s="18">
        <f t="shared" si="4"/>
        <v>809057</v>
      </c>
      <c r="AJ10" s="18">
        <f t="shared" si="5"/>
        <v>834562</v>
      </c>
      <c r="AK10" s="18" t="str">
        <f t="shared" si="6"/>
        <v/>
      </c>
      <c r="AM10">
        <v>71714741</v>
      </c>
      <c r="AN10">
        <v>73093077</v>
      </c>
      <c r="AO10">
        <v>132520346</v>
      </c>
      <c r="AP10">
        <v>117682832</v>
      </c>
      <c r="AQ10">
        <v>121705368</v>
      </c>
      <c r="AT10" s="20">
        <f>AM10*0.85/128</f>
        <v>476230.70195312501</v>
      </c>
      <c r="AU10" s="20">
        <f>AN10*0.85/127.5</f>
        <v>487287.18</v>
      </c>
      <c r="AV10" s="20">
        <f>AO10*0.85/127</f>
        <v>886947.19763779524</v>
      </c>
      <c r="AW10" s="20">
        <f>AP10*0.85/99.1</f>
        <v>1009388.569122099</v>
      </c>
      <c r="AX10" s="20">
        <f>AQ10*0.85/115.9</f>
        <v>892576.03796376183</v>
      </c>
    </row>
    <row r="11" spans="1:52">
      <c r="A11" t="s">
        <v>91</v>
      </c>
      <c r="B11" s="1" t="s">
        <v>92</v>
      </c>
      <c r="C11" t="s">
        <v>93</v>
      </c>
      <c r="D11" t="s">
        <v>94</v>
      </c>
      <c r="E11" s="1" t="s">
        <v>95</v>
      </c>
      <c r="F11" t="s">
        <v>96</v>
      </c>
      <c r="G11" s="1" t="s">
        <v>56</v>
      </c>
      <c r="H11" t="s">
        <v>57</v>
      </c>
      <c r="I11" s="3">
        <v>44561</v>
      </c>
      <c r="J11" s="26">
        <v>88050000000</v>
      </c>
      <c r="K11" s="26">
        <v>157730000000</v>
      </c>
      <c r="L11" s="26">
        <v>129010000000</v>
      </c>
      <c r="M11">
        <f>L11+33240000000</f>
        <v>162250000000</v>
      </c>
      <c r="N11" s="26">
        <v>287272000000</v>
      </c>
      <c r="O11" t="s">
        <v>64</v>
      </c>
      <c r="P11" t="s">
        <v>97</v>
      </c>
      <c r="R11">
        <v>50.5</v>
      </c>
      <c r="S11" s="85">
        <v>48.8</v>
      </c>
      <c r="T11" s="85">
        <v>49.2</v>
      </c>
      <c r="U11" s="85">
        <v>41.7</v>
      </c>
      <c r="V11">
        <v>33.200000000000003</v>
      </c>
      <c r="Y11">
        <v>6.1</v>
      </c>
      <c r="Z11" s="85">
        <v>5.4</v>
      </c>
      <c r="AA11" s="85">
        <v>5.2</v>
      </c>
      <c r="AB11" s="85">
        <v>3.8</v>
      </c>
      <c r="AC11">
        <v>2.4</v>
      </c>
      <c r="AE11" s="18" t="str">
        <f t="shared" ref="AE11:AJ13" si="7">IF(ISBLANK(Q11),IF(ISBLANK(X11),"",X11),Q11+X11)</f>
        <v/>
      </c>
      <c r="AF11" s="18">
        <f t="shared" si="7"/>
        <v>56.6</v>
      </c>
      <c r="AG11" s="18">
        <f t="shared" si="7"/>
        <v>54.199999999999996</v>
      </c>
      <c r="AH11" s="18">
        <f t="shared" si="7"/>
        <v>54.400000000000006</v>
      </c>
      <c r="AI11" s="18">
        <f t="shared" si="7"/>
        <v>45.5</v>
      </c>
      <c r="AJ11" s="18">
        <f t="shared" si="7"/>
        <v>35.6</v>
      </c>
      <c r="AK11" s="18"/>
      <c r="AM11" s="77">
        <f>AT11*0.43/5.712</f>
        <v>946.27100840336141</v>
      </c>
      <c r="AN11" s="77">
        <f>AU11*0.43/5.712</f>
        <v>946.27100840336141</v>
      </c>
      <c r="AO11" s="77">
        <f>AV11*0.43/5.712</f>
        <v>946.27100840336141</v>
      </c>
      <c r="AP11" s="77">
        <f>AW11*0.43/5.712</f>
        <v>822.359943977591</v>
      </c>
      <c r="AQ11" s="77">
        <f>AX11*0.43/5.712</f>
        <v>834.55532212885146</v>
      </c>
      <c r="AT11" s="24">
        <v>12570</v>
      </c>
      <c r="AU11" s="24">
        <v>12570</v>
      </c>
      <c r="AV11">
        <v>12570</v>
      </c>
      <c r="AW11" s="85">
        <v>10924</v>
      </c>
      <c r="AX11">
        <v>11086</v>
      </c>
    </row>
    <row r="12" spans="1:52">
      <c r="A12" t="s">
        <v>98</v>
      </c>
      <c r="B12" s="1" t="s">
        <v>99</v>
      </c>
      <c r="C12" t="s">
        <v>100</v>
      </c>
      <c r="D12" t="s">
        <v>54</v>
      </c>
      <c r="E12" s="1" t="s">
        <v>63</v>
      </c>
      <c r="F12" t="s">
        <v>101</v>
      </c>
      <c r="G12" s="1" t="s">
        <v>56</v>
      </c>
      <c r="H12" t="s">
        <v>57</v>
      </c>
      <c r="I12">
        <v>2019</v>
      </c>
      <c r="J12">
        <v>1687208892</v>
      </c>
      <c r="K12">
        <v>2380200000</v>
      </c>
      <c r="L12">
        <v>2210808892</v>
      </c>
      <c r="M12">
        <v>2237808892</v>
      </c>
      <c r="N12">
        <v>3187800000</v>
      </c>
      <c r="O12" t="s">
        <v>58</v>
      </c>
      <c r="P12" t="s">
        <v>102</v>
      </c>
      <c r="Q12">
        <v>298055</v>
      </c>
      <c r="R12">
        <v>298055</v>
      </c>
      <c r="S12">
        <v>298055</v>
      </c>
      <c r="T12">
        <v>298055</v>
      </c>
      <c r="U12">
        <v>292832.150987298</v>
      </c>
      <c r="X12">
        <f>14/1000*5489661</f>
        <v>76855.254000000001</v>
      </c>
      <c r="Y12">
        <f>14/1000*5489661</f>
        <v>76855.254000000001</v>
      </c>
      <c r="Z12">
        <f>14/1000*5489661</f>
        <v>76855.254000000001</v>
      </c>
      <c r="AA12">
        <f>14/1000*5489661</f>
        <v>76855.254000000001</v>
      </c>
      <c r="AB12">
        <f>14/1000*5489661</f>
        <v>76855.254000000001</v>
      </c>
      <c r="AE12" s="18">
        <f t="shared" si="7"/>
        <v>374910.25400000002</v>
      </c>
      <c r="AF12" s="18">
        <f t="shared" si="7"/>
        <v>374910.25400000002</v>
      </c>
      <c r="AG12" s="18">
        <f t="shared" si="7"/>
        <v>374910.25400000002</v>
      </c>
      <c r="AH12" s="18">
        <f t="shared" si="7"/>
        <v>374910.25400000002</v>
      </c>
      <c r="AI12" s="18">
        <f t="shared" si="7"/>
        <v>369687.40498729801</v>
      </c>
      <c r="AJ12" s="18" t="str">
        <f t="shared" si="7"/>
        <v/>
      </c>
      <c r="AK12" s="18"/>
      <c r="AS12">
        <v>138831</v>
      </c>
      <c r="AT12">
        <v>138831</v>
      </c>
      <c r="AU12">
        <v>138831</v>
      </c>
      <c r="AV12">
        <v>138831</v>
      </c>
      <c r="AW12">
        <v>140944.858159875</v>
      </c>
    </row>
    <row r="13" spans="1:52">
      <c r="A13" t="s">
        <v>103</v>
      </c>
      <c r="B13" s="1" t="s">
        <v>104</v>
      </c>
      <c r="C13" t="s">
        <v>105</v>
      </c>
      <c r="D13" t="s">
        <v>54</v>
      </c>
      <c r="E13" s="1"/>
      <c r="F13" t="s">
        <v>96</v>
      </c>
      <c r="G13" s="1" t="s">
        <v>56</v>
      </c>
      <c r="H13" t="s">
        <v>57</v>
      </c>
      <c r="I13" s="3">
        <v>44561</v>
      </c>
      <c r="J13" s="26">
        <v>226210000000</v>
      </c>
      <c r="K13" s="26">
        <v>162465000000</v>
      </c>
      <c r="L13" s="26">
        <v>250506000000</v>
      </c>
      <c r="M13">
        <f>L13+5640000000</f>
        <v>256146000000</v>
      </c>
      <c r="N13" s="26">
        <v>239535000000</v>
      </c>
      <c r="O13" t="s">
        <v>64</v>
      </c>
      <c r="P13" t="s">
        <v>97</v>
      </c>
      <c r="R13">
        <v>63</v>
      </c>
      <c r="S13">
        <v>66</v>
      </c>
      <c r="T13">
        <v>62</v>
      </c>
      <c r="U13">
        <v>54</v>
      </c>
      <c r="V13">
        <v>57</v>
      </c>
      <c r="Y13">
        <v>3</v>
      </c>
      <c r="Z13">
        <v>3</v>
      </c>
      <c r="AA13">
        <v>2</v>
      </c>
      <c r="AB13">
        <v>4</v>
      </c>
      <c r="AC13">
        <v>4</v>
      </c>
      <c r="AE13" s="18" t="str">
        <f t="shared" si="7"/>
        <v/>
      </c>
      <c r="AF13" s="18">
        <f t="shared" si="7"/>
        <v>66</v>
      </c>
      <c r="AG13" s="18">
        <f t="shared" si="7"/>
        <v>69</v>
      </c>
      <c r="AH13" s="18">
        <f t="shared" si="7"/>
        <v>64</v>
      </c>
      <c r="AI13" s="18">
        <f t="shared" si="7"/>
        <v>58</v>
      </c>
      <c r="AJ13" s="18">
        <f t="shared" si="7"/>
        <v>61</v>
      </c>
      <c r="AM13">
        <v>613</v>
      </c>
      <c r="AN13">
        <v>628</v>
      </c>
      <c r="AO13">
        <v>639</v>
      </c>
      <c r="AP13">
        <v>583</v>
      </c>
      <c r="AQ13">
        <v>611</v>
      </c>
      <c r="AT13" s="79">
        <f>9100*AM13/$AP13</f>
        <v>9568.2675814751292</v>
      </c>
      <c r="AU13" s="79">
        <f>9100*AN13/$AP13</f>
        <v>9802.4013722126929</v>
      </c>
      <c r="AV13" s="79">
        <f>9100*AO13/$AP13</f>
        <v>9974.0994854202399</v>
      </c>
      <c r="AW13">
        <v>9100</v>
      </c>
      <c r="AX13">
        <v>9500</v>
      </c>
    </row>
    <row r="14" spans="1:52">
      <c r="A14" t="s">
        <v>106</v>
      </c>
      <c r="B14" s="1" t="s">
        <v>107</v>
      </c>
      <c r="C14" t="s">
        <v>108</v>
      </c>
      <c r="D14" t="s">
        <v>54</v>
      </c>
      <c r="E14" s="1" t="s">
        <v>63</v>
      </c>
      <c r="F14" t="s">
        <v>101</v>
      </c>
      <c r="G14" s="1" t="s">
        <v>56</v>
      </c>
      <c r="H14" t="s">
        <v>57</v>
      </c>
      <c r="I14">
        <v>2019</v>
      </c>
      <c r="J14">
        <v>2839987963</v>
      </c>
      <c r="K14">
        <v>1989900000</v>
      </c>
      <c r="L14">
        <v>4601187963</v>
      </c>
      <c r="M14">
        <v>4953787963</v>
      </c>
      <c r="N14">
        <v>3503800000</v>
      </c>
      <c r="O14" t="s">
        <v>58</v>
      </c>
      <c r="P14" t="s">
        <v>102</v>
      </c>
      <c r="Q14">
        <v>33209464.625</v>
      </c>
      <c r="R14">
        <v>32357763.7366</v>
      </c>
      <c r="S14">
        <v>31034981.663759999</v>
      </c>
      <c r="T14">
        <v>30349904.449799899</v>
      </c>
      <c r="U14">
        <v>25607731.879518699</v>
      </c>
      <c r="X14">
        <v>4431504.7156481296</v>
      </c>
      <c r="Y14">
        <v>4473104.3565879799</v>
      </c>
      <c r="Z14">
        <v>4413355.3696956905</v>
      </c>
      <c r="AA14">
        <v>4426105.2359619504</v>
      </c>
      <c r="AB14">
        <v>3671367</v>
      </c>
      <c r="AE14">
        <v>37640969.3406481</v>
      </c>
      <c r="AF14">
        <v>36830868.093188003</v>
      </c>
      <c r="AG14">
        <v>35448337.0334557</v>
      </c>
      <c r="AH14">
        <v>34776009.685761802</v>
      </c>
      <c r="AI14">
        <v>29279098.879518699</v>
      </c>
      <c r="AL14">
        <v>1934075.55568</v>
      </c>
      <c r="AM14">
        <v>2449774.8339999998</v>
      </c>
      <c r="AN14">
        <v>2449865.6460000002</v>
      </c>
      <c r="AO14">
        <v>2194701.7039999999</v>
      </c>
      <c r="AP14">
        <v>1851779.56275</v>
      </c>
      <c r="AS14">
        <v>89951800</v>
      </c>
      <c r="AT14">
        <v>90796200</v>
      </c>
      <c r="AU14">
        <v>89583400</v>
      </c>
      <c r="AV14">
        <v>89842200</v>
      </c>
      <c r="AW14">
        <v>74522333</v>
      </c>
    </row>
    <row r="15" spans="1:52">
      <c r="A15" t="s">
        <v>109</v>
      </c>
      <c r="B15" s="1" t="s">
        <v>110</v>
      </c>
      <c r="C15" t="s">
        <v>111</v>
      </c>
      <c r="D15" t="s">
        <v>54</v>
      </c>
      <c r="E15" s="1" t="s">
        <v>63</v>
      </c>
      <c r="F15" t="s">
        <v>55</v>
      </c>
      <c r="G15" s="1" t="s">
        <v>56</v>
      </c>
      <c r="H15" t="s">
        <v>57</v>
      </c>
      <c r="I15">
        <v>2019</v>
      </c>
      <c r="J15">
        <v>16352000000</v>
      </c>
      <c r="K15">
        <v>6845000000</v>
      </c>
      <c r="L15">
        <v>28163000000</v>
      </c>
      <c r="M15">
        <v>28303000000</v>
      </c>
      <c r="N15">
        <v>26837000000</v>
      </c>
      <c r="O15" t="s">
        <v>64</v>
      </c>
      <c r="P15" t="s">
        <v>65</v>
      </c>
      <c r="Q15">
        <v>12.6485763125094</v>
      </c>
      <c r="R15">
        <v>12.381008123704399</v>
      </c>
      <c r="S15">
        <v>12.277614766045099</v>
      </c>
      <c r="T15">
        <v>12.512963056846599</v>
      </c>
      <c r="U15">
        <v>10.700060724044199</v>
      </c>
      <c r="X15">
        <v>0</v>
      </c>
      <c r="Y15">
        <v>0</v>
      </c>
      <c r="Z15">
        <v>0</v>
      </c>
      <c r="AA15">
        <v>0</v>
      </c>
      <c r="AB15">
        <v>0</v>
      </c>
      <c r="AE15" s="18">
        <f t="shared" ref="AE15:AK15" si="8">IF(ISBLANK(Q15),IF(ISBLANK(X15),"",X15),Q15+X15)</f>
        <v>12.6485763125094</v>
      </c>
      <c r="AF15" s="18">
        <f t="shared" si="8"/>
        <v>12.381008123704399</v>
      </c>
      <c r="AG15" s="18">
        <f t="shared" si="8"/>
        <v>12.277614766045099</v>
      </c>
      <c r="AH15" s="18">
        <f t="shared" si="8"/>
        <v>12.512963056846599</v>
      </c>
      <c r="AI15" s="18">
        <f t="shared" si="8"/>
        <v>10.700060724044199</v>
      </c>
      <c r="AJ15" s="18" t="str">
        <f t="shared" si="8"/>
        <v/>
      </c>
      <c r="AK15" s="18" t="str">
        <f t="shared" si="8"/>
        <v/>
      </c>
      <c r="AS15">
        <v>16.692451879226802</v>
      </c>
      <c r="AT15">
        <v>16.1094990846277</v>
      </c>
      <c r="AU15">
        <v>15.767973619907</v>
      </c>
      <c r="AV15">
        <v>17.0235153303285</v>
      </c>
      <c r="AW15">
        <v>15.014898459545799</v>
      </c>
    </row>
    <row r="16" spans="1:52">
      <c r="A16" t="s">
        <v>112</v>
      </c>
      <c r="B16" s="1" t="s">
        <v>113</v>
      </c>
      <c r="C16" t="s">
        <v>114</v>
      </c>
      <c r="D16" t="s">
        <v>54</v>
      </c>
      <c r="E16" s="1" t="s">
        <v>63</v>
      </c>
      <c r="F16" t="s">
        <v>101</v>
      </c>
      <c r="G16" s="1" t="s">
        <v>56</v>
      </c>
      <c r="H16" t="s">
        <v>57</v>
      </c>
      <c r="I16">
        <v>2019</v>
      </c>
      <c r="J16">
        <v>1900000000</v>
      </c>
      <c r="K16">
        <v>5829002000</v>
      </c>
      <c r="L16" s="70">
        <f>M16</f>
        <v>3154921000</v>
      </c>
      <c r="M16">
        <v>3154921000</v>
      </c>
      <c r="N16">
        <v>3758771000</v>
      </c>
      <c r="O16" t="s">
        <v>58</v>
      </c>
      <c r="P16" t="s">
        <v>102</v>
      </c>
      <c r="Q16">
        <v>1048006</v>
      </c>
      <c r="R16">
        <v>1048006</v>
      </c>
      <c r="S16">
        <v>1048006</v>
      </c>
      <c r="T16">
        <v>1048006</v>
      </c>
      <c r="U16">
        <v>1106156</v>
      </c>
      <c r="X16">
        <v>2548437</v>
      </c>
      <c r="Y16">
        <v>2548437</v>
      </c>
      <c r="Z16">
        <v>2548437</v>
      </c>
      <c r="AA16">
        <v>1500431</v>
      </c>
      <c r="AB16">
        <v>1466830</v>
      </c>
      <c r="AE16">
        <v>3596443</v>
      </c>
      <c r="AF16">
        <v>3596443</v>
      </c>
      <c r="AG16">
        <v>3596443</v>
      </c>
      <c r="AH16">
        <v>2548437</v>
      </c>
      <c r="AI16">
        <v>2572986</v>
      </c>
      <c r="AS16">
        <v>5301216</v>
      </c>
      <c r="AT16">
        <v>5301216</v>
      </c>
      <c r="AU16">
        <v>5301216</v>
      </c>
      <c r="AV16">
        <v>5301216</v>
      </c>
      <c r="AW16">
        <v>5543677</v>
      </c>
    </row>
    <row r="17" spans="1:50">
      <c r="A17" t="s">
        <v>115</v>
      </c>
      <c r="B17" s="1" t="s">
        <v>116</v>
      </c>
      <c r="C17" t="s">
        <v>117</v>
      </c>
      <c r="D17" t="s">
        <v>54</v>
      </c>
      <c r="E17" s="1" t="s">
        <v>63</v>
      </c>
      <c r="F17" t="s">
        <v>55</v>
      </c>
      <c r="G17" s="1" t="s">
        <v>56</v>
      </c>
      <c r="H17" t="s">
        <v>57</v>
      </c>
      <c r="I17">
        <v>2019</v>
      </c>
      <c r="J17" s="70">
        <f>J9</f>
        <v>3528768075</v>
      </c>
      <c r="K17">
        <v>1639605000</v>
      </c>
      <c r="L17" s="70">
        <f>L9</f>
        <v>6659087075</v>
      </c>
      <c r="M17" s="70">
        <f>M9</f>
        <v>6668864075</v>
      </c>
      <c r="N17">
        <v>7476298000</v>
      </c>
      <c r="O17" t="s">
        <v>64</v>
      </c>
      <c r="P17" t="s">
        <v>65</v>
      </c>
      <c r="Q17">
        <v>9.98209123846366</v>
      </c>
      <c r="R17">
        <v>8.7791840316313294</v>
      </c>
      <c r="S17">
        <v>9.3084717803376105</v>
      </c>
      <c r="T17">
        <v>8.4480133281525607</v>
      </c>
      <c r="U17">
        <v>8.0503032419862404</v>
      </c>
      <c r="X17">
        <v>0</v>
      </c>
      <c r="Y17">
        <v>0</v>
      </c>
      <c r="Z17">
        <v>0</v>
      </c>
      <c r="AA17">
        <v>0</v>
      </c>
      <c r="AB17">
        <v>0</v>
      </c>
      <c r="AE17" s="18">
        <f t="shared" ref="AE17:AK21" si="9">IF(ISBLANK(Q17),IF(ISBLANK(X17),"",X17),Q17+X17)</f>
        <v>9.98209123846366</v>
      </c>
      <c r="AF17" s="18">
        <f t="shared" si="9"/>
        <v>8.7791840316313294</v>
      </c>
      <c r="AG17" s="18">
        <f t="shared" si="9"/>
        <v>9.3084717803376105</v>
      </c>
      <c r="AH17" s="18">
        <f t="shared" si="9"/>
        <v>8.4480133281525607</v>
      </c>
      <c r="AI17" s="18">
        <f t="shared" si="9"/>
        <v>8.0503032419862404</v>
      </c>
      <c r="AJ17" s="18" t="str">
        <f t="shared" si="9"/>
        <v/>
      </c>
      <c r="AK17" s="18" t="str">
        <f t="shared" si="9"/>
        <v/>
      </c>
      <c r="AS17">
        <v>13.525581534692501</v>
      </c>
      <c r="AT17">
        <v>11.5214877484265</v>
      </c>
      <c r="AU17">
        <v>12.199646670480099</v>
      </c>
      <c r="AV17">
        <v>12.8612387470939</v>
      </c>
      <c r="AW17">
        <v>12.092829316131199</v>
      </c>
    </row>
    <row r="18" spans="1:50">
      <c r="A18" t="s">
        <v>118</v>
      </c>
      <c r="B18" s="1" t="s">
        <v>119</v>
      </c>
      <c r="C18" t="s">
        <v>120</v>
      </c>
      <c r="D18" t="s">
        <v>54</v>
      </c>
      <c r="E18" s="1" t="s">
        <v>63</v>
      </c>
      <c r="F18" t="s">
        <v>55</v>
      </c>
      <c r="G18" s="1" t="s">
        <v>56</v>
      </c>
      <c r="H18" t="s">
        <v>57</v>
      </c>
      <c r="I18">
        <v>2019</v>
      </c>
      <c r="J18">
        <v>29100000000</v>
      </c>
      <c r="K18">
        <v>12574000000</v>
      </c>
      <c r="L18">
        <v>48092000000</v>
      </c>
      <c r="M18">
        <v>49073000000</v>
      </c>
      <c r="N18">
        <v>58079000000</v>
      </c>
      <c r="O18" t="s">
        <v>64</v>
      </c>
      <c r="P18" t="s">
        <v>65</v>
      </c>
      <c r="Q18">
        <v>1.32578662140228</v>
      </c>
      <c r="R18">
        <v>1.3237389779454301</v>
      </c>
      <c r="S18">
        <v>1.2684298153370399</v>
      </c>
      <c r="T18">
        <v>1.2026904049517599</v>
      </c>
      <c r="U18">
        <v>1.32787923872953</v>
      </c>
      <c r="X18">
        <v>0</v>
      </c>
      <c r="Y18">
        <v>0</v>
      </c>
      <c r="Z18">
        <v>0</v>
      </c>
      <c r="AA18">
        <v>0</v>
      </c>
      <c r="AB18">
        <v>0</v>
      </c>
      <c r="AE18" s="18">
        <f t="shared" si="9"/>
        <v>1.32578662140228</v>
      </c>
      <c r="AF18" s="18">
        <f t="shared" si="9"/>
        <v>1.3237389779454301</v>
      </c>
      <c r="AG18" s="18">
        <f t="shared" si="9"/>
        <v>1.2684298153370399</v>
      </c>
      <c r="AH18" s="18">
        <f t="shared" si="9"/>
        <v>1.2026904049517599</v>
      </c>
      <c r="AI18" s="18">
        <f t="shared" si="9"/>
        <v>1.32787923872953</v>
      </c>
      <c r="AJ18" s="18" t="str">
        <f t="shared" si="9"/>
        <v/>
      </c>
      <c r="AK18" s="18" t="str">
        <f t="shared" si="9"/>
        <v/>
      </c>
      <c r="AS18">
        <v>3.0828950000000002</v>
      </c>
      <c r="AT18">
        <v>3.095761</v>
      </c>
      <c r="AU18">
        <v>2.9563009999999998</v>
      </c>
      <c r="AV18">
        <v>2.8198500000000002</v>
      </c>
      <c r="AW18">
        <v>3.1220319999999999</v>
      </c>
    </row>
    <row r="19" spans="1:50">
      <c r="A19" t="s">
        <v>121</v>
      </c>
      <c r="B19" s="1" t="s">
        <v>122</v>
      </c>
      <c r="C19" t="s">
        <v>123</v>
      </c>
      <c r="D19" t="s">
        <v>54</v>
      </c>
      <c r="E19" s="1" t="s">
        <v>63</v>
      </c>
      <c r="F19" t="s">
        <v>55</v>
      </c>
      <c r="G19" s="1" t="s">
        <v>56</v>
      </c>
      <c r="H19" t="s">
        <v>57</v>
      </c>
      <c r="I19" s="3">
        <v>44561</v>
      </c>
      <c r="J19" s="26">
        <v>23150000000</v>
      </c>
      <c r="K19" s="26">
        <v>14964000000</v>
      </c>
      <c r="L19" s="26">
        <v>40810000000</v>
      </c>
      <c r="M19" s="26">
        <f>L19+67000000</f>
        <v>40877000000</v>
      </c>
      <c r="N19" s="26">
        <v>39719000000</v>
      </c>
      <c r="O19" t="s">
        <v>64</v>
      </c>
      <c r="P19" t="s">
        <v>65</v>
      </c>
      <c r="Q19">
        <v>26.800952219832499</v>
      </c>
      <c r="R19">
        <v>27.947696991438701</v>
      </c>
      <c r="S19">
        <v>29.956332607558998</v>
      </c>
      <c r="T19">
        <f>28520222/1000000</f>
        <v>28.520222</v>
      </c>
      <c r="U19">
        <f>21238469/1000000</f>
        <v>21.238468999999998</v>
      </c>
      <c r="V19">
        <f>29051688/1000000</f>
        <v>29.051687999999999</v>
      </c>
      <c r="X19">
        <v>0</v>
      </c>
      <c r="Y19">
        <v>0</v>
      </c>
      <c r="Z19">
        <v>0</v>
      </c>
      <c r="AA19">
        <f>3487064/1000000</f>
        <v>3.4870640000000002</v>
      </c>
      <c r="AB19">
        <f>8004145/1000000</f>
        <v>8.0041449999999994</v>
      </c>
      <c r="AC19">
        <f>1708447/1000000</f>
        <v>1.708447</v>
      </c>
      <c r="AE19" s="18">
        <f t="shared" si="9"/>
        <v>26.800952219832499</v>
      </c>
      <c r="AF19" s="18">
        <f t="shared" si="9"/>
        <v>27.947696991438701</v>
      </c>
      <c r="AG19" s="18">
        <f t="shared" si="9"/>
        <v>29.956332607558998</v>
      </c>
      <c r="AH19" s="18">
        <f t="shared" si="9"/>
        <v>32.007286000000001</v>
      </c>
      <c r="AI19" s="18">
        <f t="shared" si="9"/>
        <v>29.242613999999996</v>
      </c>
      <c r="AJ19" s="18">
        <f t="shared" si="9"/>
        <v>30.760134999999998</v>
      </c>
      <c r="AK19" s="18" t="str">
        <f t="shared" si="9"/>
        <v/>
      </c>
      <c r="AS19">
        <v>38.338929711799999</v>
      </c>
      <c r="AT19">
        <v>38.489939228899999</v>
      </c>
      <c r="AU19">
        <v>39.794065703999998</v>
      </c>
      <c r="AV19">
        <f>25.3+2.8+9.7+0.06+3.7</f>
        <v>41.56</v>
      </c>
      <c r="AW19">
        <f>18.4+4+5.9+0.07+4.3</f>
        <v>32.669999999999995</v>
      </c>
      <c r="AX19">
        <f>28.6+1.4+9+1.2+3.6</f>
        <v>43.800000000000004</v>
      </c>
    </row>
    <row r="20" spans="1:50">
      <c r="A20" t="s">
        <v>124</v>
      </c>
      <c r="B20" s="1" t="s">
        <v>125</v>
      </c>
      <c r="C20" t="s">
        <v>126</v>
      </c>
      <c r="D20" t="s">
        <v>54</v>
      </c>
      <c r="E20" s="1" t="s">
        <v>63</v>
      </c>
      <c r="F20" t="s">
        <v>55</v>
      </c>
      <c r="G20" s="1" t="s">
        <v>56</v>
      </c>
      <c r="H20" t="s">
        <v>57</v>
      </c>
      <c r="I20">
        <v>2019</v>
      </c>
      <c r="J20">
        <v>62000000000</v>
      </c>
      <c r="K20">
        <v>16572000000</v>
      </c>
      <c r="L20">
        <v>95658000000</v>
      </c>
      <c r="M20">
        <v>95824000000</v>
      </c>
      <c r="N20">
        <v>103823000000</v>
      </c>
      <c r="O20" t="s">
        <v>64</v>
      </c>
      <c r="P20" t="s">
        <v>65</v>
      </c>
      <c r="Q20">
        <v>43.346668252252499</v>
      </c>
      <c r="R20">
        <v>36.8693615036822</v>
      </c>
      <c r="S20">
        <v>35.120067341795298</v>
      </c>
      <c r="T20">
        <v>31.432803553609599</v>
      </c>
      <c r="U20">
        <v>32.246843518396602</v>
      </c>
      <c r="X20">
        <v>0</v>
      </c>
      <c r="Y20">
        <v>0</v>
      </c>
      <c r="Z20">
        <v>0</v>
      </c>
      <c r="AA20">
        <v>0</v>
      </c>
      <c r="AB20">
        <v>0</v>
      </c>
      <c r="AE20" s="18">
        <f t="shared" si="9"/>
        <v>43.346668252252499</v>
      </c>
      <c r="AF20" s="18">
        <f t="shared" si="9"/>
        <v>36.8693615036822</v>
      </c>
      <c r="AG20" s="18">
        <f t="shared" si="9"/>
        <v>35.120067341795298</v>
      </c>
      <c r="AH20" s="18">
        <f t="shared" si="9"/>
        <v>31.432803553609599</v>
      </c>
      <c r="AI20" s="18">
        <f t="shared" si="9"/>
        <v>32.246843518396602</v>
      </c>
      <c r="AJ20" s="18" t="str">
        <f t="shared" si="9"/>
        <v/>
      </c>
      <c r="AK20" s="18" t="str">
        <f t="shared" si="9"/>
        <v/>
      </c>
      <c r="AS20">
        <v>102.3781215467</v>
      </c>
      <c r="AT20">
        <v>95.363361617799995</v>
      </c>
      <c r="AU20">
        <v>95.723638083700195</v>
      </c>
      <c r="AV20">
        <v>97.768233357200003</v>
      </c>
      <c r="AW20">
        <v>101.0949584695</v>
      </c>
    </row>
    <row r="21" spans="1:50">
      <c r="A21" t="s">
        <v>127</v>
      </c>
      <c r="B21" s="1" t="s">
        <v>128</v>
      </c>
      <c r="C21" t="s">
        <v>129</v>
      </c>
      <c r="D21" t="s">
        <v>54</v>
      </c>
      <c r="E21" s="1" t="s">
        <v>63</v>
      </c>
      <c r="F21" t="s">
        <v>55</v>
      </c>
      <c r="G21" s="1" t="s">
        <v>56</v>
      </c>
      <c r="H21" t="s">
        <v>57</v>
      </c>
      <c r="I21">
        <v>2019</v>
      </c>
      <c r="J21">
        <v>64230558771</v>
      </c>
      <c r="K21">
        <v>25079000000</v>
      </c>
      <c r="L21">
        <v>126981558771</v>
      </c>
      <c r="M21">
        <v>127292558771</v>
      </c>
      <c r="N21">
        <v>158838000000</v>
      </c>
      <c r="O21" t="s">
        <v>64</v>
      </c>
      <c r="P21" t="s">
        <v>65</v>
      </c>
      <c r="Q21">
        <v>101.019277096862</v>
      </c>
      <c r="R21">
        <v>93.530450474088099</v>
      </c>
      <c r="S21">
        <v>95.012237689685406</v>
      </c>
      <c r="T21">
        <v>83.573620116699004</v>
      </c>
      <c r="U21">
        <v>74.771237187252794</v>
      </c>
      <c r="X21">
        <v>0</v>
      </c>
      <c r="Y21">
        <v>0</v>
      </c>
      <c r="Z21">
        <v>0</v>
      </c>
      <c r="AA21">
        <v>0</v>
      </c>
      <c r="AB21">
        <v>0</v>
      </c>
      <c r="AE21" s="18">
        <f t="shared" si="9"/>
        <v>101.019277096862</v>
      </c>
      <c r="AF21" s="18">
        <f t="shared" si="9"/>
        <v>93.530450474088099</v>
      </c>
      <c r="AG21" s="18">
        <f t="shared" si="9"/>
        <v>95.012237689685406</v>
      </c>
      <c r="AH21" s="18">
        <f t="shared" si="9"/>
        <v>83.573620116699004</v>
      </c>
      <c r="AI21" s="18">
        <f t="shared" si="9"/>
        <v>74.771237187252794</v>
      </c>
      <c r="AJ21" s="18" t="str">
        <f t="shared" si="9"/>
        <v/>
      </c>
      <c r="AK21" s="18" t="str">
        <f t="shared" si="9"/>
        <v/>
      </c>
      <c r="AS21">
        <v>215.728917587978</v>
      </c>
      <c r="AT21">
        <v>209.732414023438</v>
      </c>
      <c r="AU21">
        <v>215.512044238328</v>
      </c>
      <c r="AV21">
        <v>206.167169888941</v>
      </c>
      <c r="AW21">
        <v>199.53951726531801</v>
      </c>
    </row>
    <row r="22" spans="1:50">
      <c r="A22" t="s">
        <v>130</v>
      </c>
      <c r="B22" s="1" t="s">
        <v>131</v>
      </c>
      <c r="C22" t="s">
        <v>132</v>
      </c>
      <c r="D22" t="s">
        <v>133</v>
      </c>
      <c r="E22" s="1" t="s">
        <v>95</v>
      </c>
      <c r="F22" t="s">
        <v>55</v>
      </c>
      <c r="G22" s="1" t="s">
        <v>56</v>
      </c>
      <c r="H22" t="s">
        <v>57</v>
      </c>
      <c r="I22" s="3">
        <v>44561</v>
      </c>
      <c r="J22">
        <v>50211000000</v>
      </c>
      <c r="K22">
        <v>84461000000</v>
      </c>
      <c r="L22">
        <f>M22-9919000000</f>
        <v>83280000000</v>
      </c>
      <c r="M22">
        <f>$J22+42988000000</f>
        <v>93199000000</v>
      </c>
      <c r="N22">
        <v>360966000000</v>
      </c>
      <c r="O22" t="s">
        <v>64</v>
      </c>
      <c r="P22" t="s">
        <v>59</v>
      </c>
      <c r="S22">
        <v>35.700000000000003</v>
      </c>
      <c r="T22">
        <v>33</v>
      </c>
      <c r="U22">
        <v>28</v>
      </c>
      <c r="V22">
        <v>27</v>
      </c>
      <c r="Z22">
        <v>0.47</v>
      </c>
      <c r="AA22">
        <v>0.3</v>
      </c>
      <c r="AB22">
        <v>0.3</v>
      </c>
      <c r="AC22">
        <v>0.3</v>
      </c>
      <c r="AE22" s="18"/>
      <c r="AF22" s="18"/>
      <c r="AG22" s="18">
        <f t="shared" ref="AG22:AJ23" si="10">IF(ISBLANK(S22),IF(ISBLANK(Z22),"",Z22),S22+Z22)</f>
        <v>36.17</v>
      </c>
      <c r="AH22" s="18">
        <f t="shared" si="10"/>
        <v>33.299999999999997</v>
      </c>
      <c r="AI22" s="18">
        <f t="shared" si="10"/>
        <v>28.3</v>
      </c>
      <c r="AJ22" s="18">
        <f t="shared" si="10"/>
        <v>27.3</v>
      </c>
      <c r="AK22" s="18"/>
      <c r="AN22">
        <v>110.8</v>
      </c>
      <c r="AO22">
        <v>119</v>
      </c>
      <c r="AP22">
        <v>107</v>
      </c>
      <c r="AQ22">
        <v>102</v>
      </c>
      <c r="AT22">
        <f>43769+27879</f>
        <v>71648</v>
      </c>
      <c r="AU22">
        <f>43939+28944</f>
        <v>72883</v>
      </c>
      <c r="AV22">
        <f>44526+28527</f>
        <v>73053</v>
      </c>
      <c r="AW22">
        <f>40850+29462</f>
        <v>70312</v>
      </c>
      <c r="AX22">
        <f>43372+36032</f>
        <v>79404</v>
      </c>
    </row>
    <row r="23" spans="1:50">
      <c r="A23" t="s">
        <v>134</v>
      </c>
      <c r="B23" s="1" t="s">
        <v>135</v>
      </c>
      <c r="C23" t="s">
        <v>136</v>
      </c>
      <c r="D23" t="s">
        <v>54</v>
      </c>
      <c r="E23" s="1" t="s">
        <v>63</v>
      </c>
      <c r="F23" t="s">
        <v>55</v>
      </c>
      <c r="G23" s="1" t="s">
        <v>56</v>
      </c>
      <c r="H23" t="s">
        <v>57</v>
      </c>
      <c r="I23" s="3">
        <v>44561</v>
      </c>
      <c r="J23" s="26">
        <v>25920000000</v>
      </c>
      <c r="K23" s="26">
        <v>14905000000</v>
      </c>
      <c r="L23" s="26">
        <v>55360000000</v>
      </c>
      <c r="M23" s="26">
        <f>L23+390000000</f>
        <v>55750000000</v>
      </c>
      <c r="N23" s="26">
        <v>74745000000</v>
      </c>
      <c r="O23" t="s">
        <v>64</v>
      </c>
      <c r="P23" t="s">
        <v>65</v>
      </c>
      <c r="Q23">
        <v>2.4</v>
      </c>
      <c r="R23">
        <v>1.9</v>
      </c>
      <c r="S23">
        <v>1.1000000000000001</v>
      </c>
      <c r="T23">
        <v>1.4</v>
      </c>
      <c r="U23">
        <v>1.4</v>
      </c>
      <c r="V23">
        <v>1</v>
      </c>
      <c r="X23">
        <v>1.6</v>
      </c>
      <c r="Y23">
        <v>1.3</v>
      </c>
      <c r="Z23">
        <v>1.2</v>
      </c>
      <c r="AA23">
        <v>0.6</v>
      </c>
      <c r="AB23">
        <v>0.8</v>
      </c>
      <c r="AC23">
        <v>0.8</v>
      </c>
      <c r="AE23" s="18">
        <f>IF(ISBLANK(Q23),IF(ISBLANK(X23),"",X23),Q23+X23)</f>
        <v>4</v>
      </c>
      <c r="AF23" s="18">
        <f>IF(ISBLANK(R23),IF(ISBLANK(Y23),"",Y23),R23+Y23)</f>
        <v>3.2</v>
      </c>
      <c r="AG23" s="18">
        <f t="shared" si="10"/>
        <v>2.2999999999999998</v>
      </c>
      <c r="AH23" s="18">
        <f t="shared" si="10"/>
        <v>2</v>
      </c>
      <c r="AI23" s="18">
        <f t="shared" si="10"/>
        <v>2.2000000000000002</v>
      </c>
      <c r="AJ23" s="18">
        <f t="shared" si="10"/>
        <v>1.8</v>
      </c>
      <c r="AK23" s="18" t="str">
        <f>IF(ISBLANK(W23),IF(ISBLANK(AD23),"",AD23),W23+AD23)</f>
        <v/>
      </c>
      <c r="AL23">
        <v>20.6</v>
      </c>
      <c r="AM23">
        <v>16.600000000000001</v>
      </c>
      <c r="AN23">
        <v>15.8</v>
      </c>
      <c r="AO23">
        <v>9.8000000000000007</v>
      </c>
      <c r="AP23">
        <v>11.9</v>
      </c>
      <c r="AQ23">
        <v>11.6</v>
      </c>
      <c r="AS23" s="70">
        <f>(AE23+AL23)/0.26</f>
        <v>94.615384615384613</v>
      </c>
      <c r="AT23" s="70">
        <f>(AF23+AM23)/0.23</f>
        <v>86.086956521739125</v>
      </c>
      <c r="AU23">
        <f>(AG23+AN23)/0.23</f>
        <v>78.695652173913047</v>
      </c>
      <c r="AV23">
        <f>(AH23+AO23)/0.18</f>
        <v>65.555555555555557</v>
      </c>
      <c r="AW23">
        <f>(AI23+AP23)/0.21</f>
        <v>67.142857142857153</v>
      </c>
      <c r="AX23">
        <f>(AJ23+AQ23)/0.2</f>
        <v>67</v>
      </c>
    </row>
    <row r="24" spans="1:50">
      <c r="A24" t="s">
        <v>137</v>
      </c>
      <c r="B24" s="1" t="s">
        <v>138</v>
      </c>
      <c r="C24" t="s">
        <v>139</v>
      </c>
      <c r="D24" t="s">
        <v>140</v>
      </c>
      <c r="E24" s="1" t="s">
        <v>141</v>
      </c>
      <c r="F24" t="s">
        <v>55</v>
      </c>
      <c r="G24" s="1" t="s">
        <v>56</v>
      </c>
      <c r="H24" t="s">
        <v>57</v>
      </c>
      <c r="I24" s="3">
        <v>44196</v>
      </c>
      <c r="J24">
        <v>8105859000</v>
      </c>
      <c r="K24" s="26">
        <v>12064489000</v>
      </c>
      <c r="L24">
        <v>11943556000</v>
      </c>
      <c r="M24">
        <f>L24+1649486000</f>
        <v>13593042000</v>
      </c>
      <c r="N24" s="26">
        <v>26933558000</v>
      </c>
      <c r="O24" t="s">
        <v>142</v>
      </c>
      <c r="P24" t="s">
        <v>59</v>
      </c>
      <c r="S24">
        <v>6817</v>
      </c>
      <c r="T24">
        <v>6964</v>
      </c>
      <c r="U24">
        <v>6896</v>
      </c>
      <c r="Z24">
        <v>115</v>
      </c>
      <c r="AA24">
        <v>41</v>
      </c>
      <c r="AB24">
        <v>86</v>
      </c>
      <c r="AE24" s="18"/>
      <c r="AF24" s="18"/>
      <c r="AG24" s="18">
        <f t="shared" ref="AG24:AG40" si="11">IF(ISBLANK(S24),IF(ISBLANK(Z24),"",Z24),S24+Z24)</f>
        <v>6932</v>
      </c>
      <c r="AH24" s="18">
        <f t="shared" ref="AH24:AH40" si="12">IF(ISBLANK(T24),IF(ISBLANK(AA24),"",AA24),T24+AA24)</f>
        <v>7005</v>
      </c>
      <c r="AI24" s="18">
        <f t="shared" ref="AI24:AI40" si="13">IF(ISBLANK(U24),IF(ISBLANK(AB24),"",AB24),U24+AB24)</f>
        <v>6982</v>
      </c>
      <c r="AJ24" s="18"/>
      <c r="AK24" s="18"/>
      <c r="AN24">
        <v>5261</v>
      </c>
      <c r="AO24">
        <v>5819</v>
      </c>
      <c r="AP24">
        <v>5315</v>
      </c>
      <c r="AU24">
        <v>39863</v>
      </c>
      <c r="AV24">
        <v>41760</v>
      </c>
      <c r="AW24">
        <v>40455</v>
      </c>
    </row>
    <row r="25" spans="1:50">
      <c r="A25" t="s">
        <v>143</v>
      </c>
      <c r="B25" s="1" t="s">
        <v>144</v>
      </c>
      <c r="C25" t="s">
        <v>145</v>
      </c>
      <c r="D25" t="s">
        <v>54</v>
      </c>
      <c r="E25" s="1" t="s">
        <v>63</v>
      </c>
      <c r="F25" t="s">
        <v>55</v>
      </c>
      <c r="G25" s="1" t="s">
        <v>56</v>
      </c>
      <c r="H25" t="s">
        <v>57</v>
      </c>
      <c r="I25">
        <v>2019</v>
      </c>
      <c r="J25">
        <v>20500000000</v>
      </c>
      <c r="K25">
        <v>10878673000</v>
      </c>
      <c r="L25">
        <v>39134228000</v>
      </c>
      <c r="M25">
        <v>39559950000</v>
      </c>
      <c r="N25">
        <v>51723912000</v>
      </c>
      <c r="O25" t="s">
        <v>64</v>
      </c>
      <c r="P25" t="s">
        <v>65</v>
      </c>
      <c r="Q25">
        <v>32.534277276775498</v>
      </c>
      <c r="R25">
        <v>31.452615946488201</v>
      </c>
      <c r="S25">
        <v>34.632403953117503</v>
      </c>
      <c r="T25">
        <v>33.246229122713601</v>
      </c>
      <c r="U25">
        <v>30.543162251514801</v>
      </c>
      <c r="X25">
        <v>0</v>
      </c>
      <c r="Y25">
        <v>0</v>
      </c>
      <c r="Z25">
        <v>0</v>
      </c>
      <c r="AA25">
        <v>0</v>
      </c>
      <c r="AB25">
        <v>0</v>
      </c>
      <c r="AE25" s="18">
        <f t="shared" ref="AE25:AE35" si="14">IF(ISBLANK(Q25),IF(ISBLANK(X25),"",X25),Q25+X25)</f>
        <v>32.534277276775498</v>
      </c>
      <c r="AF25" s="18">
        <f t="shared" ref="AF25:AF35" si="15">IF(ISBLANK(R25),IF(ISBLANK(Y25),"",Y25),R25+Y25)</f>
        <v>31.452615946488201</v>
      </c>
      <c r="AG25" s="18">
        <f t="shared" si="11"/>
        <v>34.632403953117503</v>
      </c>
      <c r="AH25" s="18">
        <f t="shared" si="12"/>
        <v>33.246229122713601</v>
      </c>
      <c r="AI25" s="18">
        <f t="shared" si="13"/>
        <v>30.543162251514801</v>
      </c>
      <c r="AJ25" s="18" t="str">
        <f t="shared" ref="AJ25:AJ35" si="16">IF(ISBLANK(V25),IF(ISBLANK(AC25),"",AC25),V25+AC25)</f>
        <v/>
      </c>
      <c r="AK25" s="18" t="str">
        <f t="shared" ref="AK25:AK35" si="17">IF(ISBLANK(W25),IF(ISBLANK(AD25),"",AD25),W25+AD25)</f>
        <v/>
      </c>
      <c r="AS25">
        <v>95.811363396945296</v>
      </c>
      <c r="AT25">
        <v>90.773791353405699</v>
      </c>
      <c r="AU25">
        <v>97.9689857895942</v>
      </c>
      <c r="AV25">
        <v>102.30344268821401</v>
      </c>
      <c r="AW25">
        <v>102.664904189743</v>
      </c>
    </row>
    <row r="26" spans="1:50">
      <c r="A26" t="s">
        <v>146</v>
      </c>
      <c r="B26" s="1" t="s">
        <v>147</v>
      </c>
      <c r="C26" t="s">
        <v>148</v>
      </c>
      <c r="D26" t="s">
        <v>54</v>
      </c>
      <c r="E26" s="1" t="s">
        <v>63</v>
      </c>
      <c r="F26" t="s">
        <v>55</v>
      </c>
      <c r="G26" s="1" t="s">
        <v>56</v>
      </c>
      <c r="H26" t="s">
        <v>57</v>
      </c>
      <c r="I26">
        <v>2019</v>
      </c>
      <c r="J26">
        <v>14138041261</v>
      </c>
      <c r="K26">
        <v>5147800000</v>
      </c>
      <c r="L26">
        <v>22861541261</v>
      </c>
      <c r="M26">
        <v>22884741261</v>
      </c>
      <c r="N26">
        <v>25975900000</v>
      </c>
      <c r="O26" t="s">
        <v>64</v>
      </c>
      <c r="P26" t="s">
        <v>65</v>
      </c>
      <c r="Q26">
        <v>35.143399275736499</v>
      </c>
      <c r="R26">
        <v>32.270603331565901</v>
      </c>
      <c r="S26">
        <v>30.548667622949999</v>
      </c>
      <c r="T26">
        <v>26.749411150191399</v>
      </c>
      <c r="U26">
        <v>24.402943213709602</v>
      </c>
      <c r="X26">
        <v>0</v>
      </c>
      <c r="Y26">
        <v>0</v>
      </c>
      <c r="Z26">
        <v>0</v>
      </c>
      <c r="AA26">
        <v>0</v>
      </c>
      <c r="AB26">
        <v>0</v>
      </c>
      <c r="AE26" s="18">
        <f t="shared" si="14"/>
        <v>35.143399275736499</v>
      </c>
      <c r="AF26" s="18">
        <f t="shared" si="15"/>
        <v>32.270603331565901</v>
      </c>
      <c r="AG26" s="18">
        <f t="shared" si="11"/>
        <v>30.548667622949999</v>
      </c>
      <c r="AH26" s="18">
        <f t="shared" si="12"/>
        <v>26.749411150191399</v>
      </c>
      <c r="AI26" s="18">
        <f t="shared" si="13"/>
        <v>24.402943213709602</v>
      </c>
      <c r="AJ26" s="18" t="str">
        <f t="shared" si="16"/>
        <v/>
      </c>
      <c r="AK26" s="18" t="str">
        <f t="shared" si="17"/>
        <v/>
      </c>
      <c r="AS26">
        <v>44.026084980599997</v>
      </c>
      <c r="AT26">
        <v>43.611918605100001</v>
      </c>
      <c r="AU26">
        <v>40.625634925699998</v>
      </c>
      <c r="AV26">
        <v>37.623516467499996</v>
      </c>
      <c r="AW26">
        <v>35.892610833500001</v>
      </c>
    </row>
    <row r="27" spans="1:50">
      <c r="A27" t="s">
        <v>149</v>
      </c>
      <c r="B27" s="1" t="s">
        <v>150</v>
      </c>
      <c r="C27" t="s">
        <v>151</v>
      </c>
      <c r="D27" t="s">
        <v>54</v>
      </c>
      <c r="E27" s="1" t="s">
        <v>63</v>
      </c>
      <c r="F27" t="s">
        <v>55</v>
      </c>
      <c r="G27" s="1" t="s">
        <v>56</v>
      </c>
      <c r="H27" t="s">
        <v>57</v>
      </c>
      <c r="I27">
        <v>2019</v>
      </c>
      <c r="J27">
        <v>24486439602</v>
      </c>
      <c r="K27">
        <v>8526470000</v>
      </c>
      <c r="L27">
        <v>38241835602</v>
      </c>
      <c r="M27">
        <v>38257267602</v>
      </c>
      <c r="N27">
        <v>41123915000</v>
      </c>
      <c r="O27" t="s">
        <v>64</v>
      </c>
      <c r="P27" t="s">
        <v>65</v>
      </c>
      <c r="Q27">
        <v>0.54127068994473704</v>
      </c>
      <c r="R27">
        <v>0.38852905220415002</v>
      </c>
      <c r="S27">
        <v>3.4941452190248999E-3</v>
      </c>
      <c r="T27">
        <v>2.212864871423E-4</v>
      </c>
      <c r="U27">
        <v>3.6851314504339998E-4</v>
      </c>
      <c r="X27">
        <v>0</v>
      </c>
      <c r="Y27">
        <v>0</v>
      </c>
      <c r="Z27">
        <v>0</v>
      </c>
      <c r="AA27">
        <v>0</v>
      </c>
      <c r="AB27">
        <v>0</v>
      </c>
      <c r="AE27" s="18">
        <f t="shared" si="14"/>
        <v>0.54127068994473704</v>
      </c>
      <c r="AF27" s="18">
        <f t="shared" si="15"/>
        <v>0.38852905220415002</v>
      </c>
      <c r="AG27" s="18">
        <f t="shared" si="11"/>
        <v>3.4941452190248999E-3</v>
      </c>
      <c r="AH27" s="18">
        <f t="shared" si="12"/>
        <v>2.212864871423E-4</v>
      </c>
      <c r="AI27" s="18">
        <f t="shared" si="13"/>
        <v>3.6851314504339998E-4</v>
      </c>
      <c r="AJ27" s="18" t="str">
        <f t="shared" si="16"/>
        <v/>
      </c>
      <c r="AK27" s="18" t="str">
        <f t="shared" si="17"/>
        <v/>
      </c>
      <c r="AS27">
        <v>1.0800586419061999</v>
      </c>
      <c r="AT27">
        <v>0.99355118802682396</v>
      </c>
      <c r="AU27">
        <v>1.74436112E-2</v>
      </c>
      <c r="AV27">
        <v>6.0743841799999997E-2</v>
      </c>
      <c r="AW27">
        <v>8.1134556999999996E-2</v>
      </c>
    </row>
    <row r="28" spans="1:50">
      <c r="A28" t="s">
        <v>152</v>
      </c>
      <c r="B28" s="1" t="s">
        <v>153</v>
      </c>
      <c r="C28" t="s">
        <v>154</v>
      </c>
      <c r="D28" t="s">
        <v>54</v>
      </c>
      <c r="E28" s="1"/>
      <c r="F28" t="s">
        <v>55</v>
      </c>
      <c r="G28" s="1" t="s">
        <v>56</v>
      </c>
      <c r="H28" t="s">
        <v>57</v>
      </c>
      <c r="I28" s="3">
        <v>44196</v>
      </c>
      <c r="J28">
        <v>35402501369</v>
      </c>
      <c r="K28">
        <v>34438000000</v>
      </c>
      <c r="L28">
        <v>66144501369</v>
      </c>
      <c r="M28">
        <v>66731501369</v>
      </c>
      <c r="N28">
        <v>124977000000</v>
      </c>
      <c r="O28" t="s">
        <v>58</v>
      </c>
      <c r="P28" t="s">
        <v>84</v>
      </c>
      <c r="Q28">
        <v>9723000</v>
      </c>
      <c r="R28" s="21">
        <v>9532000</v>
      </c>
      <c r="S28" s="21">
        <v>8841000</v>
      </c>
      <c r="T28" s="21">
        <v>8566000</v>
      </c>
      <c r="U28" s="21">
        <v>8493000</v>
      </c>
      <c r="X28">
        <v>7061000</v>
      </c>
      <c r="Y28" s="21">
        <v>17693000</v>
      </c>
      <c r="Z28" s="21">
        <v>21022000</v>
      </c>
      <c r="AA28" s="21">
        <v>18864000</v>
      </c>
      <c r="AB28" s="21">
        <v>13720000</v>
      </c>
      <c r="AE28" s="18">
        <f t="shared" si="14"/>
        <v>16784000</v>
      </c>
      <c r="AF28" s="18">
        <f t="shared" si="15"/>
        <v>27225000</v>
      </c>
      <c r="AG28" s="18">
        <f t="shared" si="11"/>
        <v>29863000</v>
      </c>
      <c r="AH28" s="18">
        <f t="shared" si="12"/>
        <v>27430000</v>
      </c>
      <c r="AI28" s="18">
        <f t="shared" si="13"/>
        <v>22213000</v>
      </c>
      <c r="AJ28" s="18" t="str">
        <f t="shared" si="16"/>
        <v/>
      </c>
      <c r="AK28" s="18" t="str">
        <f t="shared" si="17"/>
        <v/>
      </c>
      <c r="AS28" s="85">
        <v>186212000</v>
      </c>
      <c r="AT28" s="22">
        <f>195307000+51595000</f>
        <v>246902000</v>
      </c>
      <c r="AU28" s="21">
        <f>194224000+59050000</f>
        <v>253274000</v>
      </c>
      <c r="AV28" s="23">
        <f>189463000+69708000</f>
        <v>259171000</v>
      </c>
      <c r="AW28">
        <v>181369000</v>
      </c>
    </row>
    <row r="29" spans="1:50">
      <c r="A29" t="s">
        <v>155</v>
      </c>
      <c r="B29" s="1" t="s">
        <v>156</v>
      </c>
      <c r="C29" t="s">
        <v>157</v>
      </c>
      <c r="D29" t="s">
        <v>54</v>
      </c>
      <c r="E29" s="1" t="s">
        <v>63</v>
      </c>
      <c r="F29" t="s">
        <v>96</v>
      </c>
      <c r="G29" s="1" t="s">
        <v>56</v>
      </c>
      <c r="H29" t="s">
        <v>57</v>
      </c>
      <c r="I29" s="3">
        <v>44196</v>
      </c>
      <c r="J29" s="26">
        <v>174280000000</v>
      </c>
      <c r="K29" s="26">
        <v>181502000000</v>
      </c>
      <c r="L29" s="26">
        <v>310294000000</v>
      </c>
      <c r="M29">
        <f>L29+4364000000</f>
        <v>314658000000</v>
      </c>
      <c r="N29" s="26">
        <v>332750000000</v>
      </c>
      <c r="O29" t="s">
        <v>64</v>
      </c>
      <c r="P29" t="s">
        <v>158</v>
      </c>
      <c r="Q29">
        <v>117</v>
      </c>
      <c r="R29" s="21">
        <v>115</v>
      </c>
      <c r="S29" s="21">
        <v>116</v>
      </c>
      <c r="T29" s="21">
        <v>111</v>
      </c>
      <c r="U29" s="21">
        <v>105</v>
      </c>
      <c r="V29" s="78">
        <v>103</v>
      </c>
      <c r="X29">
        <v>8</v>
      </c>
      <c r="Y29" s="21">
        <v>8</v>
      </c>
      <c r="Z29" s="21">
        <v>8</v>
      </c>
      <c r="AA29" s="21">
        <v>8</v>
      </c>
      <c r="AB29" s="21">
        <v>7</v>
      </c>
      <c r="AC29" s="78">
        <v>6</v>
      </c>
      <c r="AE29" s="18">
        <f t="shared" si="14"/>
        <v>125</v>
      </c>
      <c r="AF29" s="18">
        <f t="shared" si="15"/>
        <v>123</v>
      </c>
      <c r="AG29" s="18">
        <f t="shared" si="11"/>
        <v>124</v>
      </c>
      <c r="AH29" s="18">
        <f t="shared" si="12"/>
        <v>119</v>
      </c>
      <c r="AI29" s="18">
        <f t="shared" si="13"/>
        <v>112</v>
      </c>
      <c r="AJ29" s="18">
        <f t="shared" si="16"/>
        <v>109</v>
      </c>
      <c r="AK29" s="18" t="str">
        <f t="shared" si="17"/>
        <v/>
      </c>
      <c r="AL29" s="77">
        <f t="shared" ref="AL29:AQ29" si="18">0.43*AS29/1000</f>
        <v>636.11834999999996</v>
      </c>
      <c r="AM29" s="77">
        <f t="shared" si="18"/>
        <v>625.44574999999998</v>
      </c>
      <c r="AN29" s="77">
        <f t="shared" si="18"/>
        <v>601.58934999999997</v>
      </c>
      <c r="AO29" s="77">
        <f t="shared" si="18"/>
        <v>620.26639999999998</v>
      </c>
      <c r="AP29" s="77">
        <f t="shared" si="18"/>
        <v>590.28895</v>
      </c>
      <c r="AQ29" s="77">
        <f t="shared" si="18"/>
        <v>582.59839999999997</v>
      </c>
      <c r="AS29" s="24">
        <f>4053*365</f>
        <v>1479345</v>
      </c>
      <c r="AT29" s="24">
        <f>3985*365</f>
        <v>1454525</v>
      </c>
      <c r="AU29" s="24">
        <f>3833*365</f>
        <v>1399045</v>
      </c>
      <c r="AV29" s="24">
        <f>3952*365</f>
        <v>1442480</v>
      </c>
      <c r="AW29" s="24">
        <f>3761*365</f>
        <v>1372765</v>
      </c>
      <c r="AX29" s="24">
        <f>3712*365</f>
        <v>1354880</v>
      </c>
    </row>
    <row r="30" spans="1:50">
      <c r="A30" t="s">
        <v>159</v>
      </c>
      <c r="B30" s="1" t="s">
        <v>160</v>
      </c>
      <c r="C30" t="s">
        <v>161</v>
      </c>
      <c r="D30" t="s">
        <v>54</v>
      </c>
      <c r="E30" s="1"/>
      <c r="F30" t="s">
        <v>55</v>
      </c>
      <c r="G30" s="1" t="s">
        <v>56</v>
      </c>
      <c r="H30" t="s">
        <v>57</v>
      </c>
      <c r="I30" s="3">
        <v>44196</v>
      </c>
      <c r="J30">
        <v>20967401361</v>
      </c>
      <c r="K30">
        <v>11035000000</v>
      </c>
      <c r="L30">
        <v>39958401361</v>
      </c>
      <c r="M30">
        <v>40585401361</v>
      </c>
      <c r="N30">
        <v>42301000000</v>
      </c>
      <c r="O30" t="s">
        <v>58</v>
      </c>
      <c r="P30" t="s">
        <v>84</v>
      </c>
      <c r="R30" s="85">
        <v>42354899</v>
      </c>
      <c r="S30" s="85">
        <v>32748805</v>
      </c>
      <c r="T30" s="85">
        <v>17935528</v>
      </c>
      <c r="U30" s="85">
        <v>14519279</v>
      </c>
      <c r="Y30" s="85">
        <v>18079772</v>
      </c>
      <c r="Z30" s="85">
        <v>20223892</v>
      </c>
      <c r="AA30" s="85">
        <v>31927583</v>
      </c>
      <c r="AB30" s="85">
        <v>28230946</v>
      </c>
      <c r="AE30" s="18" t="str">
        <f t="shared" si="14"/>
        <v/>
      </c>
      <c r="AF30" s="18">
        <f t="shared" si="15"/>
        <v>60434671</v>
      </c>
      <c r="AG30" s="18">
        <f t="shared" si="11"/>
        <v>52972697</v>
      </c>
      <c r="AH30" s="18">
        <f t="shared" si="12"/>
        <v>49863111</v>
      </c>
      <c r="AI30" s="18">
        <f t="shared" si="13"/>
        <v>42750225</v>
      </c>
      <c r="AJ30" s="18" t="str">
        <f t="shared" si="16"/>
        <v/>
      </c>
      <c r="AK30" s="18" t="str">
        <f t="shared" si="17"/>
        <v/>
      </c>
      <c r="AT30" s="85">
        <v>116315158</v>
      </c>
      <c r="AU30" s="85">
        <v>109322672</v>
      </c>
      <c r="AV30" s="85">
        <v>65313409</v>
      </c>
      <c r="AW30" s="85">
        <v>61496572</v>
      </c>
    </row>
    <row r="31" spans="1:50">
      <c r="A31" t="s">
        <v>162</v>
      </c>
      <c r="B31" s="1" t="s">
        <v>163</v>
      </c>
      <c r="C31" t="s">
        <v>164</v>
      </c>
      <c r="D31" t="s">
        <v>54</v>
      </c>
      <c r="E31" s="1"/>
      <c r="F31" t="s">
        <v>89</v>
      </c>
      <c r="G31" s="1" t="s">
        <v>56</v>
      </c>
      <c r="H31" t="s">
        <v>57</v>
      </c>
      <c r="I31" s="3">
        <v>44561</v>
      </c>
      <c r="J31" s="26">
        <v>83000000000</v>
      </c>
      <c r="K31" s="26">
        <v>136300000000</v>
      </c>
      <c r="L31" s="26">
        <v>185040000000</v>
      </c>
      <c r="M31">
        <f>L31+20540000000</f>
        <v>205580000000</v>
      </c>
      <c r="N31" s="26">
        <v>257035000000</v>
      </c>
      <c r="O31" t="s">
        <v>142</v>
      </c>
      <c r="P31" t="s">
        <v>165</v>
      </c>
      <c r="R31" s="85"/>
      <c r="S31">
        <v>1442.963</v>
      </c>
      <c r="T31" s="85">
        <v>1418.056</v>
      </c>
      <c r="U31" s="85">
        <v>1129.402</v>
      </c>
      <c r="V31">
        <v>910</v>
      </c>
      <c r="Y31" s="85"/>
      <c r="Z31">
        <v>3219.7159999999999</v>
      </c>
      <c r="AA31">
        <v>3040.2930000000001</v>
      </c>
      <c r="AB31">
        <v>2473.2730000000001</v>
      </c>
      <c r="AC31">
        <v>1680</v>
      </c>
      <c r="AE31" s="18" t="str">
        <f t="shared" si="14"/>
        <v/>
      </c>
      <c r="AF31" s="18" t="str">
        <f t="shared" si="15"/>
        <v/>
      </c>
      <c r="AG31" s="18">
        <f t="shared" si="11"/>
        <v>4662.6790000000001</v>
      </c>
      <c r="AH31" s="18">
        <f t="shared" si="12"/>
        <v>4458.3490000000002</v>
      </c>
      <c r="AI31" s="18">
        <f t="shared" si="13"/>
        <v>3602.6750000000002</v>
      </c>
      <c r="AJ31" s="18">
        <f t="shared" si="16"/>
        <v>2590</v>
      </c>
      <c r="AK31" s="18" t="str">
        <f t="shared" si="17"/>
        <v/>
      </c>
      <c r="AN31">
        <v>398915.81</v>
      </c>
      <c r="AO31">
        <v>435144.43800000002</v>
      </c>
      <c r="AP31">
        <v>349281.99200000003</v>
      </c>
      <c r="AQ31" s="24">
        <v>349281.99200000003</v>
      </c>
      <c r="AT31" s="85"/>
      <c r="AU31" s="85"/>
      <c r="AV31" s="20">
        <f>AO31*0.7/(309/1.6)</f>
        <v>1577.2225584466019</v>
      </c>
      <c r="AW31" s="20">
        <f>AP31*0.7/(301/1.6)</f>
        <v>1299.6539237209302</v>
      </c>
      <c r="AX31" s="20">
        <f>AQ31*0.7/(289/1.6)</f>
        <v>1353.6187925259514</v>
      </c>
    </row>
    <row r="32" spans="1:50">
      <c r="A32" t="s">
        <v>166</v>
      </c>
      <c r="B32" s="1" t="s">
        <v>167</v>
      </c>
      <c r="C32" t="s">
        <v>168</v>
      </c>
      <c r="D32" t="s">
        <v>169</v>
      </c>
      <c r="E32" s="1"/>
      <c r="F32" t="s">
        <v>55</v>
      </c>
      <c r="G32" s="1" t="s">
        <v>56</v>
      </c>
      <c r="H32" t="s">
        <v>57</v>
      </c>
      <c r="I32" s="3">
        <v>44196</v>
      </c>
      <c r="J32">
        <f>474900000*45</f>
        <v>21370500000</v>
      </c>
      <c r="K32">
        <v>6736467578.2073498</v>
      </c>
      <c r="L32" s="70">
        <f>J32</f>
        <v>21370500000</v>
      </c>
      <c r="M32" s="70">
        <f>J32</f>
        <v>21370500000</v>
      </c>
      <c r="N32">
        <v>40960299959.761497</v>
      </c>
      <c r="O32" t="s">
        <v>58</v>
      </c>
      <c r="P32" t="s">
        <v>84</v>
      </c>
      <c r="Q32">
        <v>10891000</v>
      </c>
      <c r="R32" s="85">
        <v>10010000</v>
      </c>
      <c r="S32" s="85">
        <v>10818000</v>
      </c>
      <c r="T32" s="85">
        <v>11925000</v>
      </c>
      <c r="U32" s="85">
        <v>10093000</v>
      </c>
      <c r="X32" s="85">
        <f>(191+3353)*1000</f>
        <v>3544000</v>
      </c>
      <c r="Y32" s="85">
        <f>(223+3625)*1000</f>
        <v>3848000</v>
      </c>
      <c r="Z32" s="85">
        <f>(222+2893)*1000</f>
        <v>3115000</v>
      </c>
      <c r="AA32" s="85">
        <v>2933000</v>
      </c>
      <c r="AB32" s="85">
        <v>2487000</v>
      </c>
      <c r="AE32" s="18">
        <f t="shared" si="14"/>
        <v>14435000</v>
      </c>
      <c r="AF32" s="18">
        <f t="shared" si="15"/>
        <v>13858000</v>
      </c>
      <c r="AG32" s="18">
        <f t="shared" si="11"/>
        <v>13933000</v>
      </c>
      <c r="AH32" s="18">
        <f t="shared" si="12"/>
        <v>14858000</v>
      </c>
      <c r="AI32" s="18">
        <f t="shared" si="13"/>
        <v>12580000</v>
      </c>
      <c r="AJ32" s="18" t="str">
        <f t="shared" si="16"/>
        <v/>
      </c>
      <c r="AK32" s="18" t="str">
        <f t="shared" si="17"/>
        <v/>
      </c>
      <c r="AS32">
        <f>(15818+18480)*1000</f>
        <v>34298000</v>
      </c>
      <c r="AT32">
        <f>(15369+19785)*1000</f>
        <v>35154000</v>
      </c>
      <c r="AU32">
        <f>(18776+19163)*1000</f>
        <v>37939000</v>
      </c>
      <c r="AV32">
        <f>18976000+19244000</f>
        <v>38220000</v>
      </c>
      <c r="AW32">
        <f>17694000+18255000</f>
        <v>35949000</v>
      </c>
    </row>
    <row r="33" spans="1:50">
      <c r="A33" t="s">
        <v>170</v>
      </c>
      <c r="B33" s="1" t="s">
        <v>171</v>
      </c>
      <c r="C33" t="s">
        <v>172</v>
      </c>
      <c r="D33" t="s">
        <v>54</v>
      </c>
      <c r="E33" s="1"/>
      <c r="F33" t="s">
        <v>89</v>
      </c>
      <c r="G33" s="1" t="s">
        <v>56</v>
      </c>
      <c r="H33" t="s">
        <v>57</v>
      </c>
      <c r="I33" s="3">
        <v>44561</v>
      </c>
      <c r="J33" s="26">
        <v>59590000000</v>
      </c>
      <c r="K33" s="26">
        <v>122000000000</v>
      </c>
      <c r="L33" s="26">
        <v>144100000000</v>
      </c>
      <c r="M33" s="26">
        <f>L33+19992000000</f>
        <v>164092000000</v>
      </c>
      <c r="N33">
        <v>235194000000</v>
      </c>
      <c r="O33" t="s">
        <v>58</v>
      </c>
      <c r="P33" t="s">
        <v>173</v>
      </c>
      <c r="R33" s="85"/>
      <c r="S33" s="85"/>
      <c r="T33">
        <v>1589700</v>
      </c>
      <c r="U33">
        <v>1214124</v>
      </c>
      <c r="V33">
        <v>1252906</v>
      </c>
      <c r="X33" s="85"/>
      <c r="Y33" s="85"/>
      <c r="Z33" s="85"/>
      <c r="AA33">
        <v>3721875</v>
      </c>
      <c r="AB33">
        <v>2599822</v>
      </c>
      <c r="AC33">
        <v>2150694</v>
      </c>
      <c r="AE33" s="18" t="str">
        <f t="shared" si="14"/>
        <v/>
      </c>
      <c r="AF33" s="18" t="str">
        <f t="shared" si="15"/>
        <v/>
      </c>
      <c r="AG33" s="18" t="str">
        <f t="shared" si="11"/>
        <v/>
      </c>
      <c r="AH33" s="18">
        <f t="shared" si="12"/>
        <v>5311575</v>
      </c>
      <c r="AI33" s="18">
        <f t="shared" si="13"/>
        <v>3813946</v>
      </c>
      <c r="AJ33" s="18">
        <f t="shared" si="16"/>
        <v>3403600</v>
      </c>
      <c r="AK33" s="18" t="str">
        <f t="shared" si="17"/>
        <v/>
      </c>
      <c r="AO33">
        <v>249384317</v>
      </c>
      <c r="AP33">
        <v>296411327</v>
      </c>
      <c r="AQ33" s="24">
        <v>296411327</v>
      </c>
      <c r="AV33" s="20">
        <f>AO33*0.85/293</f>
        <v>723469.86160409555</v>
      </c>
      <c r="AW33" s="20">
        <f>AP33*0.85/280</f>
        <v>899820.09982142854</v>
      </c>
      <c r="AX33" s="20">
        <f>AQ33*0.85/265</f>
        <v>950753.31301886786</v>
      </c>
    </row>
    <row r="34" spans="1:50">
      <c r="A34" t="s">
        <v>174</v>
      </c>
      <c r="B34" s="1" t="s">
        <v>175</v>
      </c>
      <c r="C34" t="s">
        <v>176</v>
      </c>
      <c r="D34" t="s">
        <v>177</v>
      </c>
      <c r="E34" s="1" t="s">
        <v>141</v>
      </c>
      <c r="F34" t="s">
        <v>101</v>
      </c>
      <c r="G34" s="1" t="s">
        <v>56</v>
      </c>
      <c r="H34" t="s">
        <v>57</v>
      </c>
      <c r="I34">
        <v>2019</v>
      </c>
      <c r="J34">
        <f>571900000*16.72*0.2</f>
        <v>1912433600</v>
      </c>
      <c r="K34">
        <v>9835514922.9662399</v>
      </c>
      <c r="L34" s="70">
        <f>J34</f>
        <v>1912433600</v>
      </c>
      <c r="M34" s="70">
        <f>J34</f>
        <v>1912433600</v>
      </c>
      <c r="N34">
        <v>13397913513.7817</v>
      </c>
      <c r="O34" t="s">
        <v>58</v>
      </c>
      <c r="P34" t="s">
        <v>102</v>
      </c>
      <c r="Q34">
        <v>12075000</v>
      </c>
      <c r="R34">
        <v>12075000</v>
      </c>
      <c r="S34">
        <v>10707412.125</v>
      </c>
      <c r="T34">
        <v>9056519</v>
      </c>
      <c r="U34">
        <v>9198407</v>
      </c>
      <c r="X34">
        <v>4025000</v>
      </c>
      <c r="Y34">
        <v>4025000</v>
      </c>
      <c r="Z34">
        <v>3569137.375</v>
      </c>
      <c r="AA34">
        <v>2890986</v>
      </c>
      <c r="AB34">
        <v>2082515</v>
      </c>
      <c r="AE34" s="18">
        <f t="shared" si="14"/>
        <v>16100000</v>
      </c>
      <c r="AF34" s="18">
        <f t="shared" si="15"/>
        <v>16100000</v>
      </c>
      <c r="AG34" s="18">
        <f t="shared" si="11"/>
        <v>14276549.5</v>
      </c>
      <c r="AH34" s="18">
        <f t="shared" si="12"/>
        <v>11947505</v>
      </c>
      <c r="AI34" s="18">
        <f t="shared" si="13"/>
        <v>11280922</v>
      </c>
      <c r="AJ34" s="18" t="str">
        <f t="shared" si="16"/>
        <v/>
      </c>
      <c r="AK34" s="18" t="str">
        <f t="shared" si="17"/>
        <v/>
      </c>
      <c r="AS34">
        <v>16100000</v>
      </c>
      <c r="AT34">
        <v>16100000</v>
      </c>
      <c r="AU34">
        <v>14276549.5</v>
      </c>
      <c r="AV34">
        <v>12453099</v>
      </c>
      <c r="AW34">
        <v>13142354.300000001</v>
      </c>
    </row>
    <row r="35" spans="1:50">
      <c r="A35" t="s">
        <v>178</v>
      </c>
      <c r="B35" s="1" t="s">
        <v>179</v>
      </c>
      <c r="C35" t="s">
        <v>180</v>
      </c>
      <c r="D35" t="s">
        <v>54</v>
      </c>
      <c r="E35" s="1" t="s">
        <v>63</v>
      </c>
      <c r="F35" t="s">
        <v>55</v>
      </c>
      <c r="G35" s="1" t="s">
        <v>56</v>
      </c>
      <c r="H35" t="s">
        <v>57</v>
      </c>
      <c r="I35">
        <v>2019</v>
      </c>
      <c r="J35">
        <v>4745752027</v>
      </c>
      <c r="K35">
        <v>2874601000</v>
      </c>
      <c r="L35">
        <v>6513304027</v>
      </c>
      <c r="M35">
        <v>6710117027</v>
      </c>
      <c r="N35">
        <v>13745251000</v>
      </c>
      <c r="O35" t="s">
        <v>64</v>
      </c>
      <c r="P35" t="s">
        <v>65</v>
      </c>
      <c r="Q35">
        <v>3.88689418875878</v>
      </c>
      <c r="R35">
        <v>3.8663196803185498</v>
      </c>
      <c r="S35">
        <v>3.9373016635971498</v>
      </c>
      <c r="T35">
        <v>3.9790181439510599</v>
      </c>
      <c r="U35">
        <v>3.71643905269806</v>
      </c>
      <c r="X35">
        <v>0</v>
      </c>
      <c r="Y35">
        <v>0</v>
      </c>
      <c r="Z35">
        <v>0</v>
      </c>
      <c r="AA35">
        <v>0</v>
      </c>
      <c r="AB35">
        <v>0</v>
      </c>
      <c r="AE35" s="18">
        <f t="shared" si="14"/>
        <v>3.88689418875878</v>
      </c>
      <c r="AF35" s="18">
        <f t="shared" si="15"/>
        <v>3.8663196803185498</v>
      </c>
      <c r="AG35" s="18">
        <f t="shared" si="11"/>
        <v>3.9373016635971498</v>
      </c>
      <c r="AH35" s="18">
        <f t="shared" si="12"/>
        <v>3.9790181439510599</v>
      </c>
      <c r="AI35" s="18">
        <f t="shared" si="13"/>
        <v>3.71643905269806</v>
      </c>
      <c r="AJ35" s="18" t="str">
        <f t="shared" si="16"/>
        <v/>
      </c>
      <c r="AK35" s="18" t="str">
        <f t="shared" si="17"/>
        <v/>
      </c>
      <c r="AS35">
        <v>4.9426490000000003</v>
      </c>
      <c r="AT35">
        <v>4.8881050000000004</v>
      </c>
      <c r="AU35">
        <v>4.9569289999999997</v>
      </c>
      <c r="AV35">
        <v>4.9702039999999998</v>
      </c>
      <c r="AW35">
        <v>4.6293220000000002</v>
      </c>
    </row>
    <row r="36" spans="1:50">
      <c r="A36" t="s">
        <v>181</v>
      </c>
      <c r="B36" s="1" t="s">
        <v>182</v>
      </c>
      <c r="C36" t="s">
        <v>183</v>
      </c>
      <c r="D36" t="s">
        <v>184</v>
      </c>
      <c r="E36" s="1" t="s">
        <v>95</v>
      </c>
      <c r="F36" t="s">
        <v>55</v>
      </c>
      <c r="G36" s="1" t="s">
        <v>56</v>
      </c>
      <c r="H36" t="s">
        <v>57</v>
      </c>
      <c r="I36" s="3">
        <v>44561</v>
      </c>
      <c r="J36">
        <v>66271000000</v>
      </c>
      <c r="K36">
        <v>39114000000</v>
      </c>
      <c r="L36">
        <f>J36-39119000000</f>
        <v>27152000000</v>
      </c>
      <c r="M36">
        <f>L36+4052000000</f>
        <v>31204000000</v>
      </c>
      <c r="N36">
        <v>141752000000</v>
      </c>
      <c r="O36" t="s">
        <v>142</v>
      </c>
      <c r="P36" t="s">
        <v>59</v>
      </c>
      <c r="R36">
        <v>15020</v>
      </c>
      <c r="S36">
        <v>13328</v>
      </c>
      <c r="T36">
        <v>13584</v>
      </c>
      <c r="U36">
        <v>13136</v>
      </c>
      <c r="V36">
        <v>13207</v>
      </c>
      <c r="Y36">
        <v>3415</v>
      </c>
      <c r="Z36">
        <v>2544</v>
      </c>
      <c r="AA36">
        <v>2082</v>
      </c>
      <c r="AB36">
        <v>1883</v>
      </c>
      <c r="AC36">
        <v>2162</v>
      </c>
      <c r="AE36" s="18"/>
      <c r="AF36" s="18">
        <f>IF(ISBLANK(R36),IF(ISBLANK(Y36),"",Y36),R36+Y36)</f>
        <v>18435</v>
      </c>
      <c r="AG36" s="18">
        <f t="shared" si="11"/>
        <v>15872</v>
      </c>
      <c r="AH36" s="18">
        <f t="shared" si="12"/>
        <v>15666</v>
      </c>
      <c r="AI36" s="18">
        <f t="shared" si="13"/>
        <v>15019</v>
      </c>
      <c r="AJ36" s="18">
        <f>IF(ISBLANK(V36),IF(ISBLANK(AC36),"",AC36),V36+AC36)</f>
        <v>15369</v>
      </c>
      <c r="AK36" s="18"/>
      <c r="AM36">
        <v>56212</v>
      </c>
      <c r="AN36">
        <v>51969</v>
      </c>
      <c r="AO36">
        <v>54278</v>
      </c>
      <c r="AP36">
        <v>57852</v>
      </c>
      <c r="AQ36">
        <v>53898</v>
      </c>
      <c r="AT36">
        <v>137549</v>
      </c>
      <c r="AU36">
        <v>145605</v>
      </c>
      <c r="AV36">
        <v>151758</v>
      </c>
      <c r="AW36">
        <v>162842</v>
      </c>
      <c r="AX36">
        <v>164266</v>
      </c>
    </row>
    <row r="37" spans="1:50">
      <c r="A37" t="s">
        <v>185</v>
      </c>
      <c r="B37" s="1" t="s">
        <v>186</v>
      </c>
      <c r="C37" t="s">
        <v>187</v>
      </c>
      <c r="D37" t="s">
        <v>54</v>
      </c>
      <c r="E37" s="1"/>
      <c r="F37" t="s">
        <v>96</v>
      </c>
      <c r="G37" s="1" t="s">
        <v>56</v>
      </c>
      <c r="H37" t="s">
        <v>57</v>
      </c>
      <c r="I37" s="3">
        <v>44561</v>
      </c>
      <c r="J37" s="26">
        <v>39390000000</v>
      </c>
      <c r="K37" s="26">
        <v>119983000000</v>
      </c>
      <c r="L37" s="26">
        <v>52590000000</v>
      </c>
      <c r="M37" s="26">
        <f>L37+5291000000</f>
        <v>57881000000</v>
      </c>
      <c r="N37" s="26">
        <v>85373000000</v>
      </c>
      <c r="O37" t="s">
        <v>64</v>
      </c>
      <c r="P37" t="s">
        <v>188</v>
      </c>
      <c r="R37">
        <v>37.5</v>
      </c>
      <c r="S37">
        <v>37</v>
      </c>
      <c r="T37">
        <v>36.799999999999997</v>
      </c>
      <c r="U37">
        <v>32.200000000000003</v>
      </c>
      <c r="V37">
        <v>33</v>
      </c>
      <c r="Y37">
        <v>7.8</v>
      </c>
      <c r="Z37">
        <v>8.1999999999999993</v>
      </c>
      <c r="AA37">
        <v>8.1999999999999993</v>
      </c>
      <c r="AB37">
        <v>8</v>
      </c>
      <c r="AC37">
        <v>6.9</v>
      </c>
      <c r="AE37" s="18"/>
      <c r="AF37" s="18">
        <f>IF(ISBLANK(R37),IF(ISBLANK(Y37),"",Y37),R37+Y37)</f>
        <v>45.3</v>
      </c>
      <c r="AG37" s="18">
        <f t="shared" si="11"/>
        <v>45.2</v>
      </c>
      <c r="AH37" s="18">
        <f t="shared" si="12"/>
        <v>45</v>
      </c>
      <c r="AI37" s="18">
        <f t="shared" si="13"/>
        <v>40.200000000000003</v>
      </c>
      <c r="AJ37" s="18">
        <f>IF(ISBLANK(V37),IF(ISBLANK(AC37),"",AC37),V37+AC37)</f>
        <v>39.9</v>
      </c>
      <c r="AK37" s="18"/>
      <c r="AM37" s="70">
        <v>425</v>
      </c>
      <c r="AN37" s="70">
        <v>425</v>
      </c>
      <c r="AO37">
        <v>425</v>
      </c>
      <c r="AP37">
        <v>350</v>
      </c>
      <c r="AQ37">
        <v>380</v>
      </c>
      <c r="AT37">
        <v>1669</v>
      </c>
      <c r="AU37">
        <v>1717</v>
      </c>
      <c r="AV37">
        <v>1817</v>
      </c>
      <c r="AW37">
        <v>1627</v>
      </c>
      <c r="AX37">
        <v>1682</v>
      </c>
    </row>
    <row r="38" spans="1:50">
      <c r="A38" t="s">
        <v>189</v>
      </c>
      <c r="B38" s="1" t="s">
        <v>190</v>
      </c>
      <c r="C38" t="s">
        <v>191</v>
      </c>
      <c r="D38" t="s">
        <v>54</v>
      </c>
      <c r="E38" s="1" t="s">
        <v>63</v>
      </c>
      <c r="F38" t="s">
        <v>55</v>
      </c>
      <c r="G38" s="1" t="s">
        <v>56</v>
      </c>
      <c r="H38" t="s">
        <v>57</v>
      </c>
      <c r="I38">
        <v>2019</v>
      </c>
      <c r="J38">
        <v>5134204876</v>
      </c>
      <c r="K38">
        <v>5336776000</v>
      </c>
      <c r="L38">
        <v>7310852876</v>
      </c>
      <c r="M38">
        <v>7377311876</v>
      </c>
      <c r="N38">
        <v>7683059000</v>
      </c>
      <c r="O38" t="s">
        <v>64</v>
      </c>
      <c r="P38" t="s">
        <v>65</v>
      </c>
      <c r="Q38">
        <v>1.87462187527987</v>
      </c>
      <c r="R38">
        <v>1.84435992735308</v>
      </c>
      <c r="S38">
        <v>2.0515686489135501</v>
      </c>
      <c r="T38">
        <v>1.71049343073906</v>
      </c>
      <c r="U38">
        <v>1.8262746387694699</v>
      </c>
      <c r="X38">
        <v>0</v>
      </c>
      <c r="Y38">
        <v>0</v>
      </c>
      <c r="Z38">
        <v>0</v>
      </c>
      <c r="AA38">
        <v>0</v>
      </c>
      <c r="AB38">
        <v>0</v>
      </c>
      <c r="AE38" s="18">
        <f>IF(ISBLANK(Q38),IF(ISBLANK(X38),"",X38),Q38+X38)</f>
        <v>1.87462187527987</v>
      </c>
      <c r="AF38" s="18">
        <f>IF(ISBLANK(R38),IF(ISBLANK(Y38),"",Y38),R38+Y38)</f>
        <v>1.84435992735308</v>
      </c>
      <c r="AG38" s="18">
        <f t="shared" si="11"/>
        <v>2.0515686489135501</v>
      </c>
      <c r="AH38" s="18">
        <f t="shared" si="12"/>
        <v>1.71049343073906</v>
      </c>
      <c r="AI38" s="18">
        <f t="shared" si="13"/>
        <v>1.8262746387694699</v>
      </c>
      <c r="AJ38" s="18" t="str">
        <f>IF(ISBLANK(V38),IF(ISBLANK(AC38),"",AC38),V38+AC38)</f>
        <v/>
      </c>
      <c r="AK38" s="18" t="str">
        <f>IF(ISBLANK(W38),IF(ISBLANK(AD38),"",AD38),W38+AD38)</f>
        <v/>
      </c>
      <c r="AS38">
        <v>2.1870177499999999</v>
      </c>
      <c r="AT38">
        <v>2.1656629999999999</v>
      </c>
      <c r="AU38">
        <v>2.3207654999999998</v>
      </c>
      <c r="AV38">
        <v>2.1471232499999999</v>
      </c>
      <c r="AW38">
        <v>2.2935585000000001</v>
      </c>
    </row>
    <row r="39" spans="1:50">
      <c r="A39" t="s">
        <v>192</v>
      </c>
      <c r="B39" s="1" t="s">
        <v>193</v>
      </c>
      <c r="C39" t="s">
        <v>194</v>
      </c>
      <c r="D39" t="s">
        <v>94</v>
      </c>
      <c r="E39" s="1" t="s">
        <v>95</v>
      </c>
      <c r="F39" t="s">
        <v>55</v>
      </c>
      <c r="G39" s="1" t="s">
        <v>56</v>
      </c>
      <c r="H39" t="s">
        <v>57</v>
      </c>
      <c r="I39">
        <v>2019</v>
      </c>
      <c r="J39">
        <v>40783780623.597</v>
      </c>
      <c r="K39">
        <v>19393506493.5065</v>
      </c>
      <c r="L39" s="70">
        <f>J39</f>
        <v>40783780623.597</v>
      </c>
      <c r="M39" s="70">
        <f>J39</f>
        <v>40783780623.597</v>
      </c>
      <c r="N39">
        <v>81770129870.129898</v>
      </c>
      <c r="O39" t="s">
        <v>64</v>
      </c>
      <c r="P39" t="s">
        <v>65</v>
      </c>
      <c r="Q39">
        <v>5.8304249123706402</v>
      </c>
      <c r="R39">
        <v>4.1059781322581701</v>
      </c>
      <c r="S39">
        <v>5.75632595190089</v>
      </c>
      <c r="T39">
        <v>4.7256911734020299</v>
      </c>
      <c r="U39">
        <v>6.07854526951468</v>
      </c>
      <c r="X39">
        <v>0</v>
      </c>
      <c r="Y39">
        <v>0</v>
      </c>
      <c r="Z39">
        <v>0</v>
      </c>
      <c r="AA39">
        <v>0</v>
      </c>
      <c r="AB39">
        <v>0</v>
      </c>
      <c r="AE39" s="18">
        <f>IF(ISBLANK(Q39),IF(ISBLANK(X39),"",X39),Q39+X39)</f>
        <v>5.8304249123706402</v>
      </c>
      <c r="AF39" s="18">
        <f>IF(ISBLANK(R39),IF(ISBLANK(Y39),"",Y39),R39+Y39)</f>
        <v>4.1059781322581701</v>
      </c>
      <c r="AG39" s="18">
        <f t="shared" si="11"/>
        <v>5.75632595190089</v>
      </c>
      <c r="AH39" s="18">
        <f t="shared" si="12"/>
        <v>4.7256911734020299</v>
      </c>
      <c r="AI39" s="18">
        <f t="shared" si="13"/>
        <v>6.07854526951468</v>
      </c>
      <c r="AJ39" s="18" t="str">
        <f>IF(ISBLANK(V39),IF(ISBLANK(AC39),"",AC39),V39+AC39)</f>
        <v/>
      </c>
      <c r="AK39" s="18" t="str">
        <f>IF(ISBLANK(W39),IF(ISBLANK(AD39),"",AD39),W39+AD39)</f>
        <v/>
      </c>
      <c r="AS39">
        <v>9.6681579999999894</v>
      </c>
      <c r="AT39">
        <v>6.7177259999999999</v>
      </c>
      <c r="AU39">
        <v>9.3488639999999901</v>
      </c>
      <c r="AV39">
        <v>7.7770190000000001</v>
      </c>
      <c r="AW39">
        <v>10.203676</v>
      </c>
    </row>
    <row r="40" spans="1:50">
      <c r="A40" t="s">
        <v>195</v>
      </c>
      <c r="B40" s="1" t="s">
        <v>196</v>
      </c>
      <c r="C40" t="s">
        <v>197</v>
      </c>
      <c r="D40" t="s">
        <v>54</v>
      </c>
      <c r="E40" s="1" t="s">
        <v>63</v>
      </c>
      <c r="F40" t="s">
        <v>55</v>
      </c>
      <c r="G40" s="1" t="s">
        <v>56</v>
      </c>
      <c r="H40" t="s">
        <v>57</v>
      </c>
      <c r="I40">
        <v>2019</v>
      </c>
      <c r="J40">
        <v>97905404884</v>
      </c>
      <c r="K40">
        <v>19204000000</v>
      </c>
      <c r="L40">
        <v>134848404884</v>
      </c>
      <c r="M40">
        <v>135448404884</v>
      </c>
      <c r="N40">
        <v>117691000000</v>
      </c>
      <c r="O40" t="s">
        <v>64</v>
      </c>
      <c r="P40" t="s">
        <v>65</v>
      </c>
      <c r="Q40">
        <v>44.467669531403999</v>
      </c>
      <c r="R40">
        <v>45.156516685849297</v>
      </c>
      <c r="S40">
        <v>45.362601100706101</v>
      </c>
      <c r="T40">
        <v>44.579149470133402</v>
      </c>
      <c r="U40">
        <v>42.257461966110597</v>
      </c>
      <c r="X40">
        <v>0</v>
      </c>
      <c r="Y40">
        <v>0</v>
      </c>
      <c r="Z40">
        <v>0</v>
      </c>
      <c r="AA40">
        <v>0</v>
      </c>
      <c r="AB40">
        <v>0</v>
      </c>
      <c r="AE40" s="18">
        <f>IF(ISBLANK(Q40),IF(ISBLANK(X40),"",X40),Q40+X40)</f>
        <v>44.467669531403999</v>
      </c>
      <c r="AF40" s="18">
        <f>IF(ISBLANK(R40),IF(ISBLANK(Y40),"",Y40),R40+Y40)</f>
        <v>45.156516685849297</v>
      </c>
      <c r="AG40" s="18">
        <f t="shared" si="11"/>
        <v>45.362601100706101</v>
      </c>
      <c r="AH40" s="18">
        <f t="shared" si="12"/>
        <v>44.579149470133402</v>
      </c>
      <c r="AI40" s="18">
        <f t="shared" si="13"/>
        <v>42.257461966110597</v>
      </c>
      <c r="AJ40" s="18" t="str">
        <f>IF(ISBLANK(V40),IF(ISBLANK(AC40),"",AC40),V40+AC40)</f>
        <v/>
      </c>
      <c r="AK40" s="18" t="str">
        <f>IF(ISBLANK(W40),IF(ISBLANK(AD40),"",AD40),W40+AD40)</f>
        <v/>
      </c>
      <c r="AS40">
        <v>127.73700738310001</v>
      </c>
      <c r="AT40">
        <v>129.144311972</v>
      </c>
      <c r="AU40">
        <v>133.74937911255</v>
      </c>
      <c r="AV40">
        <v>135.71818765739999</v>
      </c>
      <c r="AW40">
        <v>137.27814340149999</v>
      </c>
    </row>
    <row r="41" spans="1:50">
      <c r="A41" t="s">
        <v>198</v>
      </c>
      <c r="B41" s="1" t="s">
        <v>199</v>
      </c>
      <c r="C41" t="s">
        <v>200</v>
      </c>
      <c r="D41" t="s">
        <v>201</v>
      </c>
      <c r="E41" s="83" t="s">
        <v>202</v>
      </c>
      <c r="F41" t="s">
        <v>101</v>
      </c>
      <c r="G41" s="1" t="s">
        <v>56</v>
      </c>
      <c r="H41" t="s">
        <v>57</v>
      </c>
      <c r="I41">
        <v>2019</v>
      </c>
      <c r="J41">
        <f>879400*1000000/107.92</f>
        <v>8148628613.7879906</v>
      </c>
      <c r="K41">
        <f>5921500*1000000/107.92</f>
        <v>54869347664.936989</v>
      </c>
      <c r="L41">
        <f>M41+289549*1000000/107.92</f>
        <v>33892605633.802818</v>
      </c>
      <c r="M41">
        <f>J41+2488741*1000000/107.92</f>
        <v>31209608969.607117</v>
      </c>
      <c r="N41">
        <f>7444965*1000000/107.92</f>
        <v>68985961823.573013</v>
      </c>
      <c r="O41" t="s">
        <v>58</v>
      </c>
      <c r="P41" t="s">
        <v>102</v>
      </c>
      <c r="Q41">
        <v>80501000</v>
      </c>
      <c r="R41">
        <v>80501000</v>
      </c>
      <c r="S41">
        <v>81099000</v>
      </c>
      <c r="T41">
        <v>78384000</v>
      </c>
      <c r="U41">
        <v>62860000</v>
      </c>
      <c r="X41">
        <v>12478000</v>
      </c>
      <c r="Y41">
        <v>12478000</v>
      </c>
      <c r="Z41">
        <v>12563000</v>
      </c>
      <c r="AA41">
        <v>11878000</v>
      </c>
      <c r="AB41">
        <v>10846000</v>
      </c>
      <c r="AE41">
        <v>92979000</v>
      </c>
      <c r="AF41">
        <v>92979000</v>
      </c>
      <c r="AG41">
        <v>93662000</v>
      </c>
      <c r="AH41">
        <v>90262000</v>
      </c>
      <c r="AI41">
        <v>73706000</v>
      </c>
      <c r="AL41">
        <v>20957000</v>
      </c>
      <c r="AM41">
        <v>20957000</v>
      </c>
      <c r="AN41">
        <v>21191000</v>
      </c>
      <c r="AO41">
        <v>20937000</v>
      </c>
      <c r="AP41">
        <v>18078000</v>
      </c>
      <c r="AS41">
        <v>49580000</v>
      </c>
      <c r="AT41">
        <v>49580000</v>
      </c>
      <c r="AU41">
        <v>48500000</v>
      </c>
      <c r="AV41">
        <v>45890000</v>
      </c>
      <c r="AW41">
        <v>36630000</v>
      </c>
    </row>
    <row r="42" spans="1:50">
      <c r="A42" t="s">
        <v>203</v>
      </c>
      <c r="B42" s="1" t="s">
        <v>204</v>
      </c>
      <c r="C42" t="s">
        <v>205</v>
      </c>
      <c r="D42" t="s">
        <v>54</v>
      </c>
      <c r="E42" s="1" t="s">
        <v>63</v>
      </c>
      <c r="F42" t="s">
        <v>55</v>
      </c>
      <c r="G42" s="1" t="s">
        <v>56</v>
      </c>
      <c r="H42" t="s">
        <v>57</v>
      </c>
      <c r="I42">
        <v>2019</v>
      </c>
      <c r="J42">
        <v>10713311150</v>
      </c>
      <c r="K42">
        <v>5053400000</v>
      </c>
      <c r="L42">
        <v>19338411150</v>
      </c>
      <c r="M42">
        <v>19477711150</v>
      </c>
      <c r="N42">
        <v>22659800000</v>
      </c>
      <c r="O42" t="s">
        <v>64</v>
      </c>
      <c r="P42" t="s">
        <v>65</v>
      </c>
      <c r="Q42">
        <v>9.9601014764331595</v>
      </c>
      <c r="R42">
        <v>9.6960935392110308</v>
      </c>
      <c r="S42">
        <v>10.8006060749735</v>
      </c>
      <c r="T42">
        <v>8.57140918766944</v>
      </c>
      <c r="U42">
        <v>5.9569034121262199</v>
      </c>
      <c r="X42">
        <v>0</v>
      </c>
      <c r="Y42">
        <v>0</v>
      </c>
      <c r="Z42">
        <v>0</v>
      </c>
      <c r="AA42">
        <v>0</v>
      </c>
      <c r="AB42">
        <v>0</v>
      </c>
      <c r="AE42" s="18">
        <f t="shared" ref="AE42:AK46" si="19">IF(ISBLANK(Q42),IF(ISBLANK(X42),"",X42),Q42+X42)</f>
        <v>9.9601014764331595</v>
      </c>
      <c r="AF42" s="18">
        <f t="shared" si="19"/>
        <v>9.6960935392110308</v>
      </c>
      <c r="AG42" s="18">
        <f t="shared" si="19"/>
        <v>10.8006060749735</v>
      </c>
      <c r="AH42" s="18">
        <f t="shared" si="19"/>
        <v>8.57140918766944</v>
      </c>
      <c r="AI42" s="18">
        <f t="shared" si="19"/>
        <v>5.9569034121262199</v>
      </c>
      <c r="AJ42" s="18" t="str">
        <f t="shared" si="19"/>
        <v/>
      </c>
      <c r="AK42" s="18" t="str">
        <f t="shared" si="19"/>
        <v/>
      </c>
      <c r="AS42">
        <v>11.781155</v>
      </c>
      <c r="AT42">
        <v>11.451045000000001</v>
      </c>
      <c r="AU42">
        <v>11.979272999999999</v>
      </c>
      <c r="AV42">
        <v>10.329416</v>
      </c>
      <c r="AW42">
        <v>7.6103259999999997</v>
      </c>
    </row>
    <row r="43" spans="1:50">
      <c r="A43" t="s">
        <v>206</v>
      </c>
      <c r="B43" s="1" t="s">
        <v>207</v>
      </c>
      <c r="C43" t="s">
        <v>208</v>
      </c>
      <c r="D43" t="s">
        <v>54</v>
      </c>
      <c r="E43" s="1" t="s">
        <v>63</v>
      </c>
      <c r="F43" t="s">
        <v>55</v>
      </c>
      <c r="G43" s="1" t="s">
        <v>56</v>
      </c>
      <c r="H43" t="s">
        <v>57</v>
      </c>
      <c r="I43">
        <v>2019</v>
      </c>
      <c r="J43">
        <v>3639448000</v>
      </c>
      <c r="K43">
        <v>1257910000</v>
      </c>
      <c r="L43">
        <v>6051117000</v>
      </c>
      <c r="M43">
        <v>6056262000</v>
      </c>
      <c r="N43">
        <v>5910702000</v>
      </c>
      <c r="O43" t="s">
        <v>64</v>
      </c>
      <c r="P43" t="s">
        <v>65</v>
      </c>
      <c r="Q43">
        <v>10.5828883047778</v>
      </c>
      <c r="R43">
        <v>11.130297979750001</v>
      </c>
      <c r="S43">
        <v>10.9934962219328</v>
      </c>
      <c r="T43">
        <v>10.7429245489505</v>
      </c>
      <c r="U43">
        <v>7.6614925655895103</v>
      </c>
      <c r="X43">
        <v>0</v>
      </c>
      <c r="Y43">
        <v>0</v>
      </c>
      <c r="Z43">
        <v>0</v>
      </c>
      <c r="AA43">
        <v>0</v>
      </c>
      <c r="AB43">
        <v>0</v>
      </c>
      <c r="AE43" s="18">
        <f t="shared" si="19"/>
        <v>10.5828883047778</v>
      </c>
      <c r="AF43" s="18">
        <f t="shared" si="19"/>
        <v>11.130297979750001</v>
      </c>
      <c r="AG43" s="18">
        <f t="shared" si="19"/>
        <v>10.9934962219328</v>
      </c>
      <c r="AH43" s="18">
        <f t="shared" si="19"/>
        <v>10.7429245489505</v>
      </c>
      <c r="AI43" s="18">
        <f t="shared" si="19"/>
        <v>7.6614925655895103</v>
      </c>
      <c r="AJ43" s="18" t="str">
        <f t="shared" si="19"/>
        <v/>
      </c>
      <c r="AK43" s="18" t="str">
        <f t="shared" si="19"/>
        <v/>
      </c>
      <c r="AS43">
        <v>21.821417649600001</v>
      </c>
      <c r="AT43">
        <v>23.083953169600001</v>
      </c>
      <c r="AU43">
        <v>23.586075636698801</v>
      </c>
      <c r="AV43">
        <v>23.480624323200001</v>
      </c>
      <c r="AW43">
        <v>19.634134127999999</v>
      </c>
    </row>
    <row r="44" spans="1:50">
      <c r="A44" t="s">
        <v>209</v>
      </c>
      <c r="B44" s="1" t="s">
        <v>210</v>
      </c>
      <c r="C44" t="s">
        <v>211</v>
      </c>
      <c r="D44" t="s">
        <v>54</v>
      </c>
      <c r="E44" s="1" t="s">
        <v>63</v>
      </c>
      <c r="F44" t="s">
        <v>101</v>
      </c>
      <c r="G44" s="1" t="s">
        <v>56</v>
      </c>
      <c r="H44" t="s">
        <v>57</v>
      </c>
      <c r="I44">
        <v>2019</v>
      </c>
      <c r="J44">
        <v>16580000000</v>
      </c>
      <c r="K44">
        <v>22588858000</v>
      </c>
      <c r="L44">
        <v>19336696000</v>
      </c>
      <c r="M44">
        <v>20871301000</v>
      </c>
      <c r="N44">
        <v>18344666000</v>
      </c>
      <c r="O44" t="s">
        <v>58</v>
      </c>
      <c r="P44" t="s">
        <v>102</v>
      </c>
      <c r="Q44">
        <v>4800000</v>
      </c>
      <c r="R44">
        <v>4800000</v>
      </c>
      <c r="S44">
        <v>4800000</v>
      </c>
      <c r="T44">
        <v>4400000</v>
      </c>
      <c r="U44">
        <v>4700000</v>
      </c>
      <c r="X44">
        <v>5785714.2857142901</v>
      </c>
      <c r="Y44">
        <v>5785714.2857142901</v>
      </c>
      <c r="Z44">
        <v>5785714.2857142901</v>
      </c>
      <c r="AA44">
        <v>5400000</v>
      </c>
      <c r="AB44">
        <v>5400000</v>
      </c>
      <c r="AE44" s="18">
        <f t="shared" si="19"/>
        <v>10585714.285714291</v>
      </c>
      <c r="AF44" s="18">
        <f t="shared" si="19"/>
        <v>10585714.285714291</v>
      </c>
      <c r="AG44" s="18">
        <f t="shared" si="19"/>
        <v>10585714.285714291</v>
      </c>
      <c r="AH44" s="18">
        <f t="shared" si="19"/>
        <v>9800000</v>
      </c>
      <c r="AI44" s="18">
        <f t="shared" si="19"/>
        <v>10100000</v>
      </c>
      <c r="AJ44" s="18" t="str">
        <f t="shared" si="19"/>
        <v/>
      </c>
      <c r="AK44" s="18" t="str">
        <f t="shared" si="19"/>
        <v/>
      </c>
      <c r="AL44">
        <v>7557446.8085106397</v>
      </c>
      <c r="AM44">
        <v>7557446.8085106397</v>
      </c>
      <c r="AN44">
        <v>7557446.8085106397</v>
      </c>
      <c r="AO44">
        <v>6927659.5744680902</v>
      </c>
      <c r="AP44">
        <v>7400000</v>
      </c>
      <c r="AS44">
        <v>22500000</v>
      </c>
      <c r="AT44">
        <v>22500000</v>
      </c>
      <c r="AU44">
        <v>22500000</v>
      </c>
      <c r="AV44">
        <v>20700000</v>
      </c>
      <c r="AW44">
        <v>20300000</v>
      </c>
    </row>
    <row r="45" spans="1:50">
      <c r="A45" t="s">
        <v>212</v>
      </c>
      <c r="B45" s="1" t="s">
        <v>213</v>
      </c>
      <c r="C45" t="s">
        <v>214</v>
      </c>
      <c r="D45" t="s">
        <v>54</v>
      </c>
      <c r="E45" s="1"/>
      <c r="F45" t="s">
        <v>55</v>
      </c>
      <c r="G45" s="1" t="s">
        <v>56</v>
      </c>
      <c r="H45" t="s">
        <v>57</v>
      </c>
      <c r="I45" s="3">
        <v>44196</v>
      </c>
      <c r="J45">
        <v>6077156282</v>
      </c>
      <c r="K45">
        <v>2231600000</v>
      </c>
      <c r="L45" s="70">
        <f>J45</f>
        <v>6077156282</v>
      </c>
      <c r="M45" s="70">
        <f>J45</f>
        <v>6077156282</v>
      </c>
      <c r="N45">
        <v>11024300000</v>
      </c>
      <c r="O45" t="s">
        <v>58</v>
      </c>
      <c r="P45" t="s">
        <v>84</v>
      </c>
      <c r="Q45" s="85">
        <v>26596742</v>
      </c>
      <c r="R45" s="85">
        <v>29995758</v>
      </c>
      <c r="S45" s="85">
        <v>29344948</v>
      </c>
      <c r="T45" s="85">
        <v>24205850</v>
      </c>
      <c r="U45" s="85">
        <v>25759240</v>
      </c>
      <c r="X45" s="85">
        <v>6570582</v>
      </c>
      <c r="Y45" s="85">
        <v>6366492</v>
      </c>
      <c r="Z45" s="85">
        <v>6552023</v>
      </c>
      <c r="AA45" s="85">
        <v>6121318</v>
      </c>
      <c r="AB45" s="85">
        <v>6063090</v>
      </c>
      <c r="AE45" s="18">
        <f t="shared" si="19"/>
        <v>33167324</v>
      </c>
      <c r="AF45" s="18">
        <f t="shared" si="19"/>
        <v>36362250</v>
      </c>
      <c r="AG45" s="18">
        <f t="shared" si="19"/>
        <v>35896971</v>
      </c>
      <c r="AH45" s="18">
        <f t="shared" si="19"/>
        <v>30327168</v>
      </c>
      <c r="AI45" s="18">
        <f t="shared" si="19"/>
        <v>31822330</v>
      </c>
      <c r="AJ45" s="18" t="str">
        <f t="shared" si="19"/>
        <v/>
      </c>
      <c r="AK45" s="18" t="str">
        <f t="shared" si="19"/>
        <v/>
      </c>
      <c r="AS45" s="82">
        <f>27386150+337284+9430179+1135+58481+1356185+7487+317670+11610944</f>
        <v>50505515</v>
      </c>
      <c r="AT45" s="82">
        <f>31026112+283323+8304127+777+39306+1494512+5994+322935+11280342</f>
        <v>52757428</v>
      </c>
      <c r="AU45" s="82">
        <f>30506684+465026+10655278+4344+34495+1129399+5996+277653+11385085</f>
        <v>54463960</v>
      </c>
      <c r="AV45" s="82">
        <f>25067412+190452+9189864+4488+52483+1978567+7145+276564+11751484</f>
        <v>48518459</v>
      </c>
      <c r="AW45" s="82">
        <f>26746679+224926+7717598+760+62669+1795659+9332+269579+11586013</f>
        <v>48413215</v>
      </c>
    </row>
    <row r="46" spans="1:50">
      <c r="A46" t="s">
        <v>215</v>
      </c>
      <c r="B46" s="1" t="s">
        <v>216</v>
      </c>
      <c r="C46" t="s">
        <v>217</v>
      </c>
      <c r="D46" t="s">
        <v>177</v>
      </c>
      <c r="E46" s="1"/>
      <c r="F46" t="s">
        <v>96</v>
      </c>
      <c r="G46" s="1" t="s">
        <v>56</v>
      </c>
      <c r="H46" t="s">
        <v>57</v>
      </c>
      <c r="I46" s="3">
        <v>44561</v>
      </c>
      <c r="J46" s="26">
        <v>69590000000</v>
      </c>
      <c r="K46" s="26">
        <v>83970000000</v>
      </c>
      <c r="L46" s="26">
        <v>656100000000</v>
      </c>
      <c r="M46" s="26">
        <f>L46+100270000000</f>
        <v>756370000000</v>
      </c>
      <c r="N46" s="26">
        <v>174000000000</v>
      </c>
      <c r="O46" t="s">
        <v>64</v>
      </c>
      <c r="P46" t="s">
        <v>188</v>
      </c>
      <c r="Q46">
        <v>66</v>
      </c>
      <c r="R46">
        <v>66.599999999999994</v>
      </c>
      <c r="S46">
        <v>61.4</v>
      </c>
      <c r="T46">
        <v>58.8</v>
      </c>
      <c r="U46">
        <v>55.5</v>
      </c>
      <c r="V46">
        <v>61.4</v>
      </c>
      <c r="X46" s="85">
        <v>0.5</v>
      </c>
      <c r="Y46" s="85">
        <v>0.4</v>
      </c>
      <c r="Z46" s="85">
        <v>0.4</v>
      </c>
      <c r="AA46" s="85">
        <v>0.3</v>
      </c>
      <c r="AB46" s="85">
        <v>0.2</v>
      </c>
      <c r="AC46" s="85">
        <v>0.4</v>
      </c>
      <c r="AE46" s="18">
        <f t="shared" si="19"/>
        <v>66.5</v>
      </c>
      <c r="AF46" s="18">
        <f t="shared" si="19"/>
        <v>67</v>
      </c>
      <c r="AG46" s="18">
        <f t="shared" si="19"/>
        <v>61.8</v>
      </c>
      <c r="AH46" s="18">
        <f t="shared" si="19"/>
        <v>59.099999999999994</v>
      </c>
      <c r="AI46" s="18">
        <f t="shared" si="19"/>
        <v>55.7</v>
      </c>
      <c r="AJ46" s="18">
        <f t="shared" si="19"/>
        <v>61.8</v>
      </c>
      <c r="AK46" s="18" t="str">
        <f t="shared" si="19"/>
        <v/>
      </c>
      <c r="AL46">
        <v>459.9</v>
      </c>
      <c r="AM46">
        <v>437.2</v>
      </c>
      <c r="AN46">
        <v>412.3</v>
      </c>
      <c r="AO46">
        <v>400.2</v>
      </c>
      <c r="AP46">
        <v>410.5</v>
      </c>
      <c r="AQ46">
        <v>420.4</v>
      </c>
      <c r="AS46" s="80">
        <v>996.6600000000002</v>
      </c>
      <c r="AT46" s="80">
        <v>996.6600000000002</v>
      </c>
      <c r="AU46" s="80">
        <v>996.6600000000002</v>
      </c>
      <c r="AV46" s="82">
        <v>996.6600000000002</v>
      </c>
      <c r="AW46" s="82">
        <v>1021.05</v>
      </c>
      <c r="AX46">
        <v>749.7</v>
      </c>
    </row>
    <row r="47" spans="1:50">
      <c r="A47" t="s">
        <v>218</v>
      </c>
      <c r="B47" s="1" t="s">
        <v>219</v>
      </c>
      <c r="C47" t="s">
        <v>220</v>
      </c>
      <c r="D47" t="s">
        <v>221</v>
      </c>
      <c r="E47" s="1"/>
      <c r="F47" t="s">
        <v>96</v>
      </c>
      <c r="G47" s="1" t="s">
        <v>56</v>
      </c>
      <c r="H47" t="s">
        <v>57</v>
      </c>
      <c r="I47" s="3">
        <v>44561</v>
      </c>
      <c r="J47" s="26">
        <v>1</v>
      </c>
      <c r="K47" s="26">
        <f>248000000000*0.2394</f>
        <v>59371200000</v>
      </c>
      <c r="L47" s="26">
        <v>1</v>
      </c>
      <c r="M47" s="26">
        <v>1</v>
      </c>
      <c r="N47" s="26">
        <f>635000000000*0.2394</f>
        <v>152019000000</v>
      </c>
      <c r="O47" t="s">
        <v>64</v>
      </c>
      <c r="P47" t="s">
        <v>222</v>
      </c>
      <c r="X47" s="85"/>
      <c r="Y47" s="85"/>
      <c r="Z47" s="85"/>
      <c r="AA47" s="85"/>
      <c r="AB47" s="85"/>
      <c r="AC47" s="85"/>
      <c r="AE47" s="18"/>
      <c r="AF47" s="18">
        <v>56.5</v>
      </c>
      <c r="AG47" s="18">
        <v>50.1</v>
      </c>
      <c r="AH47" s="18">
        <v>53.8</v>
      </c>
      <c r="AI47" s="18">
        <v>48.3</v>
      </c>
      <c r="AJ47" s="18">
        <v>45.2</v>
      </c>
      <c r="AK47" s="18"/>
      <c r="AS47" s="82"/>
      <c r="AT47" s="82">
        <f>1000000*AF47/88.7</f>
        <v>636978.57948139799</v>
      </c>
      <c r="AU47" s="82">
        <f>1000000*AG47/74.2</f>
        <v>675202.15633423172</v>
      </c>
      <c r="AV47" s="82">
        <f>1000000*AH47/64.6</f>
        <v>832817.33746130043</v>
      </c>
      <c r="AW47" s="82">
        <f>1000000*AI47/65.9</f>
        <v>732928.67981790588</v>
      </c>
      <c r="AX47" s="82">
        <f>1000000*AJ47/47.9</f>
        <v>943632.56784968683</v>
      </c>
    </row>
    <row r="48" spans="1:50">
      <c r="A48" t="s">
        <v>223</v>
      </c>
      <c r="B48" s="1" t="s">
        <v>224</v>
      </c>
      <c r="C48" t="s">
        <v>225</v>
      </c>
      <c r="D48" t="s">
        <v>54</v>
      </c>
      <c r="E48" s="1" t="s">
        <v>63</v>
      </c>
      <c r="F48" t="s">
        <v>55</v>
      </c>
      <c r="G48" s="1" t="s">
        <v>56</v>
      </c>
      <c r="H48" t="s">
        <v>57</v>
      </c>
      <c r="I48">
        <v>2019</v>
      </c>
      <c r="J48">
        <v>12130000000</v>
      </c>
      <c r="K48">
        <v>17129000000</v>
      </c>
      <c r="L48">
        <v>32736000000</v>
      </c>
      <c r="M48">
        <v>34306000000</v>
      </c>
      <c r="N48">
        <v>85196000000</v>
      </c>
      <c r="O48" t="s">
        <v>64</v>
      </c>
      <c r="P48" t="s">
        <v>65</v>
      </c>
      <c r="Q48">
        <v>2.21654399278684</v>
      </c>
      <c r="R48">
        <v>2.25119156640157</v>
      </c>
      <c r="S48">
        <v>2.4511497723448499</v>
      </c>
      <c r="T48">
        <v>2.4417731948327601</v>
      </c>
      <c r="U48">
        <v>2.4929495902512899</v>
      </c>
      <c r="X48">
        <v>0</v>
      </c>
      <c r="Y48">
        <v>0</v>
      </c>
      <c r="Z48">
        <v>0</v>
      </c>
      <c r="AA48">
        <v>0</v>
      </c>
      <c r="AB48">
        <v>0</v>
      </c>
      <c r="AE48" s="18">
        <f t="shared" ref="AE48:AK49" si="20">IF(ISBLANK(Q48),IF(ISBLANK(X48),"",X48),Q48+X48)</f>
        <v>2.21654399278684</v>
      </c>
      <c r="AF48" s="18">
        <f t="shared" si="20"/>
        <v>2.25119156640157</v>
      </c>
      <c r="AG48" s="18">
        <f t="shared" si="20"/>
        <v>2.4511497723448499</v>
      </c>
      <c r="AH48" s="18">
        <f t="shared" si="20"/>
        <v>2.4417731948327601</v>
      </c>
      <c r="AI48" s="18">
        <f t="shared" si="20"/>
        <v>2.4929495902512899</v>
      </c>
      <c r="AJ48" s="18" t="str">
        <f t="shared" si="20"/>
        <v/>
      </c>
      <c r="AK48" s="18" t="str">
        <f t="shared" si="20"/>
        <v/>
      </c>
      <c r="AS48">
        <v>32.993291999999997</v>
      </c>
      <c r="AT48">
        <v>34.490223999999998</v>
      </c>
      <c r="AU48">
        <v>32.281219999999998</v>
      </c>
      <c r="AV48">
        <v>33.513361000000003</v>
      </c>
      <c r="AW48">
        <v>28.915493999999999</v>
      </c>
    </row>
    <row r="49" spans="1:50">
      <c r="A49" t="s">
        <v>226</v>
      </c>
      <c r="B49" s="1" t="s">
        <v>227</v>
      </c>
      <c r="C49" t="s">
        <v>228</v>
      </c>
      <c r="D49" t="s">
        <v>54</v>
      </c>
      <c r="E49" s="1" t="s">
        <v>63</v>
      </c>
      <c r="F49" t="s">
        <v>55</v>
      </c>
      <c r="G49" s="1" t="s">
        <v>56</v>
      </c>
      <c r="H49" t="s">
        <v>57</v>
      </c>
      <c r="I49">
        <v>2019</v>
      </c>
      <c r="J49">
        <v>4055165998</v>
      </c>
      <c r="K49">
        <v>1457603000</v>
      </c>
      <c r="L49">
        <v>6568781998</v>
      </c>
      <c r="M49">
        <v>6572614998</v>
      </c>
      <c r="N49">
        <v>7298774000</v>
      </c>
      <c r="O49" t="s">
        <v>64</v>
      </c>
      <c r="P49" t="s">
        <v>65</v>
      </c>
      <c r="Q49">
        <v>6.3372507858173801</v>
      </c>
      <c r="R49">
        <v>6.4887687018882199</v>
      </c>
      <c r="S49">
        <v>5.2178957581488197</v>
      </c>
      <c r="T49">
        <v>5.3678279888909604</v>
      </c>
      <c r="U49">
        <v>5.2994389016205004</v>
      </c>
      <c r="X49">
        <v>0</v>
      </c>
      <c r="Y49">
        <v>0</v>
      </c>
      <c r="Z49">
        <v>0</v>
      </c>
      <c r="AA49">
        <v>0</v>
      </c>
      <c r="AB49">
        <v>0</v>
      </c>
      <c r="AE49" s="18">
        <f t="shared" si="20"/>
        <v>6.3372507858173801</v>
      </c>
      <c r="AF49" s="18">
        <f t="shared" si="20"/>
        <v>6.4887687018882199</v>
      </c>
      <c r="AG49" s="18">
        <f t="shared" si="20"/>
        <v>5.2178957581488197</v>
      </c>
      <c r="AH49" s="18">
        <f t="shared" si="20"/>
        <v>5.3678279888909604</v>
      </c>
      <c r="AI49" s="18">
        <f t="shared" si="20"/>
        <v>5.2994389016205004</v>
      </c>
      <c r="AJ49" s="18" t="str">
        <f t="shared" si="20"/>
        <v/>
      </c>
      <c r="AK49" s="18" t="str">
        <f t="shared" si="20"/>
        <v/>
      </c>
      <c r="AS49">
        <v>10.2316756958</v>
      </c>
      <c r="AT49">
        <v>10.1709745005</v>
      </c>
      <c r="AU49">
        <v>9.3077880987999997</v>
      </c>
      <c r="AV49">
        <v>9.9073846084999992</v>
      </c>
      <c r="AW49">
        <v>9.7428489771999995</v>
      </c>
    </row>
    <row r="50" spans="1:50">
      <c r="A50" t="s">
        <v>229</v>
      </c>
      <c r="B50" s="1" t="s">
        <v>230</v>
      </c>
      <c r="C50" t="s">
        <v>231</v>
      </c>
      <c r="D50" t="s">
        <v>232</v>
      </c>
      <c r="E50" s="1" t="s">
        <v>202</v>
      </c>
      <c r="F50" t="s">
        <v>101</v>
      </c>
      <c r="G50" s="1" t="s">
        <v>56</v>
      </c>
      <c r="H50" t="s">
        <v>57</v>
      </c>
      <c r="I50">
        <v>2019</v>
      </c>
      <c r="J50">
        <v>20260000000</v>
      </c>
      <c r="K50">
        <v>55955872344.100899</v>
      </c>
      <c r="L50" s="70">
        <f>J50</f>
        <v>20260000000</v>
      </c>
      <c r="M50" s="70">
        <f>J50</f>
        <v>20260000000</v>
      </c>
      <c r="N50">
        <v>68553124892.036598</v>
      </c>
      <c r="O50" t="s">
        <v>58</v>
      </c>
      <c r="P50" t="s">
        <v>102</v>
      </c>
      <c r="Q50">
        <v>81309800</v>
      </c>
      <c r="R50">
        <v>75633360</v>
      </c>
      <c r="S50">
        <v>77391479</v>
      </c>
      <c r="T50">
        <v>79447924</v>
      </c>
      <c r="U50">
        <v>75069656</v>
      </c>
      <c r="X50">
        <v>3715700</v>
      </c>
      <c r="Y50">
        <v>1107681</v>
      </c>
      <c r="Z50">
        <v>1106964</v>
      </c>
      <c r="AA50">
        <v>815966</v>
      </c>
      <c r="AB50">
        <v>580226</v>
      </c>
      <c r="AE50">
        <v>85025500</v>
      </c>
      <c r="AF50">
        <v>76741041</v>
      </c>
      <c r="AG50">
        <v>78498443</v>
      </c>
      <c r="AH50">
        <v>80263890</v>
      </c>
      <c r="AI50">
        <v>75649882</v>
      </c>
      <c r="AL50">
        <v>18044000</v>
      </c>
      <c r="AM50">
        <v>18044000</v>
      </c>
      <c r="AN50">
        <v>18903000</v>
      </c>
      <c r="AO50">
        <v>13139000</v>
      </c>
      <c r="AP50">
        <v>11951000</v>
      </c>
      <c r="AS50">
        <v>42199000</v>
      </c>
      <c r="AT50">
        <v>37207000</v>
      </c>
      <c r="AU50">
        <v>37735000</v>
      </c>
      <c r="AV50">
        <v>38007000</v>
      </c>
      <c r="AW50">
        <v>35935000</v>
      </c>
    </row>
    <row r="51" spans="1:50">
      <c r="A51" t="s">
        <v>233</v>
      </c>
      <c r="B51" s="1" t="s">
        <v>234</v>
      </c>
      <c r="C51" t="s">
        <v>235</v>
      </c>
      <c r="D51" t="s">
        <v>54</v>
      </c>
      <c r="E51" s="1" t="s">
        <v>63</v>
      </c>
      <c r="F51" t="s">
        <v>55</v>
      </c>
      <c r="G51" s="1" t="s">
        <v>56</v>
      </c>
      <c r="H51" t="s">
        <v>57</v>
      </c>
      <c r="I51">
        <v>2019</v>
      </c>
      <c r="J51">
        <v>22384264788</v>
      </c>
      <c r="K51">
        <v>7769000000</v>
      </c>
      <c r="L51">
        <v>43462264788</v>
      </c>
      <c r="M51">
        <v>44277264788</v>
      </c>
      <c r="N51">
        <v>45680000000</v>
      </c>
      <c r="O51" t="s">
        <v>64</v>
      </c>
      <c r="P51" t="s">
        <v>65</v>
      </c>
      <c r="Q51">
        <v>30.0884872251346</v>
      </c>
      <c r="R51">
        <v>30.248371457395901</v>
      </c>
      <c r="S51">
        <v>31.6114690424515</v>
      </c>
      <c r="T51">
        <v>28.7789153183409</v>
      </c>
      <c r="U51">
        <v>26.356336337583201</v>
      </c>
      <c r="X51">
        <v>0</v>
      </c>
      <c r="Y51">
        <v>0</v>
      </c>
      <c r="Z51">
        <v>0</v>
      </c>
      <c r="AA51">
        <v>0</v>
      </c>
      <c r="AB51">
        <v>0</v>
      </c>
      <c r="AE51" s="18">
        <f t="shared" ref="AE51:AK56" si="21">IF(ISBLANK(Q51),IF(ISBLANK(X51),"",X51),Q51+X51)</f>
        <v>30.0884872251346</v>
      </c>
      <c r="AF51" s="18">
        <f t="shared" si="21"/>
        <v>30.248371457395901</v>
      </c>
      <c r="AG51" s="18">
        <f t="shared" si="21"/>
        <v>31.6114690424515</v>
      </c>
      <c r="AH51" s="18">
        <f t="shared" si="21"/>
        <v>28.7789153183409</v>
      </c>
      <c r="AI51" s="18">
        <f t="shared" si="21"/>
        <v>26.356336337583201</v>
      </c>
      <c r="AJ51" s="18" t="str">
        <f t="shared" si="21"/>
        <v/>
      </c>
      <c r="AK51" s="18" t="str">
        <f t="shared" si="21"/>
        <v/>
      </c>
      <c r="AS51">
        <v>34.6132211708955</v>
      </c>
      <c r="AT51">
        <v>33.532868484328297</v>
      </c>
      <c r="AU51">
        <v>35.571970040298503</v>
      </c>
      <c r="AV51">
        <v>33.152931723134301</v>
      </c>
      <c r="AW51">
        <v>30.552479561194001</v>
      </c>
    </row>
    <row r="52" spans="1:50">
      <c r="A52" t="s">
        <v>236</v>
      </c>
      <c r="B52" s="1" t="s">
        <v>237</v>
      </c>
      <c r="C52" t="s">
        <v>238</v>
      </c>
      <c r="D52" t="s">
        <v>54</v>
      </c>
      <c r="E52" s="1" t="s">
        <v>63</v>
      </c>
      <c r="F52" t="s">
        <v>55</v>
      </c>
      <c r="G52" s="1" t="s">
        <v>56</v>
      </c>
      <c r="H52" t="s">
        <v>57</v>
      </c>
      <c r="I52">
        <v>2019</v>
      </c>
      <c r="J52">
        <v>10536165750</v>
      </c>
      <c r="K52">
        <v>3471209000</v>
      </c>
      <c r="L52">
        <v>16720274750</v>
      </c>
      <c r="M52">
        <v>16730557750</v>
      </c>
      <c r="N52">
        <v>18479247000</v>
      </c>
      <c r="O52" t="s">
        <v>64</v>
      </c>
      <c r="P52" t="s">
        <v>65</v>
      </c>
      <c r="Q52">
        <v>10.1264200928455</v>
      </c>
      <c r="R52">
        <v>11.1203926606529</v>
      </c>
      <c r="S52">
        <v>11.1870425101908</v>
      </c>
      <c r="T52">
        <v>10.549571530444201</v>
      </c>
      <c r="U52">
        <v>10.831472549502299</v>
      </c>
      <c r="X52">
        <v>0</v>
      </c>
      <c r="Y52">
        <v>0</v>
      </c>
      <c r="Z52">
        <v>0</v>
      </c>
      <c r="AA52">
        <v>0</v>
      </c>
      <c r="AB52">
        <v>0</v>
      </c>
      <c r="AE52" s="18">
        <f t="shared" si="21"/>
        <v>10.1264200928455</v>
      </c>
      <c r="AF52" s="18">
        <f t="shared" si="21"/>
        <v>11.1203926606529</v>
      </c>
      <c r="AG52" s="18">
        <f t="shared" si="21"/>
        <v>11.1870425101908</v>
      </c>
      <c r="AH52" s="18">
        <f t="shared" si="21"/>
        <v>10.549571530444201</v>
      </c>
      <c r="AI52" s="18">
        <f t="shared" si="21"/>
        <v>10.831472549502299</v>
      </c>
      <c r="AJ52" s="18" t="str">
        <f t="shared" si="21"/>
        <v/>
      </c>
      <c r="AK52" s="18" t="str">
        <f t="shared" si="21"/>
        <v/>
      </c>
      <c r="AS52">
        <v>24.816709093617501</v>
      </c>
      <c r="AT52">
        <v>25.543286224276802</v>
      </c>
      <c r="AU52">
        <v>25.3295254644724</v>
      </c>
      <c r="AV52">
        <v>25.6144668764736</v>
      </c>
      <c r="AW52">
        <v>26.617025473167001</v>
      </c>
    </row>
    <row r="53" spans="1:50">
      <c r="A53" t="s">
        <v>239</v>
      </c>
      <c r="B53" s="1" t="s">
        <v>240</v>
      </c>
      <c r="C53" t="s">
        <v>241</v>
      </c>
      <c r="D53" t="s">
        <v>54</v>
      </c>
      <c r="E53" s="1" t="s">
        <v>63</v>
      </c>
      <c r="F53" t="s">
        <v>55</v>
      </c>
      <c r="G53" s="1" t="s">
        <v>56</v>
      </c>
      <c r="H53" t="s">
        <v>57</v>
      </c>
      <c r="I53">
        <v>2019</v>
      </c>
      <c r="J53">
        <v>4823580272</v>
      </c>
      <c r="K53">
        <v>2123000000</v>
      </c>
      <c r="L53">
        <v>7832580272</v>
      </c>
      <c r="M53">
        <v>7862580272</v>
      </c>
      <c r="N53">
        <v>8394000000</v>
      </c>
      <c r="O53" t="s">
        <v>64</v>
      </c>
      <c r="P53" t="s">
        <v>65</v>
      </c>
      <c r="Q53">
        <v>5.9896601061833996</v>
      </c>
      <c r="R53">
        <v>5.9839268728476602</v>
      </c>
      <c r="S53">
        <v>6.0355401320321702</v>
      </c>
      <c r="T53">
        <v>7.6219275866474101</v>
      </c>
      <c r="U53">
        <v>6.2495578398509801</v>
      </c>
      <c r="X53">
        <v>0</v>
      </c>
      <c r="Y53">
        <v>0</v>
      </c>
      <c r="Z53">
        <v>0</v>
      </c>
      <c r="AA53">
        <v>0</v>
      </c>
      <c r="AB53">
        <v>0</v>
      </c>
      <c r="AE53" s="18">
        <f t="shared" si="21"/>
        <v>5.9896601061833996</v>
      </c>
      <c r="AF53" s="18">
        <f t="shared" si="21"/>
        <v>5.9839268728476602</v>
      </c>
      <c r="AG53" s="18">
        <f t="shared" si="21"/>
        <v>6.0355401320321702</v>
      </c>
      <c r="AH53" s="18">
        <f t="shared" si="21"/>
        <v>7.6219275866474101</v>
      </c>
      <c r="AI53" s="18">
        <f t="shared" si="21"/>
        <v>6.2495578398509801</v>
      </c>
      <c r="AJ53" s="18" t="str">
        <f t="shared" si="21"/>
        <v/>
      </c>
      <c r="AK53" s="18" t="str">
        <f t="shared" si="21"/>
        <v/>
      </c>
      <c r="AS53">
        <v>13.0388771586</v>
      </c>
      <c r="AT53">
        <v>13.1581340554</v>
      </c>
      <c r="AU53">
        <v>13.925387108697</v>
      </c>
      <c r="AV53">
        <v>15.800690788500001</v>
      </c>
      <c r="AW53">
        <v>14.4241320008</v>
      </c>
    </row>
    <row r="54" spans="1:50">
      <c r="A54" t="s">
        <v>242</v>
      </c>
      <c r="B54" s="1" t="s">
        <v>243</v>
      </c>
      <c r="C54" t="s">
        <v>244</v>
      </c>
      <c r="D54" t="s">
        <v>54</v>
      </c>
      <c r="E54" s="1" t="s">
        <v>63</v>
      </c>
      <c r="F54" t="s">
        <v>55</v>
      </c>
      <c r="G54" s="1" t="s">
        <v>56</v>
      </c>
      <c r="H54" t="s">
        <v>57</v>
      </c>
      <c r="I54">
        <v>2019</v>
      </c>
      <c r="J54">
        <v>29513402185</v>
      </c>
      <c r="K54">
        <v>10076000000</v>
      </c>
      <c r="L54">
        <v>46089402185</v>
      </c>
      <c r="M54">
        <v>46236402185</v>
      </c>
      <c r="N54">
        <v>47730000000</v>
      </c>
      <c r="O54" t="s">
        <v>64</v>
      </c>
      <c r="P54" t="s">
        <v>65</v>
      </c>
      <c r="Q54">
        <v>11.7569055157382</v>
      </c>
      <c r="R54">
        <v>10.497003363215899</v>
      </c>
      <c r="S54">
        <v>11.8664996455886</v>
      </c>
      <c r="T54">
        <v>11.5717537423113</v>
      </c>
      <c r="U54">
        <v>8.2013432159027992</v>
      </c>
      <c r="X54">
        <v>0</v>
      </c>
      <c r="Y54">
        <v>0</v>
      </c>
      <c r="Z54">
        <v>0</v>
      </c>
      <c r="AA54">
        <v>0</v>
      </c>
      <c r="AB54">
        <v>0</v>
      </c>
      <c r="AE54" s="18">
        <f t="shared" si="21"/>
        <v>11.7569055157382</v>
      </c>
      <c r="AF54" s="18">
        <f t="shared" si="21"/>
        <v>10.497003363215899</v>
      </c>
      <c r="AG54" s="18">
        <f t="shared" si="21"/>
        <v>11.8664996455886</v>
      </c>
      <c r="AH54" s="18">
        <f t="shared" si="21"/>
        <v>11.5717537423113</v>
      </c>
      <c r="AI54" s="18">
        <f t="shared" si="21"/>
        <v>8.2013432159027992</v>
      </c>
      <c r="AJ54" s="18" t="str">
        <f t="shared" si="21"/>
        <v/>
      </c>
      <c r="AK54" s="18" t="str">
        <f t="shared" si="21"/>
        <v/>
      </c>
      <c r="AS54">
        <v>51.638514609600001</v>
      </c>
      <c r="AT54">
        <v>51.196017137600002</v>
      </c>
      <c r="AU54">
        <v>53.823207085</v>
      </c>
      <c r="AV54">
        <v>53.4572160069999</v>
      </c>
      <c r="AW54">
        <v>49.809330486083802</v>
      </c>
    </row>
    <row r="55" spans="1:50">
      <c r="A55" t="s">
        <v>245</v>
      </c>
      <c r="B55" s="1" t="s">
        <v>246</v>
      </c>
      <c r="C55" t="s">
        <v>247</v>
      </c>
      <c r="D55" t="s">
        <v>248</v>
      </c>
      <c r="E55" s="1"/>
      <c r="F55" t="s">
        <v>96</v>
      </c>
      <c r="G55" s="1" t="s">
        <v>56</v>
      </c>
      <c r="H55" t="s">
        <v>57</v>
      </c>
      <c r="I55" s="3">
        <v>44561</v>
      </c>
      <c r="J55" s="26">
        <v>1908000000000</v>
      </c>
      <c r="K55" s="26">
        <v>359460000000</v>
      </c>
      <c r="L55" s="26">
        <v>7400000000000</v>
      </c>
      <c r="M55">
        <f>L55+356460000000</f>
        <v>7756460000000</v>
      </c>
      <c r="N55" s="26">
        <v>576700000000</v>
      </c>
      <c r="O55" t="s">
        <v>64</v>
      </c>
      <c r="P55" t="s">
        <v>188</v>
      </c>
      <c r="S55" s="70">
        <f>46.6*(52/44.7)</f>
        <v>54.210290827740494</v>
      </c>
      <c r="T55">
        <v>52</v>
      </c>
      <c r="U55">
        <v>50.2</v>
      </c>
      <c r="V55">
        <v>52.3</v>
      </c>
      <c r="Z55" s="70">
        <f>14.7*(19/14.7)</f>
        <v>19</v>
      </c>
      <c r="AA55">
        <v>19</v>
      </c>
      <c r="AB55">
        <v>18.100000000000001</v>
      </c>
      <c r="AC55">
        <v>15.5</v>
      </c>
      <c r="AE55" s="18" t="str">
        <f t="shared" si="21"/>
        <v/>
      </c>
      <c r="AF55" s="18" t="str">
        <f t="shared" si="21"/>
        <v/>
      </c>
      <c r="AG55" s="18">
        <f t="shared" si="21"/>
        <v>73.210290827740494</v>
      </c>
      <c r="AH55" s="18">
        <f t="shared" si="21"/>
        <v>71</v>
      </c>
      <c r="AI55" s="18">
        <f t="shared" si="21"/>
        <v>68.300000000000011</v>
      </c>
      <c r="AJ55" s="18">
        <f t="shared" si="21"/>
        <v>67.8</v>
      </c>
      <c r="AK55" s="18" t="str">
        <f t="shared" si="21"/>
        <v/>
      </c>
      <c r="AN55" s="77">
        <f>AU55*0.43</f>
        <v>2134.52</v>
      </c>
      <c r="AO55" s="77">
        <f>AV55*0.43</f>
        <v>2071.7399999999998</v>
      </c>
      <c r="AP55" s="77">
        <f>AW55*0.43</f>
        <v>1946.18</v>
      </c>
      <c r="AQ55" s="77">
        <f>AX55*0.43</f>
        <v>1930.4849999999999</v>
      </c>
      <c r="AU55">
        <f>13.6*365</f>
        <v>4964</v>
      </c>
      <c r="AV55">
        <f>13.2*365</f>
        <v>4818</v>
      </c>
      <c r="AW55">
        <f>12.4*365</f>
        <v>4526</v>
      </c>
      <c r="AX55">
        <f>12.3*365</f>
        <v>4489.5</v>
      </c>
    </row>
    <row r="56" spans="1:50">
      <c r="A56" t="s">
        <v>249</v>
      </c>
      <c r="B56" s="1" t="s">
        <v>250</v>
      </c>
      <c r="C56" t="s">
        <v>251</v>
      </c>
      <c r="D56" t="s">
        <v>54</v>
      </c>
      <c r="E56" s="1" t="s">
        <v>63</v>
      </c>
      <c r="F56" t="s">
        <v>55</v>
      </c>
      <c r="G56" s="1" t="s">
        <v>56</v>
      </c>
      <c r="H56" t="s">
        <v>57</v>
      </c>
      <c r="I56">
        <v>2019</v>
      </c>
      <c r="J56">
        <v>37700000000</v>
      </c>
      <c r="K56">
        <v>10829000000</v>
      </c>
      <c r="L56">
        <v>58377000000</v>
      </c>
      <c r="M56">
        <v>58485000000</v>
      </c>
      <c r="N56">
        <v>65665000000</v>
      </c>
      <c r="O56" t="s">
        <v>64</v>
      </c>
      <c r="P56" t="s">
        <v>65</v>
      </c>
      <c r="Q56">
        <v>0.93325631030505496</v>
      </c>
      <c r="R56">
        <v>1.0145733542115101</v>
      </c>
      <c r="S56">
        <v>0.78712423475055404</v>
      </c>
      <c r="T56">
        <v>0.49535753618873202</v>
      </c>
      <c r="U56">
        <v>0.81038145236854997</v>
      </c>
      <c r="X56">
        <v>0</v>
      </c>
      <c r="Y56">
        <v>0</v>
      </c>
      <c r="Z56">
        <v>0</v>
      </c>
      <c r="AA56">
        <v>0</v>
      </c>
      <c r="AB56">
        <v>0</v>
      </c>
      <c r="AE56" s="18">
        <f t="shared" si="21"/>
        <v>0.93325631030505496</v>
      </c>
      <c r="AF56" s="18">
        <f t="shared" si="21"/>
        <v>1.0145733542115101</v>
      </c>
      <c r="AG56" s="18">
        <f t="shared" si="21"/>
        <v>0.78712423475055404</v>
      </c>
      <c r="AH56" s="18">
        <f t="shared" si="21"/>
        <v>0.49535753618873202</v>
      </c>
      <c r="AI56" s="18">
        <f t="shared" si="21"/>
        <v>0.81038145236854997</v>
      </c>
      <c r="AJ56" s="18" t="str">
        <f t="shared" si="21"/>
        <v/>
      </c>
      <c r="AK56" s="18" t="str">
        <f t="shared" si="21"/>
        <v/>
      </c>
      <c r="AS56">
        <v>2.4300410000000001</v>
      </c>
      <c r="AT56">
        <v>2.6489569999999998</v>
      </c>
      <c r="AU56">
        <v>2.03335</v>
      </c>
      <c r="AV56">
        <v>1.263015</v>
      </c>
      <c r="AW56">
        <v>2.1170110000000002</v>
      </c>
    </row>
    <row r="57" spans="1:50">
      <c r="A57" t="s">
        <v>252</v>
      </c>
      <c r="B57" s="1" t="s">
        <v>253</v>
      </c>
      <c r="C57" t="s">
        <v>254</v>
      </c>
      <c r="D57" t="s">
        <v>94</v>
      </c>
      <c r="E57" s="1" t="s">
        <v>95</v>
      </c>
      <c r="F57" t="s">
        <v>96</v>
      </c>
      <c r="G57" s="1" t="s">
        <v>56</v>
      </c>
      <c r="H57" t="s">
        <v>57</v>
      </c>
      <c r="I57" s="3">
        <v>44561</v>
      </c>
      <c r="J57" s="26">
        <v>89760000000</v>
      </c>
      <c r="K57" s="26">
        <v>261500000000</v>
      </c>
      <c r="L57" s="26">
        <v>147090000000</v>
      </c>
      <c r="M57">
        <f>L57+38970000000</f>
        <v>186060000000</v>
      </c>
      <c r="N57" s="26">
        <v>404379000000</v>
      </c>
      <c r="O57" t="s">
        <v>64</v>
      </c>
      <c r="P57" t="s">
        <v>255</v>
      </c>
      <c r="Q57">
        <v>68</v>
      </c>
      <c r="R57">
        <v>73</v>
      </c>
      <c r="S57">
        <v>71</v>
      </c>
      <c r="T57">
        <v>70</v>
      </c>
      <c r="U57">
        <v>63</v>
      </c>
      <c r="V57">
        <v>60</v>
      </c>
      <c r="Y57">
        <v>12</v>
      </c>
      <c r="Z57">
        <v>11</v>
      </c>
      <c r="AA57">
        <v>10</v>
      </c>
      <c r="AB57">
        <v>8</v>
      </c>
      <c r="AC57">
        <v>8</v>
      </c>
      <c r="AE57" s="18">
        <f t="shared" ref="AE57:AJ58" si="22">IF(ISBLANK(Q57),IF(ISBLANK(X57),"",X57),Q57+X57)</f>
        <v>68</v>
      </c>
      <c r="AF57" s="18">
        <f t="shared" si="22"/>
        <v>85</v>
      </c>
      <c r="AG57" s="18">
        <f t="shared" si="22"/>
        <v>82</v>
      </c>
      <c r="AH57" s="18">
        <f t="shared" si="22"/>
        <v>80</v>
      </c>
      <c r="AI57" s="18">
        <f t="shared" si="22"/>
        <v>71</v>
      </c>
      <c r="AJ57" s="18">
        <f t="shared" si="22"/>
        <v>68</v>
      </c>
      <c r="AK57" s="18"/>
      <c r="AL57" s="70">
        <f>186+87+1318+582+736</f>
        <v>2909</v>
      </c>
      <c r="AM57">
        <f>186+87+1318+582+736</f>
        <v>2909</v>
      </c>
      <c r="AN57">
        <f>190+96+1351+594+757</f>
        <v>2988</v>
      </c>
      <c r="AO57">
        <f>178+102+1271+564+708</f>
        <v>2823</v>
      </c>
      <c r="AP57">
        <f>147+103+1054+452+602</f>
        <v>2358</v>
      </c>
      <c r="AQ57">
        <f>147+136+6+1010+380+630</f>
        <v>2309</v>
      </c>
      <c r="AS57" s="70">
        <v>21.44</v>
      </c>
      <c r="AT57">
        <v>21.44</v>
      </c>
      <c r="AU57">
        <v>22</v>
      </c>
      <c r="AV57">
        <v>21.05</v>
      </c>
      <c r="AW57">
        <v>18.399999999999999</v>
      </c>
      <c r="AX57">
        <v>17.89</v>
      </c>
    </row>
    <row r="58" spans="1:50">
      <c r="A58" t="s">
        <v>256</v>
      </c>
      <c r="B58" s="1" t="s">
        <v>257</v>
      </c>
      <c r="C58" t="s">
        <v>258</v>
      </c>
      <c r="D58" t="s">
        <v>259</v>
      </c>
      <c r="E58" s="1"/>
      <c r="F58" t="s">
        <v>96</v>
      </c>
      <c r="G58" s="1" t="s">
        <v>56</v>
      </c>
      <c r="H58" t="s">
        <v>57</v>
      </c>
      <c r="I58" s="3">
        <v>44561</v>
      </c>
      <c r="J58" s="26">
        <v>75290000000</v>
      </c>
      <c r="K58" s="26">
        <v>401300000000</v>
      </c>
      <c r="L58" s="26">
        <v>778290000000</v>
      </c>
      <c r="M58" s="26">
        <f>L58+234950000000</f>
        <v>1013240000000</v>
      </c>
      <c r="N58" s="26">
        <v>44619130000</v>
      </c>
      <c r="O58" t="s">
        <v>64</v>
      </c>
      <c r="P58" t="s">
        <v>188</v>
      </c>
      <c r="T58">
        <v>125.68</v>
      </c>
      <c r="U58">
        <v>128.58000000000001</v>
      </c>
      <c r="V58">
        <v>148.38</v>
      </c>
      <c r="AA58">
        <v>45.01</v>
      </c>
      <c r="AB58">
        <v>42.36</v>
      </c>
      <c r="AC58">
        <v>24.18</v>
      </c>
      <c r="AE58" s="18" t="str">
        <f t="shared" si="22"/>
        <v/>
      </c>
      <c r="AF58" s="18" t="str">
        <f t="shared" si="22"/>
        <v/>
      </c>
      <c r="AG58" s="18" t="str">
        <f t="shared" si="22"/>
        <v/>
      </c>
      <c r="AH58" s="18">
        <f t="shared" si="22"/>
        <v>170.69</v>
      </c>
      <c r="AI58" s="18">
        <f t="shared" si="22"/>
        <v>170.94</v>
      </c>
      <c r="AJ58" s="18">
        <f t="shared" si="22"/>
        <v>172.56</v>
      </c>
      <c r="AK58" s="18"/>
      <c r="AO58">
        <f>AV58*0.43</f>
        <v>197.3356</v>
      </c>
      <c r="AP58">
        <f>AW58*0.43</f>
        <v>197.37859999999998</v>
      </c>
      <c r="AQ58">
        <f>AX58*0.43</f>
        <v>206.28819999999999</v>
      </c>
      <c r="AV58">
        <v>458.92</v>
      </c>
      <c r="AW58">
        <v>459.02</v>
      </c>
      <c r="AX58">
        <v>479.74</v>
      </c>
    </row>
    <row r="59" spans="1:50">
      <c r="A59" t="s">
        <v>260</v>
      </c>
      <c r="B59" s="1" t="s">
        <v>261</v>
      </c>
      <c r="C59" t="s">
        <v>262</v>
      </c>
      <c r="D59" t="s">
        <v>232</v>
      </c>
      <c r="E59" s="1"/>
      <c r="F59" t="s">
        <v>96</v>
      </c>
      <c r="G59" s="1" t="s">
        <v>56</v>
      </c>
      <c r="H59" t="s">
        <v>57</v>
      </c>
      <c r="I59" s="3">
        <v>44561</v>
      </c>
      <c r="J59" s="26">
        <v>16740000000</v>
      </c>
      <c r="K59" s="26">
        <v>40270000000</v>
      </c>
      <c r="L59" s="26">
        <f>29980000000000/1188.8371</f>
        <v>25217920941.39727</v>
      </c>
      <c r="M59" s="26">
        <f>L59+11000000000000/1188.8371</f>
        <v>34470660446.24617</v>
      </c>
      <c r="N59" s="26">
        <f>49560000000000/1188.8371</f>
        <v>41687797260.028313</v>
      </c>
      <c r="O59" t="s">
        <v>58</v>
      </c>
      <c r="P59" t="s">
        <v>263</v>
      </c>
      <c r="R59">
        <f>10515907</f>
        <v>10515907</v>
      </c>
      <c r="S59">
        <f>10484559</f>
        <v>10484559</v>
      </c>
      <c r="T59">
        <f>10117596</f>
        <v>10117596</v>
      </c>
      <c r="U59">
        <f>9703851</f>
        <v>9703851</v>
      </c>
      <c r="V59" s="81">
        <f>AJ59-AC59</f>
        <v>8521728.0528707132</v>
      </c>
      <c r="Y59">
        <f>2387301</f>
        <v>2387301</v>
      </c>
      <c r="Z59">
        <f>2480244</f>
        <v>2480244</v>
      </c>
      <c r="AA59">
        <f>2400554</f>
        <v>2400554</v>
      </c>
      <c r="AB59">
        <f>2389387</f>
        <v>2389387</v>
      </c>
      <c r="AC59" s="70">
        <f>AB59/AA59*AB59</f>
        <v>2378271.9471292878</v>
      </c>
      <c r="AE59" s="18" t="str">
        <f t="shared" ref="AE59:AI60" si="23">IF(ISBLANK(Q59),IF(ISBLANK(X59),"",X59),Q59+X59)</f>
        <v/>
      </c>
      <c r="AF59" s="18">
        <f t="shared" si="23"/>
        <v>12903208</v>
      </c>
      <c r="AG59" s="18">
        <f t="shared" si="23"/>
        <v>12964803</v>
      </c>
      <c r="AH59" s="18">
        <f t="shared" si="23"/>
        <v>12518150</v>
      </c>
      <c r="AI59" s="18">
        <f t="shared" si="23"/>
        <v>12093238</v>
      </c>
      <c r="AJ59" s="26">
        <v>10900000</v>
      </c>
      <c r="AM59" s="70">
        <f>151800000</f>
        <v>151800000</v>
      </c>
      <c r="AN59" s="70">
        <f>151800000</f>
        <v>151800000</v>
      </c>
      <c r="AO59">
        <f>151800000</f>
        <v>151800000</v>
      </c>
      <c r="AP59">
        <f>131470000</f>
        <v>131470000</v>
      </c>
      <c r="AQ59">
        <f>118350000</f>
        <v>118350000</v>
      </c>
      <c r="AT59" s="70">
        <f>AM59/0.43</f>
        <v>353023255.81395352</v>
      </c>
      <c r="AU59" s="70">
        <f>AN59/0.43</f>
        <v>353023255.81395352</v>
      </c>
      <c r="AV59" s="70">
        <f>AO59/0.43</f>
        <v>353023255.81395352</v>
      </c>
      <c r="AW59" s="70">
        <f>AP59/0.43</f>
        <v>305744186.04651165</v>
      </c>
      <c r="AX59" s="70">
        <f>SUM(AV59:AW59)/2</f>
        <v>329383720.93023258</v>
      </c>
    </row>
    <row r="60" spans="1:50">
      <c r="A60" t="s">
        <v>264</v>
      </c>
      <c r="B60" s="1" t="s">
        <v>265</v>
      </c>
      <c r="C60" t="s">
        <v>266</v>
      </c>
      <c r="D60" t="s">
        <v>54</v>
      </c>
      <c r="E60" s="1" t="s">
        <v>63</v>
      </c>
      <c r="F60" t="s">
        <v>55</v>
      </c>
      <c r="G60" s="1" t="s">
        <v>56</v>
      </c>
      <c r="H60" t="s">
        <v>57</v>
      </c>
      <c r="I60">
        <v>2019</v>
      </c>
      <c r="J60">
        <v>57800000000</v>
      </c>
      <c r="K60">
        <v>21419000000</v>
      </c>
      <c r="L60">
        <v>97623000000</v>
      </c>
      <c r="M60">
        <v>99598000000</v>
      </c>
      <c r="N60">
        <v>118700000000</v>
      </c>
      <c r="O60" t="s">
        <v>64</v>
      </c>
      <c r="P60" t="s">
        <v>65</v>
      </c>
      <c r="Q60">
        <v>73.158060139100499</v>
      </c>
      <c r="R60">
        <v>68.701762309261795</v>
      </c>
      <c r="S60">
        <v>70.065115266754603</v>
      </c>
      <c r="T60">
        <v>63.436734029678099</v>
      </c>
      <c r="U60">
        <v>55.268400132395499</v>
      </c>
      <c r="X60">
        <v>0</v>
      </c>
      <c r="Y60">
        <v>0</v>
      </c>
      <c r="Z60">
        <v>0</v>
      </c>
      <c r="AA60">
        <v>0</v>
      </c>
      <c r="AB60">
        <v>0</v>
      </c>
      <c r="AE60" s="18">
        <f t="shared" si="23"/>
        <v>73.158060139100499</v>
      </c>
      <c r="AF60" s="18">
        <f t="shared" si="23"/>
        <v>68.701762309261795</v>
      </c>
      <c r="AG60" s="18">
        <f t="shared" si="23"/>
        <v>70.065115266754603</v>
      </c>
      <c r="AH60" s="18">
        <f t="shared" si="23"/>
        <v>63.436734029678099</v>
      </c>
      <c r="AI60" s="18">
        <f t="shared" si="23"/>
        <v>55.268400132395499</v>
      </c>
      <c r="AJ60" s="18" t="str">
        <f>IF(ISBLANK(V60),IF(ISBLANK(AC60),"",AC60),V60+AC60)</f>
        <v/>
      </c>
      <c r="AK60" s="18" t="str">
        <f>IF(ISBLANK(W60),IF(ISBLANK(AD60),"",AD60),W60+AD60)</f>
        <v/>
      </c>
      <c r="AS60">
        <v>142.170798416672</v>
      </c>
      <c r="AT60">
        <v>139.134164092411</v>
      </c>
      <c r="AU60">
        <v>143.25452060572201</v>
      </c>
      <c r="AV60">
        <v>139.142471613559</v>
      </c>
      <c r="AW60">
        <v>133.66992427778101</v>
      </c>
    </row>
    <row r="61" spans="1:50">
      <c r="A61" t="s">
        <v>267</v>
      </c>
      <c r="B61" s="1" t="s">
        <v>268</v>
      </c>
      <c r="C61" t="s">
        <v>269</v>
      </c>
      <c r="D61" t="s">
        <v>54</v>
      </c>
      <c r="E61" s="1" t="s">
        <v>63</v>
      </c>
      <c r="F61" t="s">
        <v>101</v>
      </c>
      <c r="G61" s="1" t="s">
        <v>56</v>
      </c>
      <c r="H61" t="s">
        <v>57</v>
      </c>
      <c r="I61">
        <v>2019</v>
      </c>
      <c r="J61">
        <v>5000000000</v>
      </c>
      <c r="K61">
        <v>10464991000</v>
      </c>
      <c r="L61">
        <v>6352884000</v>
      </c>
      <c r="M61">
        <v>7734344000</v>
      </c>
      <c r="N61">
        <v>8275765000</v>
      </c>
      <c r="O61" t="s">
        <v>58</v>
      </c>
      <c r="P61" t="s">
        <v>102</v>
      </c>
      <c r="Q61">
        <v>3215942</v>
      </c>
      <c r="R61">
        <v>3215942</v>
      </c>
      <c r="S61">
        <v>3299883</v>
      </c>
      <c r="T61">
        <v>3145097</v>
      </c>
      <c r="U61">
        <v>3063829.9454545402</v>
      </c>
      <c r="X61">
        <v>1700245</v>
      </c>
      <c r="Y61">
        <v>1700245</v>
      </c>
      <c r="Z61">
        <v>1863045</v>
      </c>
      <c r="AA61">
        <v>1744669</v>
      </c>
      <c r="AB61">
        <v>1694260.13636364</v>
      </c>
      <c r="AE61">
        <v>4916187</v>
      </c>
      <c r="AF61">
        <v>4916187</v>
      </c>
      <c r="AG61">
        <v>5162928</v>
      </c>
      <c r="AH61">
        <v>4889766</v>
      </c>
      <c r="AI61">
        <v>4758090.0818181802</v>
      </c>
      <c r="AS61">
        <v>8529969</v>
      </c>
      <c r="AT61">
        <v>8529969</v>
      </c>
      <c r="AU61">
        <v>9074135</v>
      </c>
      <c r="AV61">
        <v>8793160</v>
      </c>
      <c r="AW61">
        <v>8925057.4000000004</v>
      </c>
    </row>
    <row r="62" spans="1:50">
      <c r="A62" t="s">
        <v>270</v>
      </c>
      <c r="B62" s="1" t="s">
        <v>271</v>
      </c>
      <c r="C62" t="s">
        <v>272</v>
      </c>
      <c r="D62" t="s">
        <v>169</v>
      </c>
      <c r="E62" s="1" t="s">
        <v>63</v>
      </c>
      <c r="F62" t="s">
        <v>55</v>
      </c>
      <c r="G62" s="1" t="s">
        <v>56</v>
      </c>
      <c r="H62" t="s">
        <v>57</v>
      </c>
      <c r="I62">
        <v>2019</v>
      </c>
      <c r="J62" s="25">
        <v>50030000000</v>
      </c>
      <c r="K62">
        <v>10175225448.559799</v>
      </c>
      <c r="L62" s="70">
        <f>J62</f>
        <v>50030000000</v>
      </c>
      <c r="M62" s="70">
        <f>J62</f>
        <v>50030000000</v>
      </c>
      <c r="N62">
        <v>76211709340.442902</v>
      </c>
      <c r="O62" t="s">
        <v>64</v>
      </c>
      <c r="P62" t="s">
        <v>65</v>
      </c>
      <c r="Q62">
        <v>0.376086646397781</v>
      </c>
      <c r="R62">
        <v>0.47113547279974</v>
      </c>
      <c r="S62">
        <v>0.71664363849399704</v>
      </c>
      <c r="T62">
        <v>0.58371024316223097</v>
      </c>
      <c r="U62">
        <v>0.54203648477180599</v>
      </c>
      <c r="X62">
        <v>0</v>
      </c>
      <c r="Y62">
        <v>0</v>
      </c>
      <c r="Z62">
        <v>0</v>
      </c>
      <c r="AA62">
        <v>0</v>
      </c>
      <c r="AB62">
        <v>0</v>
      </c>
      <c r="AE62" s="18">
        <f t="shared" ref="AE62:AK62" si="24">IF(ISBLANK(Q62),IF(ISBLANK(X62),"",X62),Q62+X62)</f>
        <v>0.376086646397781</v>
      </c>
      <c r="AF62" s="18">
        <f t="shared" si="24"/>
        <v>0.47113547279974</v>
      </c>
      <c r="AG62" s="18">
        <f t="shared" si="24"/>
        <v>0.71664363849399704</v>
      </c>
      <c r="AH62" s="18">
        <f t="shared" si="24"/>
        <v>0.58371024316223097</v>
      </c>
      <c r="AI62" s="18">
        <f t="shared" si="24"/>
        <v>0.54203648477180599</v>
      </c>
      <c r="AJ62" s="18" t="str">
        <f t="shared" si="24"/>
        <v/>
      </c>
      <c r="AK62" s="18" t="str">
        <f t="shared" si="24"/>
        <v/>
      </c>
      <c r="AS62">
        <v>2.0033089999999998</v>
      </c>
      <c r="AT62">
        <v>1.0567139999999999</v>
      </c>
      <c r="AU62">
        <v>1.51502</v>
      </c>
      <c r="AV62">
        <v>1.2483029999999999</v>
      </c>
      <c r="AW62">
        <v>1.2963249999999999</v>
      </c>
    </row>
    <row r="63" spans="1:50">
      <c r="A63" t="s">
        <v>273</v>
      </c>
      <c r="B63" s="1" t="s">
        <v>274</v>
      </c>
      <c r="C63" t="s">
        <v>275</v>
      </c>
      <c r="D63" t="s">
        <v>276</v>
      </c>
      <c r="E63" s="1" t="s">
        <v>95</v>
      </c>
      <c r="F63" t="s">
        <v>101</v>
      </c>
      <c r="G63" s="1" t="s">
        <v>56</v>
      </c>
      <c r="H63" t="s">
        <v>57</v>
      </c>
      <c r="I63">
        <v>2019</v>
      </c>
      <c r="J63" s="84">
        <v>590000000</v>
      </c>
      <c r="K63">
        <v>7294055000</v>
      </c>
      <c r="L63" s="70">
        <f>J63</f>
        <v>590000000</v>
      </c>
      <c r="M63" s="70">
        <f>J63</f>
        <v>590000000</v>
      </c>
      <c r="N63">
        <v>14842991000</v>
      </c>
      <c r="O63" t="s">
        <v>58</v>
      </c>
      <c r="P63" t="s">
        <v>102</v>
      </c>
      <c r="Q63">
        <v>2000000</v>
      </c>
      <c r="R63">
        <v>2000000</v>
      </c>
      <c r="S63">
        <v>2000000</v>
      </c>
      <c r="T63">
        <v>1800000</v>
      </c>
      <c r="U63">
        <v>1100000</v>
      </c>
      <c r="X63">
        <v>1000000</v>
      </c>
      <c r="Y63">
        <v>1000000</v>
      </c>
      <c r="Z63">
        <v>1000000</v>
      </c>
      <c r="AA63">
        <v>800000</v>
      </c>
      <c r="AB63">
        <v>400000</v>
      </c>
      <c r="AE63">
        <v>3000000</v>
      </c>
      <c r="AF63">
        <v>3000000</v>
      </c>
      <c r="AG63">
        <v>3000000</v>
      </c>
      <c r="AH63">
        <v>2600000</v>
      </c>
      <c r="AI63">
        <v>1500000</v>
      </c>
      <c r="AL63">
        <v>3200000</v>
      </c>
      <c r="AM63">
        <v>3200000</v>
      </c>
      <c r="AN63">
        <v>3200000</v>
      </c>
      <c r="AO63">
        <v>2300000</v>
      </c>
      <c r="AP63">
        <v>1300000</v>
      </c>
      <c r="AS63">
        <v>2900000</v>
      </c>
      <c r="AT63">
        <v>2900000</v>
      </c>
      <c r="AU63">
        <v>2900000</v>
      </c>
      <c r="AV63">
        <v>2900000</v>
      </c>
      <c r="AW63">
        <v>1800000</v>
      </c>
    </row>
    <row r="64" spans="1:50">
      <c r="A64" t="s">
        <v>277</v>
      </c>
      <c r="B64" s="1" t="s">
        <v>278</v>
      </c>
      <c r="C64" t="s">
        <v>279</v>
      </c>
      <c r="D64" t="s">
        <v>201</v>
      </c>
      <c r="E64" s="1"/>
      <c r="F64" t="s">
        <v>55</v>
      </c>
      <c r="G64" s="1" t="s">
        <v>56</v>
      </c>
      <c r="H64" t="s">
        <v>57</v>
      </c>
      <c r="I64" s="3">
        <v>44561</v>
      </c>
      <c r="J64" s="89">
        <v>4140000000</v>
      </c>
      <c r="K64">
        <f>53099000000000/115.1038</f>
        <v>461314048710.8158</v>
      </c>
      <c r="L64">
        <f>39800000000</f>
        <v>39800000000</v>
      </c>
      <c r="M64">
        <f>L64+717730000000/115.1038</f>
        <v>46035502216.260452</v>
      </c>
      <c r="N64">
        <f>12850000000000/115.1038</f>
        <v>111638364676.0576</v>
      </c>
      <c r="O64" t="s">
        <v>142</v>
      </c>
      <c r="P64" t="s">
        <v>59</v>
      </c>
      <c r="S64">
        <v>81604</v>
      </c>
      <c r="T64">
        <v>191</v>
      </c>
      <c r="U64">
        <v>190</v>
      </c>
      <c r="V64">
        <v>192</v>
      </c>
      <c r="Z64">
        <v>532</v>
      </c>
      <c r="AA64">
        <v>5886</v>
      </c>
      <c r="AB64">
        <v>5205</v>
      </c>
      <c r="AC64">
        <v>6108</v>
      </c>
      <c r="AE64" s="18" t="str">
        <f t="shared" ref="AE64:AK64" si="25">IF(ISBLANK(Q64),IF(ISBLANK(X64),"",X64),Q64+X64)</f>
        <v/>
      </c>
      <c r="AF64" s="18" t="str">
        <f t="shared" si="25"/>
        <v/>
      </c>
      <c r="AG64" s="18">
        <f t="shared" si="25"/>
        <v>82136</v>
      </c>
      <c r="AH64" s="18">
        <f t="shared" si="25"/>
        <v>6077</v>
      </c>
      <c r="AI64" s="18">
        <f t="shared" si="25"/>
        <v>5395</v>
      </c>
      <c r="AJ64" s="18">
        <f t="shared" si="25"/>
        <v>6300</v>
      </c>
      <c r="AK64" s="18" t="str">
        <f t="shared" si="25"/>
        <v/>
      </c>
      <c r="AN64">
        <v>42355</v>
      </c>
      <c r="AO64">
        <v>121446</v>
      </c>
      <c r="AP64">
        <v>110119</v>
      </c>
      <c r="AQ64">
        <v>102137</v>
      </c>
      <c r="AU64">
        <v>230306</v>
      </c>
      <c r="AV64">
        <v>222277</v>
      </c>
      <c r="AW64">
        <v>204484</v>
      </c>
      <c r="AX64">
        <v>233812</v>
      </c>
    </row>
    <row r="65" spans="1:50">
      <c r="A65" t="s">
        <v>280</v>
      </c>
      <c r="B65" s="1" t="s">
        <v>281</v>
      </c>
      <c r="C65" t="s">
        <v>282</v>
      </c>
      <c r="D65" t="s">
        <v>276</v>
      </c>
      <c r="E65" s="1" t="s">
        <v>95</v>
      </c>
      <c r="F65" t="s">
        <v>101</v>
      </c>
      <c r="G65" s="1" t="s">
        <v>56</v>
      </c>
      <c r="H65" t="s">
        <v>57</v>
      </c>
      <c r="I65">
        <v>2019</v>
      </c>
      <c r="J65" s="84">
        <v>352130000</v>
      </c>
      <c r="K65">
        <v>10192818000</v>
      </c>
      <c r="L65" s="70">
        <f>J65</f>
        <v>352130000</v>
      </c>
      <c r="M65" s="70">
        <f>J65</f>
        <v>352130000</v>
      </c>
      <c r="N65">
        <v>12935533000</v>
      </c>
      <c r="O65" t="s">
        <v>58</v>
      </c>
      <c r="P65" t="s">
        <v>102</v>
      </c>
      <c r="Q65">
        <v>17744560</v>
      </c>
      <c r="R65">
        <v>17744560</v>
      </c>
      <c r="S65">
        <v>17744560</v>
      </c>
      <c r="T65">
        <v>16682357</v>
      </c>
      <c r="U65">
        <v>15257923</v>
      </c>
      <c r="X65">
        <v>858941</v>
      </c>
      <c r="Y65">
        <v>858941</v>
      </c>
      <c r="Z65">
        <v>858941</v>
      </c>
      <c r="AA65">
        <v>1141024</v>
      </c>
      <c r="AB65">
        <v>1154111</v>
      </c>
      <c r="AE65">
        <v>18603501</v>
      </c>
      <c r="AF65">
        <v>18603501</v>
      </c>
      <c r="AG65">
        <v>18603501</v>
      </c>
      <c r="AH65">
        <v>17823381</v>
      </c>
      <c r="AI65">
        <v>16412034</v>
      </c>
      <c r="AL65">
        <v>1056210</v>
      </c>
      <c r="AM65">
        <v>1056210</v>
      </c>
      <c r="AN65">
        <v>1056210</v>
      </c>
      <c r="AO65">
        <v>910292</v>
      </c>
      <c r="AP65">
        <v>767666</v>
      </c>
      <c r="AS65">
        <v>10953432.098765399</v>
      </c>
      <c r="AT65">
        <v>10953432.098765399</v>
      </c>
      <c r="AU65">
        <v>10953432.098765399</v>
      </c>
      <c r="AV65">
        <v>10297751.234567899</v>
      </c>
      <c r="AW65">
        <v>9418470.9876543209</v>
      </c>
    </row>
    <row r="66" spans="1:50">
      <c r="A66" t="s">
        <v>283</v>
      </c>
      <c r="B66" s="1" t="s">
        <v>284</v>
      </c>
      <c r="C66" t="s">
        <v>285</v>
      </c>
      <c r="D66" t="s">
        <v>54</v>
      </c>
      <c r="E66" s="1" t="s">
        <v>63</v>
      </c>
      <c r="F66" t="s">
        <v>89</v>
      </c>
      <c r="G66" s="1" t="s">
        <v>56</v>
      </c>
      <c r="H66" t="s">
        <v>57</v>
      </c>
      <c r="I66" s="3">
        <v>44561</v>
      </c>
      <c r="J66" s="26">
        <v>1061000000000</v>
      </c>
      <c r="K66" s="26">
        <v>53820000000</v>
      </c>
      <c r="L66" s="26">
        <v>1090000000000</v>
      </c>
      <c r="M66" s="26">
        <f>L66+18920000000</f>
        <v>1108920000000</v>
      </c>
      <c r="N66" s="26">
        <v>62131000000</v>
      </c>
      <c r="O66" t="s">
        <v>142</v>
      </c>
      <c r="P66" t="s">
        <v>90</v>
      </c>
      <c r="R66">
        <f>185*100/900</f>
        <v>20.555555555555557</v>
      </c>
      <c r="S66">
        <f>185*250/900</f>
        <v>51.388888888888886</v>
      </c>
      <c r="T66">
        <f>185*350/900</f>
        <v>71.944444444444443</v>
      </c>
      <c r="U66">
        <f>185*500/900</f>
        <v>102.77777777777777</v>
      </c>
      <c r="V66">
        <f>185*900/900</f>
        <v>185</v>
      </c>
      <c r="Y66">
        <f>403*100/900</f>
        <v>44.777777777777779</v>
      </c>
      <c r="Z66">
        <f>403*250/900</f>
        <v>111.94444444444444</v>
      </c>
      <c r="AA66">
        <f>403*350/900</f>
        <v>156.72222222222223</v>
      </c>
      <c r="AB66">
        <f>403*500/900</f>
        <v>223.88888888888889</v>
      </c>
      <c r="AC66">
        <f>403*900/900</f>
        <v>403</v>
      </c>
      <c r="AE66" s="18" t="str">
        <f t="shared" ref="AE66:AK66" si="26">IF(ISBLANK(Q66),IF(ISBLANK(X66),"",X66),Q66+X66)</f>
        <v/>
      </c>
      <c r="AF66" s="18">
        <f t="shared" si="26"/>
        <v>65.333333333333343</v>
      </c>
      <c r="AG66" s="18">
        <f t="shared" si="26"/>
        <v>163.33333333333331</v>
      </c>
      <c r="AH66" s="18">
        <f t="shared" si="26"/>
        <v>228.66666666666669</v>
      </c>
      <c r="AI66" s="18">
        <f t="shared" si="26"/>
        <v>326.66666666666663</v>
      </c>
      <c r="AJ66" s="18">
        <f t="shared" si="26"/>
        <v>588</v>
      </c>
      <c r="AK66" s="18" t="str">
        <f t="shared" si="26"/>
        <v/>
      </c>
      <c r="AM66">
        <f>1954*100/900</f>
        <v>217.11111111111111</v>
      </c>
      <c r="AN66">
        <f>1954*250/900</f>
        <v>542.77777777777783</v>
      </c>
      <c r="AO66">
        <f>1954*350/900</f>
        <v>759.88888888888891</v>
      </c>
      <c r="AP66">
        <f>1954*500/900</f>
        <v>1085.5555555555557</v>
      </c>
      <c r="AQ66">
        <f>1954*900/900</f>
        <v>1954</v>
      </c>
      <c r="AT66">
        <f>12*100</f>
        <v>1200</v>
      </c>
      <c r="AU66">
        <f>12*250+AT66</f>
        <v>4200</v>
      </c>
      <c r="AV66">
        <f>12*350+AU66</f>
        <v>8400</v>
      </c>
      <c r="AW66">
        <f>12*500+AV66</f>
        <v>14400</v>
      </c>
      <c r="AX66">
        <f>12*900+AW66</f>
        <v>25200</v>
      </c>
    </row>
    <row r="67" spans="1:50">
      <c r="A67" t="s">
        <v>286</v>
      </c>
      <c r="B67" s="1" t="s">
        <v>287</v>
      </c>
      <c r="C67" t="s">
        <v>288</v>
      </c>
      <c r="D67" t="s">
        <v>54</v>
      </c>
      <c r="E67" s="1" t="s">
        <v>63</v>
      </c>
      <c r="F67" t="s">
        <v>101</v>
      </c>
      <c r="G67" s="1" t="s">
        <v>56</v>
      </c>
      <c r="H67" t="s">
        <v>57</v>
      </c>
      <c r="I67">
        <v>2019</v>
      </c>
      <c r="J67">
        <v>337525844</v>
      </c>
      <c r="K67">
        <v>1208800000</v>
      </c>
      <c r="L67">
        <v>400425844</v>
      </c>
      <c r="M67">
        <v>427525844</v>
      </c>
      <c r="N67">
        <v>1085200000</v>
      </c>
      <c r="O67" t="s">
        <v>58</v>
      </c>
      <c r="P67" t="s">
        <v>102</v>
      </c>
      <c r="Q67">
        <v>99660</v>
      </c>
      <c r="R67">
        <v>99660</v>
      </c>
      <c r="S67">
        <v>99660</v>
      </c>
      <c r="T67">
        <v>94460</v>
      </c>
      <c r="U67">
        <v>91490</v>
      </c>
      <c r="X67">
        <v>371530</v>
      </c>
      <c r="Y67">
        <v>371530</v>
      </c>
      <c r="Z67">
        <v>371530</v>
      </c>
      <c r="AA67">
        <v>336550</v>
      </c>
      <c r="AB67">
        <v>316640</v>
      </c>
      <c r="AE67">
        <v>471190</v>
      </c>
      <c r="AF67">
        <v>471190</v>
      </c>
      <c r="AG67">
        <v>471190</v>
      </c>
      <c r="AH67">
        <v>431010</v>
      </c>
      <c r="AI67">
        <v>408130</v>
      </c>
      <c r="AL67">
        <v>421722</v>
      </c>
      <c r="AM67">
        <v>421722</v>
      </c>
      <c r="AN67">
        <v>421722</v>
      </c>
      <c r="AO67">
        <v>298526</v>
      </c>
      <c r="AP67">
        <v>197605</v>
      </c>
      <c r="AS67">
        <v>1472468.75</v>
      </c>
      <c r="AT67">
        <v>1472468.75</v>
      </c>
      <c r="AU67">
        <v>1472468.75</v>
      </c>
      <c r="AV67">
        <v>1346906.25</v>
      </c>
      <c r="AW67">
        <v>1360433.33333333</v>
      </c>
    </row>
    <row r="68" spans="1:50">
      <c r="A68" t="s">
        <v>289</v>
      </c>
      <c r="B68" s="1" t="s">
        <v>290</v>
      </c>
      <c r="C68" t="s">
        <v>291</v>
      </c>
      <c r="D68" t="s">
        <v>201</v>
      </c>
      <c r="E68" s="1"/>
      <c r="F68" t="s">
        <v>89</v>
      </c>
      <c r="G68" s="1" t="s">
        <v>56</v>
      </c>
      <c r="H68" t="s">
        <v>57</v>
      </c>
      <c r="I68" s="3">
        <v>44196</v>
      </c>
      <c r="J68" s="26">
        <v>216000000000</v>
      </c>
      <c r="K68" s="26">
        <v>251620000000</v>
      </c>
      <c r="L68" s="26">
        <v>372000000000</v>
      </c>
      <c r="M68">
        <f>L68+52400000000</f>
        <v>424400000000</v>
      </c>
      <c r="N68" s="26">
        <v>484660000000</v>
      </c>
      <c r="O68" t="s">
        <v>64</v>
      </c>
      <c r="P68" t="s">
        <v>292</v>
      </c>
      <c r="S68">
        <v>1.92</v>
      </c>
      <c r="T68">
        <v>1.9</v>
      </c>
      <c r="U68">
        <v>1.64</v>
      </c>
      <c r="V68">
        <v>1.69</v>
      </c>
      <c r="Z68">
        <v>4.08</v>
      </c>
      <c r="AA68">
        <v>3.78</v>
      </c>
      <c r="AB68">
        <v>3.26</v>
      </c>
      <c r="AC68">
        <v>3.46</v>
      </c>
      <c r="AE68" s="18" t="str">
        <f t="shared" ref="AE68:AK68" si="27">IF(ISBLANK(Q68),IF(ISBLANK(X68),"",X68),Q68+X68)</f>
        <v/>
      </c>
      <c r="AF68" s="18" t="str">
        <f t="shared" si="27"/>
        <v/>
      </c>
      <c r="AG68" s="18">
        <f t="shared" si="27"/>
        <v>6</v>
      </c>
      <c r="AH68" s="18">
        <f t="shared" si="27"/>
        <v>5.68</v>
      </c>
      <c r="AI68" s="18">
        <f t="shared" si="27"/>
        <v>4.8999999999999995</v>
      </c>
      <c r="AJ68" s="18">
        <f t="shared" si="27"/>
        <v>5.15</v>
      </c>
      <c r="AK68" s="18" t="str">
        <f t="shared" si="27"/>
        <v/>
      </c>
      <c r="AN68">
        <v>414.91</v>
      </c>
      <c r="AO68">
        <v>397.94</v>
      </c>
      <c r="AP68">
        <v>341.35</v>
      </c>
      <c r="AQ68" s="70">
        <f>AP68/AO68*AP68</f>
        <v>292.80751495200286</v>
      </c>
      <c r="AT68" s="20"/>
      <c r="AU68" s="20">
        <f>AN68*0.8/150</f>
        <v>2.2128533333333338</v>
      </c>
      <c r="AV68" s="20">
        <f>AO68*0.8/140</f>
        <v>2.2739428571428575</v>
      </c>
      <c r="AW68" s="20">
        <f>AP68*0.8/130</f>
        <v>2.1006153846153848</v>
      </c>
      <c r="AX68" s="20">
        <f>AQ68*0.8/120</f>
        <v>1.9520500996800192</v>
      </c>
    </row>
    <row r="69" spans="1:50">
      <c r="A69" t="s">
        <v>293</v>
      </c>
      <c r="B69" s="1" t="s">
        <v>294</v>
      </c>
      <c r="C69" t="s">
        <v>295</v>
      </c>
      <c r="D69" t="s">
        <v>54</v>
      </c>
      <c r="E69" s="1" t="s">
        <v>63</v>
      </c>
      <c r="F69" t="s">
        <v>101</v>
      </c>
      <c r="G69" s="1" t="s">
        <v>56</v>
      </c>
      <c r="H69" t="s">
        <v>57</v>
      </c>
      <c r="I69">
        <v>2019</v>
      </c>
      <c r="J69">
        <v>2600000000</v>
      </c>
      <c r="K69">
        <v>12937000000</v>
      </c>
      <c r="L69">
        <v>5630000000</v>
      </c>
      <c r="M69">
        <v>6379000000</v>
      </c>
      <c r="N69">
        <v>11608000000</v>
      </c>
      <c r="O69" t="s">
        <v>58</v>
      </c>
      <c r="P69" t="s">
        <v>102</v>
      </c>
      <c r="Q69">
        <v>29000000</v>
      </c>
      <c r="R69">
        <v>30000000</v>
      </c>
      <c r="S69">
        <v>32500000</v>
      </c>
      <c r="T69">
        <v>29500000</v>
      </c>
      <c r="U69">
        <v>24500000</v>
      </c>
      <c r="X69">
        <v>3200000</v>
      </c>
      <c r="Y69">
        <v>3300000</v>
      </c>
      <c r="Z69">
        <v>3300000</v>
      </c>
      <c r="AA69">
        <v>3200000</v>
      </c>
      <c r="AB69">
        <v>2000000</v>
      </c>
      <c r="AE69">
        <v>32200000</v>
      </c>
      <c r="AF69">
        <v>33300000</v>
      </c>
      <c r="AG69">
        <v>35800000</v>
      </c>
      <c r="AH69">
        <v>32700000</v>
      </c>
      <c r="AI69">
        <v>26500000</v>
      </c>
      <c r="AS69">
        <v>14220000</v>
      </c>
      <c r="AT69">
        <v>14440000</v>
      </c>
      <c r="AU69">
        <v>15350000</v>
      </c>
      <c r="AV69">
        <v>13890000</v>
      </c>
      <c r="AW69">
        <v>11540000</v>
      </c>
    </row>
    <row r="70" spans="1:50">
      <c r="A70" t="s">
        <v>296</v>
      </c>
      <c r="B70" s="1" t="s">
        <v>297</v>
      </c>
      <c r="C70" t="s">
        <v>298</v>
      </c>
      <c r="D70" t="s">
        <v>299</v>
      </c>
      <c r="E70" s="1" t="s">
        <v>95</v>
      </c>
      <c r="F70" t="s">
        <v>55</v>
      </c>
      <c r="G70" s="1" t="s">
        <v>56</v>
      </c>
      <c r="H70" t="s">
        <v>57</v>
      </c>
      <c r="I70" s="3">
        <v>44561</v>
      </c>
      <c r="J70">
        <v>34359400000</v>
      </c>
      <c r="K70">
        <v>4776600000</v>
      </c>
      <c r="L70">
        <f>M70-318600000</f>
        <v>37551600000</v>
      </c>
      <c r="M70">
        <f>J70+3510800000</f>
        <v>37870200000</v>
      </c>
      <c r="N70">
        <v>17111600000</v>
      </c>
      <c r="O70" t="s">
        <v>142</v>
      </c>
      <c r="P70" t="s">
        <v>59</v>
      </c>
      <c r="T70">
        <v>1073</v>
      </c>
      <c r="U70">
        <v>654</v>
      </c>
      <c r="V70">
        <v>454</v>
      </c>
      <c r="AA70">
        <v>272</v>
      </c>
      <c r="AB70">
        <v>265</v>
      </c>
      <c r="AC70">
        <v>255</v>
      </c>
      <c r="AE70" s="18" t="str">
        <f t="shared" ref="AE70:AK73" si="28">IF(ISBLANK(Q70),IF(ISBLANK(X70),"",X70),Q70+X70)</f>
        <v/>
      </c>
      <c r="AF70" s="18" t="str">
        <f t="shared" si="28"/>
        <v/>
      </c>
      <c r="AG70" s="18" t="str">
        <f t="shared" si="28"/>
        <v/>
      </c>
      <c r="AH70" s="18">
        <f t="shared" si="28"/>
        <v>1345</v>
      </c>
      <c r="AI70" s="18">
        <f t="shared" si="28"/>
        <v>919</v>
      </c>
      <c r="AJ70" s="18">
        <f t="shared" si="28"/>
        <v>709</v>
      </c>
      <c r="AK70" s="18" t="str">
        <f t="shared" si="28"/>
        <v/>
      </c>
      <c r="AO70">
        <v>198</v>
      </c>
      <c r="AP70">
        <v>221</v>
      </c>
      <c r="AQ70">
        <v>249</v>
      </c>
      <c r="AV70">
        <v>62179</v>
      </c>
      <c r="AW70">
        <v>62741</v>
      </c>
      <c r="AX70">
        <v>58896</v>
      </c>
    </row>
    <row r="71" spans="1:50">
      <c r="A71" t="s">
        <v>300</v>
      </c>
      <c r="B71" s="1" t="s">
        <v>301</v>
      </c>
      <c r="C71" t="s">
        <v>302</v>
      </c>
      <c r="D71" t="s">
        <v>169</v>
      </c>
      <c r="E71" s="1" t="s">
        <v>63</v>
      </c>
      <c r="F71" t="s">
        <v>55</v>
      </c>
      <c r="G71" s="1" t="s">
        <v>56</v>
      </c>
      <c r="H71" t="s">
        <v>57</v>
      </c>
      <c r="I71">
        <v>2019</v>
      </c>
      <c r="J71" s="70">
        <f>J70</f>
        <v>34359400000</v>
      </c>
      <c r="K71">
        <v>4691120536.8652601</v>
      </c>
      <c r="L71" s="70">
        <f>L70</f>
        <v>37551600000</v>
      </c>
      <c r="M71" s="70">
        <f>M70</f>
        <v>37870200000</v>
      </c>
      <c r="N71">
        <v>24443570632.443699</v>
      </c>
      <c r="O71" t="s">
        <v>64</v>
      </c>
      <c r="P71" t="s">
        <v>65</v>
      </c>
      <c r="Q71">
        <v>11.6416389602593</v>
      </c>
      <c r="R71">
        <v>9.41263241795032</v>
      </c>
      <c r="S71">
        <v>10.1279024835251</v>
      </c>
      <c r="T71">
        <v>8.7046989666181105</v>
      </c>
      <c r="U71">
        <v>7.8127186930359001</v>
      </c>
      <c r="X71">
        <v>0</v>
      </c>
      <c r="Y71">
        <v>0</v>
      </c>
      <c r="Z71">
        <v>0</v>
      </c>
      <c r="AA71">
        <v>0</v>
      </c>
      <c r="AB71">
        <v>0</v>
      </c>
      <c r="AE71" s="18">
        <f t="shared" si="28"/>
        <v>11.6416389602593</v>
      </c>
      <c r="AF71" s="18">
        <f t="shared" si="28"/>
        <v>9.41263241795032</v>
      </c>
      <c r="AG71" s="18">
        <f t="shared" si="28"/>
        <v>10.1279024835251</v>
      </c>
      <c r="AH71" s="18">
        <f t="shared" si="28"/>
        <v>8.7046989666181105</v>
      </c>
      <c r="AI71" s="18">
        <f t="shared" si="28"/>
        <v>7.8127186930359001</v>
      </c>
      <c r="AJ71" s="18" t="str">
        <f t="shared" si="28"/>
        <v/>
      </c>
      <c r="AK71" s="18" t="str">
        <f t="shared" si="28"/>
        <v/>
      </c>
      <c r="AS71">
        <v>17.412890000000001</v>
      </c>
      <c r="AT71">
        <v>13.2565779694781</v>
      </c>
      <c r="AU71">
        <v>19.823205962022801</v>
      </c>
      <c r="AV71">
        <v>19.4268650530346</v>
      </c>
      <c r="AW71">
        <v>18.5517652927645</v>
      </c>
    </row>
    <row r="72" spans="1:50">
      <c r="A72" t="s">
        <v>303</v>
      </c>
      <c r="B72" s="1" t="s">
        <v>304</v>
      </c>
      <c r="C72" t="s">
        <v>305</v>
      </c>
      <c r="D72" t="s">
        <v>54</v>
      </c>
      <c r="E72" s="1" t="s">
        <v>63</v>
      </c>
      <c r="F72" t="s">
        <v>55</v>
      </c>
      <c r="G72" s="1" t="s">
        <v>56</v>
      </c>
      <c r="H72" t="s">
        <v>57</v>
      </c>
      <c r="I72" s="3">
        <v>44561</v>
      </c>
      <c r="J72" s="26">
        <v>10980000000</v>
      </c>
      <c r="K72" s="26">
        <v>12100000000</v>
      </c>
      <c r="L72" s="26">
        <v>24980000000</v>
      </c>
      <c r="M72" s="26">
        <f>L72+1910000000</f>
        <v>26890000000</v>
      </c>
      <c r="N72" s="26">
        <v>29683000000</v>
      </c>
      <c r="O72" t="s">
        <v>64</v>
      </c>
      <c r="P72" t="s">
        <v>65</v>
      </c>
      <c r="T72">
        <f>105523364/1000000</f>
        <v>105.523364</v>
      </c>
      <c r="U72">
        <f>94290023/1000000</f>
        <v>94.290023000000005</v>
      </c>
      <c r="V72" s="85">
        <f>98749588/1000000</f>
        <v>98.749588000000003</v>
      </c>
      <c r="AA72">
        <v>0.24906800000000001</v>
      </c>
      <c r="AB72">
        <v>0.33377000000000001</v>
      </c>
      <c r="AC72">
        <v>0.24296999999999999</v>
      </c>
      <c r="AE72" s="18" t="str">
        <f t="shared" si="28"/>
        <v/>
      </c>
      <c r="AF72" s="18" t="str">
        <f t="shared" si="28"/>
        <v/>
      </c>
      <c r="AG72" s="18" t="str">
        <f t="shared" si="28"/>
        <v/>
      </c>
      <c r="AH72" s="18">
        <f t="shared" si="28"/>
        <v>105.77243199999999</v>
      </c>
      <c r="AI72" s="18">
        <f t="shared" si="28"/>
        <v>94.623793000000006</v>
      </c>
      <c r="AJ72" s="18">
        <f t="shared" si="28"/>
        <v>98.992558000000002</v>
      </c>
      <c r="AK72" s="18" t="str">
        <f t="shared" si="28"/>
        <v/>
      </c>
      <c r="AO72">
        <f>AP72</f>
        <v>2.7247889999999999</v>
      </c>
      <c r="AP72">
        <v>2.7247889999999999</v>
      </c>
      <c r="AQ72">
        <f>2386622/1000000</f>
        <v>2.386622</v>
      </c>
      <c r="AV72">
        <f>186428605/1000000</f>
        <v>186.428605</v>
      </c>
      <c r="AW72">
        <f>172243738/1000000</f>
        <v>172.24373800000001</v>
      </c>
      <c r="AX72">
        <v>174</v>
      </c>
    </row>
    <row r="73" spans="1:50">
      <c r="A73" t="s">
        <v>306</v>
      </c>
      <c r="B73" s="1" t="s">
        <v>307</v>
      </c>
      <c r="C73" t="s">
        <v>308</v>
      </c>
      <c r="D73" t="s">
        <v>54</v>
      </c>
      <c r="E73" s="1" t="s">
        <v>63</v>
      </c>
      <c r="F73" t="s">
        <v>55</v>
      </c>
      <c r="G73" s="1" t="s">
        <v>56</v>
      </c>
      <c r="H73" t="s">
        <v>57</v>
      </c>
      <c r="I73">
        <v>2019</v>
      </c>
      <c r="J73">
        <v>26300000000</v>
      </c>
      <c r="K73">
        <v>7523100000</v>
      </c>
      <c r="L73">
        <v>38120800000</v>
      </c>
      <c r="M73">
        <v>38158300000</v>
      </c>
      <c r="N73">
        <v>34951800000</v>
      </c>
      <c r="O73" t="s">
        <v>64</v>
      </c>
      <c r="P73" t="s">
        <v>65</v>
      </c>
      <c r="Q73">
        <v>19.0203714477306</v>
      </c>
      <c r="R73">
        <v>19.627231815165601</v>
      </c>
      <c r="S73">
        <v>16.478434173257199</v>
      </c>
      <c r="T73">
        <v>9.8745765849492209</v>
      </c>
      <c r="U73">
        <v>9.6672977881650493</v>
      </c>
      <c r="X73">
        <v>0</v>
      </c>
      <c r="Y73">
        <v>0</v>
      </c>
      <c r="Z73">
        <v>0</v>
      </c>
      <c r="AA73">
        <v>0</v>
      </c>
      <c r="AB73">
        <v>0</v>
      </c>
      <c r="AE73" s="18">
        <f t="shared" si="28"/>
        <v>19.0203714477306</v>
      </c>
      <c r="AF73" s="18">
        <f t="shared" si="28"/>
        <v>19.627231815165601</v>
      </c>
      <c r="AG73" s="18">
        <f t="shared" si="28"/>
        <v>16.478434173257199</v>
      </c>
      <c r="AH73" s="18">
        <f t="shared" si="28"/>
        <v>9.8745765849492209</v>
      </c>
      <c r="AI73" s="18">
        <f t="shared" si="28"/>
        <v>9.6672977881650493</v>
      </c>
      <c r="AJ73" s="18" t="str">
        <f t="shared" si="28"/>
        <v/>
      </c>
      <c r="AK73" s="18" t="str">
        <f t="shared" si="28"/>
        <v/>
      </c>
      <c r="AS73">
        <v>23.3673241056539</v>
      </c>
      <c r="AT73">
        <v>23.864635428668901</v>
      </c>
      <c r="AU73">
        <v>21.139317437999999</v>
      </c>
      <c r="AV73">
        <v>15.874233994000001</v>
      </c>
      <c r="AW73">
        <v>15.8652856885</v>
      </c>
    </row>
    <row r="74" spans="1:50">
      <c r="A74" t="s">
        <v>309</v>
      </c>
      <c r="B74" s="1" t="s">
        <v>310</v>
      </c>
      <c r="C74" t="s">
        <v>311</v>
      </c>
      <c r="D74" t="s">
        <v>54</v>
      </c>
      <c r="E74" s="1" t="s">
        <v>63</v>
      </c>
      <c r="F74" t="s">
        <v>101</v>
      </c>
      <c r="G74" s="1" t="s">
        <v>56</v>
      </c>
      <c r="H74" t="s">
        <v>57</v>
      </c>
      <c r="I74">
        <v>2019</v>
      </c>
      <c r="J74">
        <v>1633376617</v>
      </c>
      <c r="K74">
        <v>3759556000</v>
      </c>
      <c r="L74">
        <v>2294113617</v>
      </c>
      <c r="M74">
        <v>2386476617</v>
      </c>
      <c r="N74">
        <v>2510796000</v>
      </c>
      <c r="O74" t="s">
        <v>58</v>
      </c>
      <c r="P74" t="s">
        <v>102</v>
      </c>
      <c r="Q74">
        <v>126399</v>
      </c>
      <c r="R74">
        <v>132944</v>
      </c>
      <c r="S74">
        <v>139953</v>
      </c>
      <c r="T74">
        <v>134257</v>
      </c>
      <c r="U74">
        <v>130506</v>
      </c>
      <c r="X74">
        <v>191840</v>
      </c>
      <c r="Y74">
        <v>176617</v>
      </c>
      <c r="Z74">
        <v>175958</v>
      </c>
      <c r="AA74">
        <v>160799</v>
      </c>
      <c r="AB74">
        <v>139201</v>
      </c>
      <c r="AE74">
        <v>318239</v>
      </c>
      <c r="AF74">
        <v>309561</v>
      </c>
      <c r="AG74">
        <v>315911</v>
      </c>
      <c r="AH74">
        <v>295056</v>
      </c>
      <c r="AI74">
        <v>269707</v>
      </c>
      <c r="AS74">
        <v>3523000</v>
      </c>
      <c r="AT74">
        <v>4070000</v>
      </c>
      <c r="AU74">
        <v>3820000</v>
      </c>
      <c r="AV74">
        <v>3715000</v>
      </c>
      <c r="AW74">
        <v>3830000</v>
      </c>
    </row>
    <row r="75" spans="1:50">
      <c r="A75" t="s">
        <v>312</v>
      </c>
      <c r="B75" s="1" t="s">
        <v>313</v>
      </c>
      <c r="C75" t="s">
        <v>314</v>
      </c>
      <c r="D75" t="s">
        <v>54</v>
      </c>
      <c r="E75" s="1" t="s">
        <v>63</v>
      </c>
      <c r="F75" t="s">
        <v>55</v>
      </c>
      <c r="G75" s="1" t="s">
        <v>56</v>
      </c>
      <c r="H75" t="s">
        <v>57</v>
      </c>
      <c r="I75">
        <v>2019</v>
      </c>
      <c r="J75">
        <v>30629347167</v>
      </c>
      <c r="K75">
        <v>11529000000</v>
      </c>
      <c r="L75">
        <v>50608347167</v>
      </c>
      <c r="M75">
        <v>50856347167</v>
      </c>
      <c r="N75">
        <v>50448000000</v>
      </c>
      <c r="O75" t="s">
        <v>64</v>
      </c>
      <c r="P75" t="s">
        <v>65</v>
      </c>
      <c r="Q75">
        <v>46.128179096556003</v>
      </c>
      <c r="R75">
        <v>45.010998633485997</v>
      </c>
      <c r="S75">
        <v>45.358516394732497</v>
      </c>
      <c r="T75">
        <v>41.448404774063498</v>
      </c>
      <c r="U75">
        <v>34.8794800473854</v>
      </c>
      <c r="X75">
        <v>0</v>
      </c>
      <c r="Y75">
        <v>0</v>
      </c>
      <c r="Z75">
        <v>0</v>
      </c>
      <c r="AA75">
        <v>0</v>
      </c>
      <c r="AB75">
        <v>0</v>
      </c>
      <c r="AE75" s="18">
        <f t="shared" ref="AE75:AK77" si="29">IF(ISBLANK(Q75),IF(ISBLANK(X75),"",X75),Q75+X75)</f>
        <v>46.128179096556003</v>
      </c>
      <c r="AF75" s="18">
        <f t="shared" si="29"/>
        <v>45.010998633485997</v>
      </c>
      <c r="AG75" s="18">
        <f t="shared" si="29"/>
        <v>45.358516394732497</v>
      </c>
      <c r="AH75" s="18">
        <f t="shared" si="29"/>
        <v>41.448404774063498</v>
      </c>
      <c r="AI75" s="18">
        <f t="shared" si="29"/>
        <v>34.8794800473854</v>
      </c>
      <c r="AJ75" s="18" t="str">
        <f t="shared" si="29"/>
        <v/>
      </c>
      <c r="AK75" s="18" t="str">
        <f t="shared" si="29"/>
        <v/>
      </c>
      <c r="AS75">
        <v>73.830967827900906</v>
      </c>
      <c r="AT75">
        <v>72.028542699037601</v>
      </c>
      <c r="AU75">
        <v>76.006929525492396</v>
      </c>
      <c r="AV75">
        <v>75.731406905347697</v>
      </c>
      <c r="AW75">
        <v>69.493403520078303</v>
      </c>
    </row>
    <row r="76" spans="1:50">
      <c r="A76" t="s">
        <v>315</v>
      </c>
      <c r="B76" s="1" t="s">
        <v>316</v>
      </c>
      <c r="C76" t="s">
        <v>317</v>
      </c>
      <c r="D76" t="s">
        <v>94</v>
      </c>
      <c r="E76" s="1"/>
      <c r="F76" t="s">
        <v>318</v>
      </c>
      <c r="G76" s="1" t="s">
        <v>56</v>
      </c>
      <c r="H76" t="s">
        <v>57</v>
      </c>
      <c r="I76" s="3">
        <v>44561</v>
      </c>
      <c r="J76" s="26">
        <v>2260000000</v>
      </c>
      <c r="K76" s="26">
        <v>9690000000</v>
      </c>
      <c r="L76" s="26">
        <v>1810000000</v>
      </c>
      <c r="M76" s="26">
        <f>L76+1110000000</f>
        <v>2920000000</v>
      </c>
      <c r="N76" s="26">
        <v>4846000000</v>
      </c>
      <c r="O76" t="s">
        <v>58</v>
      </c>
      <c r="P76" t="s">
        <v>57</v>
      </c>
      <c r="R76">
        <v>170937</v>
      </c>
      <c r="S76">
        <v>175065</v>
      </c>
      <c r="T76">
        <v>167071</v>
      </c>
      <c r="U76">
        <v>162816</v>
      </c>
      <c r="V76">
        <v>199002</v>
      </c>
      <c r="Y76">
        <v>71170</v>
      </c>
      <c r="Z76">
        <v>49365</v>
      </c>
      <c r="AA76">
        <v>43561</v>
      </c>
      <c r="AB76">
        <v>42701</v>
      </c>
      <c r="AC76">
        <v>41779</v>
      </c>
      <c r="AE76" s="18" t="str">
        <f t="shared" si="29"/>
        <v/>
      </c>
      <c r="AF76" s="18">
        <f t="shared" si="29"/>
        <v>242107</v>
      </c>
      <c r="AG76" s="18">
        <f t="shared" si="29"/>
        <v>224430</v>
      </c>
      <c r="AH76" s="18">
        <f t="shared" si="29"/>
        <v>210632</v>
      </c>
      <c r="AI76" s="18">
        <f t="shared" si="29"/>
        <v>205517</v>
      </c>
      <c r="AJ76" s="18">
        <f t="shared" si="29"/>
        <v>240781</v>
      </c>
      <c r="AK76" s="18" t="str">
        <f t="shared" si="29"/>
        <v/>
      </c>
      <c r="AT76" s="26">
        <v>8234000000</v>
      </c>
      <c r="AU76" s="26">
        <v>7802000000</v>
      </c>
      <c r="AV76" s="26">
        <v>8405000000</v>
      </c>
      <c r="AW76" s="26">
        <v>8587000000</v>
      </c>
      <c r="AX76" s="26">
        <v>8280000000</v>
      </c>
    </row>
    <row r="77" spans="1:50">
      <c r="A77" t="s">
        <v>319</v>
      </c>
      <c r="B77" s="1" t="s">
        <v>320</v>
      </c>
      <c r="C77" t="s">
        <v>321</v>
      </c>
      <c r="D77" t="s">
        <v>54</v>
      </c>
      <c r="F77" t="s">
        <v>322</v>
      </c>
      <c r="G77" s="1" t="s">
        <v>56</v>
      </c>
      <c r="H77" t="s">
        <v>57</v>
      </c>
      <c r="I77" s="3">
        <v>44561</v>
      </c>
      <c r="J77" s="26">
        <v>36310000000</v>
      </c>
      <c r="K77" s="26">
        <v>27740000000</v>
      </c>
      <c r="L77" s="26">
        <v>37840000000</v>
      </c>
      <c r="M77" s="26">
        <f>L77+1190000000</f>
        <v>39030000000</v>
      </c>
      <c r="N77" s="26">
        <v>22073000000</v>
      </c>
      <c r="O77" t="s">
        <v>58</v>
      </c>
      <c r="P77" t="s">
        <v>323</v>
      </c>
      <c r="Q77">
        <v>63414</v>
      </c>
      <c r="R77">
        <v>46057</v>
      </c>
      <c r="S77">
        <v>46069</v>
      </c>
      <c r="T77">
        <v>58770</v>
      </c>
      <c r="U77">
        <v>60379</v>
      </c>
      <c r="V77">
        <v>46251</v>
      </c>
      <c r="X77">
        <v>29678</v>
      </c>
      <c r="Y77">
        <v>25010</v>
      </c>
      <c r="Z77">
        <v>24439</v>
      </c>
      <c r="AA77">
        <v>28020</v>
      </c>
      <c r="AB77">
        <v>22644</v>
      </c>
      <c r="AC77">
        <v>19847</v>
      </c>
      <c r="AE77" s="18">
        <f t="shared" si="29"/>
        <v>93092</v>
      </c>
      <c r="AF77" s="18">
        <f t="shared" si="29"/>
        <v>71067</v>
      </c>
      <c r="AG77" s="18">
        <f t="shared" si="29"/>
        <v>70508</v>
      </c>
      <c r="AH77" s="18">
        <f t="shared" si="29"/>
        <v>86790</v>
      </c>
      <c r="AI77" s="18">
        <f t="shared" si="29"/>
        <v>83023</v>
      </c>
      <c r="AJ77" s="18">
        <f t="shared" si="29"/>
        <v>66098</v>
      </c>
      <c r="AK77" s="18" t="str">
        <f t="shared" si="29"/>
        <v/>
      </c>
      <c r="AL77">
        <v>16954</v>
      </c>
      <c r="AM77">
        <v>18626</v>
      </c>
      <c r="AN77">
        <v>19984</v>
      </c>
      <c r="AO77">
        <v>58307929</v>
      </c>
      <c r="AP77">
        <v>54684733</v>
      </c>
      <c r="AQ77">
        <v>89168768</v>
      </c>
      <c r="AS77" s="26">
        <v>5300000000</v>
      </c>
      <c r="AT77" s="26">
        <v>5500000000</v>
      </c>
      <c r="AU77" s="26">
        <v>6000000000</v>
      </c>
      <c r="AV77" s="26">
        <v>6800000000</v>
      </c>
      <c r="AW77" s="26">
        <v>7000000000</v>
      </c>
      <c r="AX77" s="26">
        <v>7100000000</v>
      </c>
    </row>
  </sheetData>
  <pageMargins left="0.7" right="0.7" top="0.75" bottom="0.75" header="0.3" footer="0.511811023622047"/>
  <pageSetup paperSize="9" scale="50" fitToWidth="4" orientation="landscape" horizontalDpi="300" verticalDpi="300"/>
  <headerFooter>
    <oddHeader>&amp;C&amp;1 Confidential#</oddHeader>
  </headerFooter>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110"/>
  <sheetViews>
    <sheetView zoomScale="150" zoomScaleNormal="150" workbookViewId="0">
      <pane xSplit="1" ySplit="1" topLeftCell="E2" activePane="bottomRight" state="frozen"/>
      <selection pane="topRight" activeCell="B1" sqref="B1"/>
      <selection pane="bottomLeft" activeCell="A54" sqref="A54"/>
      <selection pane="bottomRight" activeCell="M3" sqref="M3"/>
    </sheetView>
  </sheetViews>
  <sheetFormatPr baseColWidth="10" defaultColWidth="8.6640625" defaultRowHeight="15"/>
  <cols>
    <col min="1" max="1" width="29.33203125" customWidth="1"/>
    <col min="2" max="2" width="25.5" style="1" customWidth="1"/>
    <col min="3" max="4" width="16.5" customWidth="1"/>
    <col min="5" max="5" width="16.5" style="83" customWidth="1"/>
    <col min="6" max="6" width="17.5" style="83" customWidth="1"/>
    <col min="7" max="8" width="24" customWidth="1"/>
    <col min="9" max="9" width="22.5" style="84" customWidth="1"/>
    <col min="10" max="10" width="23.33203125" customWidth="1"/>
    <col min="11" max="11" width="24" customWidth="1"/>
    <col min="12" max="12" width="19.33203125" customWidth="1"/>
    <col min="13" max="13" width="21.5" customWidth="1"/>
  </cols>
  <sheetData>
    <row r="1" spans="1:13">
      <c r="A1" s="4" t="s">
        <v>0</v>
      </c>
      <c r="B1" s="4" t="s">
        <v>1</v>
      </c>
      <c r="C1" s="4" t="s">
        <v>2</v>
      </c>
      <c r="D1" s="4" t="s">
        <v>3</v>
      </c>
      <c r="E1" s="27" t="s">
        <v>324</v>
      </c>
      <c r="F1" s="28" t="s">
        <v>325</v>
      </c>
      <c r="G1" s="28" t="s">
        <v>326</v>
      </c>
      <c r="H1" s="29" t="s">
        <v>327</v>
      </c>
      <c r="I1" s="28" t="s">
        <v>328</v>
      </c>
      <c r="J1" s="28" t="s">
        <v>329</v>
      </c>
      <c r="K1" s="28" t="s">
        <v>330</v>
      </c>
      <c r="L1" s="30" t="s">
        <v>331</v>
      </c>
      <c r="M1" s="30" t="s">
        <v>332</v>
      </c>
    </row>
    <row r="2" spans="1:13">
      <c r="A2" t="s">
        <v>51</v>
      </c>
      <c r="B2" s="31" t="s">
        <v>52</v>
      </c>
      <c r="C2" s="62" t="s">
        <v>53</v>
      </c>
      <c r="D2" t="s">
        <v>54</v>
      </c>
      <c r="E2" s="62">
        <v>2050</v>
      </c>
      <c r="F2" s="62" t="s">
        <v>333</v>
      </c>
      <c r="G2" s="62" t="s">
        <v>334</v>
      </c>
      <c r="H2" s="62">
        <v>2019</v>
      </c>
      <c r="I2">
        <v>2016</v>
      </c>
      <c r="J2" s="32">
        <v>0.67400000000000004</v>
      </c>
      <c r="K2" s="62" t="s">
        <v>439</v>
      </c>
      <c r="L2" s="62">
        <v>2040</v>
      </c>
      <c r="M2" s="33">
        <v>1</v>
      </c>
    </row>
    <row r="3" spans="1:13">
      <c r="A3" t="s">
        <v>51</v>
      </c>
      <c r="B3" s="1" t="s">
        <v>52</v>
      </c>
      <c r="C3" t="s">
        <v>53</v>
      </c>
      <c r="D3" t="s">
        <v>54</v>
      </c>
      <c r="E3" s="62">
        <v>2050</v>
      </c>
      <c r="F3" t="s">
        <v>335</v>
      </c>
      <c r="G3" t="s">
        <v>336</v>
      </c>
      <c r="H3" s="62">
        <v>2019</v>
      </c>
      <c r="I3">
        <v>2016</v>
      </c>
      <c r="J3" s="85">
        <v>70457</v>
      </c>
      <c r="K3" t="s">
        <v>438</v>
      </c>
      <c r="L3">
        <v>2050</v>
      </c>
      <c r="M3" s="86">
        <v>1</v>
      </c>
    </row>
    <row r="4" spans="1:13">
      <c r="A4" t="s">
        <v>51</v>
      </c>
      <c r="B4" s="1" t="s">
        <v>52</v>
      </c>
      <c r="C4" t="s">
        <v>53</v>
      </c>
      <c r="D4" t="s">
        <v>54</v>
      </c>
      <c r="E4" s="62">
        <v>2050</v>
      </c>
      <c r="F4" s="34" t="s">
        <v>333</v>
      </c>
      <c r="G4" t="s">
        <v>334</v>
      </c>
      <c r="H4" s="62">
        <v>2019</v>
      </c>
      <c r="I4">
        <v>2016</v>
      </c>
      <c r="J4">
        <v>0.67</v>
      </c>
      <c r="K4" t="s">
        <v>439</v>
      </c>
      <c r="L4">
        <v>2030</v>
      </c>
      <c r="M4" s="86">
        <v>0.7</v>
      </c>
    </row>
    <row r="5" spans="1:13">
      <c r="A5" t="s">
        <v>60</v>
      </c>
      <c r="B5" s="1" t="s">
        <v>61</v>
      </c>
      <c r="C5" t="s">
        <v>62</v>
      </c>
      <c r="D5" t="s">
        <v>54</v>
      </c>
      <c r="E5" s="17">
        <v>2050</v>
      </c>
      <c r="F5" s="62" t="s">
        <v>335</v>
      </c>
      <c r="G5" s="62" t="s">
        <v>334</v>
      </c>
      <c r="H5" s="17"/>
      <c r="I5" s="17">
        <v>2005</v>
      </c>
      <c r="J5" s="32">
        <v>10178945</v>
      </c>
      <c r="K5" s="62" t="s">
        <v>437</v>
      </c>
      <c r="L5" s="17">
        <v>2050</v>
      </c>
      <c r="M5" s="35">
        <v>1</v>
      </c>
    </row>
    <row r="6" spans="1:13">
      <c r="A6" t="s">
        <v>66</v>
      </c>
      <c r="B6" s="1" t="s">
        <v>337</v>
      </c>
      <c r="C6" t="s">
        <v>68</v>
      </c>
      <c r="D6" t="s">
        <v>54</v>
      </c>
      <c r="E6" s="83">
        <v>2050</v>
      </c>
      <c r="F6" s="62" t="s">
        <v>333</v>
      </c>
      <c r="G6" t="s">
        <v>334</v>
      </c>
      <c r="I6" s="84">
        <v>2005</v>
      </c>
      <c r="J6">
        <f>(16*0.4+9*0.5)/(16+9)</f>
        <v>0.436</v>
      </c>
      <c r="K6" t="s">
        <v>439</v>
      </c>
      <c r="L6">
        <v>2030</v>
      </c>
      <c r="M6" s="86">
        <v>0.5</v>
      </c>
    </row>
    <row r="7" spans="1:13">
      <c r="A7" t="s">
        <v>69</v>
      </c>
      <c r="B7" s="1" t="s">
        <v>70</v>
      </c>
      <c r="C7" t="s">
        <v>71</v>
      </c>
      <c r="D7" t="s">
        <v>54</v>
      </c>
      <c r="E7" s="83">
        <v>2050</v>
      </c>
      <c r="F7" s="62" t="s">
        <v>335</v>
      </c>
      <c r="G7" t="s">
        <v>334</v>
      </c>
      <c r="I7" s="84">
        <v>2005</v>
      </c>
      <c r="J7" s="85">
        <v>38113792</v>
      </c>
      <c r="K7" s="62" t="s">
        <v>437</v>
      </c>
      <c r="L7">
        <v>2030</v>
      </c>
      <c r="M7" s="86">
        <v>0.5</v>
      </c>
    </row>
    <row r="8" spans="1:13">
      <c r="A8" t="s">
        <v>69</v>
      </c>
      <c r="B8" s="1" t="s">
        <v>70</v>
      </c>
      <c r="C8" t="s">
        <v>71</v>
      </c>
      <c r="D8" t="s">
        <v>54</v>
      </c>
      <c r="E8" s="83">
        <v>2050</v>
      </c>
      <c r="F8" s="62" t="s">
        <v>335</v>
      </c>
      <c r="G8" t="s">
        <v>334</v>
      </c>
      <c r="I8" s="84">
        <v>2005</v>
      </c>
      <c r="J8" s="85">
        <v>38113792</v>
      </c>
      <c r="K8" s="62" t="s">
        <v>437</v>
      </c>
      <c r="L8">
        <v>2040</v>
      </c>
      <c r="M8" s="86">
        <v>0.85</v>
      </c>
    </row>
    <row r="9" spans="1:13">
      <c r="A9" t="s">
        <v>72</v>
      </c>
      <c r="B9" s="1" t="s">
        <v>73</v>
      </c>
      <c r="C9" t="s">
        <v>74</v>
      </c>
      <c r="D9" t="s">
        <v>54</v>
      </c>
      <c r="E9" s="83">
        <v>2050</v>
      </c>
      <c r="F9" s="83" t="s">
        <v>335</v>
      </c>
      <c r="G9" t="s">
        <v>338</v>
      </c>
      <c r="I9" s="84">
        <v>2000</v>
      </c>
      <c r="J9" s="83">
        <v>167000000</v>
      </c>
      <c r="K9" s="62" t="s">
        <v>437</v>
      </c>
      <c r="L9">
        <v>2030</v>
      </c>
      <c r="M9" s="86">
        <v>0.8</v>
      </c>
    </row>
    <row r="10" spans="1:13">
      <c r="A10" t="s">
        <v>75</v>
      </c>
      <c r="B10" s="1" t="s">
        <v>76</v>
      </c>
      <c r="C10" t="s">
        <v>77</v>
      </c>
      <c r="D10" t="s">
        <v>54</v>
      </c>
      <c r="E10" s="83">
        <v>2035</v>
      </c>
      <c r="F10" s="83" t="s">
        <v>335</v>
      </c>
      <c r="G10" t="s">
        <v>338</v>
      </c>
      <c r="I10" s="84">
        <v>2015</v>
      </c>
      <c r="J10" s="32">
        <v>1</v>
      </c>
      <c r="K10" s="62" t="s">
        <v>438</v>
      </c>
      <c r="L10">
        <v>2025</v>
      </c>
      <c r="M10" s="86">
        <v>0.35</v>
      </c>
    </row>
    <row r="11" spans="1:13">
      <c r="A11" t="s">
        <v>78</v>
      </c>
      <c r="B11" s="1" t="s">
        <v>76</v>
      </c>
      <c r="C11" t="s">
        <v>79</v>
      </c>
      <c r="D11" t="s">
        <v>54</v>
      </c>
      <c r="E11" s="83">
        <v>2035</v>
      </c>
      <c r="F11" s="83" t="s">
        <v>335</v>
      </c>
      <c r="G11" t="s">
        <v>338</v>
      </c>
      <c r="I11" s="84">
        <v>2015</v>
      </c>
      <c r="J11" s="32">
        <v>1</v>
      </c>
      <c r="K11" s="62" t="s">
        <v>438</v>
      </c>
      <c r="L11">
        <v>2025</v>
      </c>
      <c r="M11" s="86">
        <v>0.35</v>
      </c>
    </row>
    <row r="12" spans="1:13">
      <c r="A12" t="s">
        <v>81</v>
      </c>
      <c r="B12" s="1" t="s">
        <v>82</v>
      </c>
      <c r="C12" t="s">
        <v>83</v>
      </c>
      <c r="D12" t="s">
        <v>54</v>
      </c>
      <c r="F12" s="83" t="s">
        <v>333</v>
      </c>
      <c r="G12" t="s">
        <v>338</v>
      </c>
      <c r="I12" s="84">
        <v>2005</v>
      </c>
      <c r="J12">
        <v>1</v>
      </c>
      <c r="K12" s="62" t="s">
        <v>439</v>
      </c>
      <c r="L12">
        <v>2030</v>
      </c>
      <c r="M12" s="86">
        <v>0.4</v>
      </c>
    </row>
    <row r="13" spans="1:13">
      <c r="A13" t="s">
        <v>81</v>
      </c>
      <c r="B13" s="1" t="s">
        <v>82</v>
      </c>
      <c r="C13" t="s">
        <v>83</v>
      </c>
      <c r="D13" t="s">
        <v>54</v>
      </c>
      <c r="F13" s="83" t="s">
        <v>333</v>
      </c>
      <c r="G13" t="s">
        <v>338</v>
      </c>
      <c r="I13" s="84">
        <v>2005</v>
      </c>
      <c r="J13">
        <v>1</v>
      </c>
      <c r="K13" s="62" t="s">
        <v>439</v>
      </c>
      <c r="L13">
        <v>2040</v>
      </c>
      <c r="M13" s="86">
        <v>0.7</v>
      </c>
    </row>
    <row r="14" spans="1:13">
      <c r="A14" t="s">
        <v>85</v>
      </c>
      <c r="B14" s="1" t="s">
        <v>86</v>
      </c>
      <c r="C14" t="s">
        <v>87</v>
      </c>
      <c r="D14" t="s">
        <v>88</v>
      </c>
      <c r="E14" s="83">
        <v>2050</v>
      </c>
      <c r="F14" s="83" t="s">
        <v>333</v>
      </c>
      <c r="G14" t="s">
        <v>339</v>
      </c>
      <c r="H14">
        <v>2021</v>
      </c>
      <c r="I14" s="84">
        <v>2019</v>
      </c>
      <c r="J14">
        <v>127</v>
      </c>
      <c r="K14" t="s">
        <v>440</v>
      </c>
      <c r="L14">
        <v>2030</v>
      </c>
      <c r="M14" s="86">
        <v>0.5</v>
      </c>
    </row>
    <row r="15" spans="1:13">
      <c r="A15" t="s">
        <v>85</v>
      </c>
      <c r="B15" s="1" t="s">
        <v>86</v>
      </c>
      <c r="C15" t="s">
        <v>87</v>
      </c>
      <c r="D15" t="s">
        <v>88</v>
      </c>
      <c r="E15" s="83">
        <v>2050</v>
      </c>
      <c r="F15" s="83" t="s">
        <v>335</v>
      </c>
      <c r="G15" t="s">
        <v>334</v>
      </c>
      <c r="H15">
        <v>2021</v>
      </c>
      <c r="I15" s="84">
        <v>2019</v>
      </c>
      <c r="J15">
        <v>834562</v>
      </c>
      <c r="K15" s="62" t="s">
        <v>437</v>
      </c>
      <c r="L15">
        <v>2030</v>
      </c>
      <c r="M15" s="86">
        <v>0.8</v>
      </c>
    </row>
    <row r="16" spans="1:13">
      <c r="A16" t="s">
        <v>91</v>
      </c>
      <c r="B16" s="1" t="s">
        <v>92</v>
      </c>
      <c r="C16" t="s">
        <v>93</v>
      </c>
      <c r="D16" t="s">
        <v>94</v>
      </c>
      <c r="E16" s="83">
        <v>2050</v>
      </c>
      <c r="F16" s="83" t="s">
        <v>335</v>
      </c>
      <c r="G16" t="s">
        <v>334</v>
      </c>
      <c r="H16">
        <v>2021</v>
      </c>
      <c r="I16" s="84">
        <v>2019</v>
      </c>
      <c r="J16">
        <f>'ITR input data'!AH111+'ITR input data'!AO11</f>
        <v>946.27100840336141</v>
      </c>
      <c r="K16" s="62" t="s">
        <v>438</v>
      </c>
      <c r="L16">
        <v>2030</v>
      </c>
      <c r="M16" s="86">
        <v>0.5</v>
      </c>
    </row>
    <row r="17" spans="1:13">
      <c r="A17" t="s">
        <v>98</v>
      </c>
      <c r="B17" s="1" t="s">
        <v>99</v>
      </c>
      <c r="C17" t="s">
        <v>100</v>
      </c>
      <c r="D17" t="s">
        <v>54</v>
      </c>
      <c r="F17" s="83" t="s">
        <v>333</v>
      </c>
      <c r="G17" t="s">
        <v>334</v>
      </c>
      <c r="I17" s="84">
        <v>2020</v>
      </c>
      <c r="J17">
        <f>0.292832151/0.141</f>
        <v>2.0768237659574469</v>
      </c>
      <c r="K17" s="62" t="s">
        <v>441</v>
      </c>
      <c r="L17">
        <v>2050</v>
      </c>
      <c r="M17" s="86">
        <v>0.1</v>
      </c>
    </row>
    <row r="18" spans="1:13">
      <c r="A18" t="s">
        <v>103</v>
      </c>
      <c r="B18" s="1" t="s">
        <v>104</v>
      </c>
      <c r="C18" t="s">
        <v>105</v>
      </c>
      <c r="D18" t="s">
        <v>54</v>
      </c>
      <c r="F18" s="83" t="s">
        <v>333</v>
      </c>
      <c r="G18" t="s">
        <v>334</v>
      </c>
      <c r="H18">
        <v>2021</v>
      </c>
      <c r="I18" s="84">
        <v>2017</v>
      </c>
      <c r="J18">
        <v>73.8</v>
      </c>
      <c r="K18" s="62" t="s">
        <v>442</v>
      </c>
      <c r="L18">
        <v>2028</v>
      </c>
      <c r="M18" s="86">
        <f>73.8/71-1</f>
        <v>3.9436619718309807E-2</v>
      </c>
    </row>
    <row r="19" spans="1:13">
      <c r="A19" t="s">
        <v>106</v>
      </c>
      <c r="B19" s="1" t="s">
        <v>107</v>
      </c>
      <c r="C19" t="s">
        <v>108</v>
      </c>
      <c r="D19" t="s">
        <v>54</v>
      </c>
      <c r="F19" s="83" t="s">
        <v>333</v>
      </c>
      <c r="G19" t="s">
        <v>334</v>
      </c>
      <c r="H19">
        <v>2021</v>
      </c>
      <c r="I19" s="84">
        <v>2017</v>
      </c>
      <c r="J19">
        <f>36830868.09/90796200</f>
        <v>0.40564327681114409</v>
      </c>
      <c r="K19" s="62" t="s">
        <v>441</v>
      </c>
      <c r="L19">
        <v>2030</v>
      </c>
      <c r="M19" s="86">
        <v>0.25</v>
      </c>
    </row>
    <row r="20" spans="1:13">
      <c r="A20" t="s">
        <v>109</v>
      </c>
      <c r="B20" s="1" t="s">
        <v>110</v>
      </c>
      <c r="C20" t="s">
        <v>111</v>
      </c>
      <c r="D20" t="s">
        <v>54</v>
      </c>
      <c r="F20" t="s">
        <v>335</v>
      </c>
      <c r="G20" t="s">
        <v>334</v>
      </c>
      <c r="H20">
        <v>2020</v>
      </c>
      <c r="I20" s="84">
        <v>2005</v>
      </c>
      <c r="J20">
        <v>25218000</v>
      </c>
      <c r="K20" t="s">
        <v>437</v>
      </c>
      <c r="L20">
        <v>2040</v>
      </c>
      <c r="M20" s="86">
        <v>1</v>
      </c>
    </row>
    <row r="21" spans="1:13">
      <c r="A21" t="s">
        <v>112</v>
      </c>
      <c r="B21" s="1" t="s">
        <v>113</v>
      </c>
      <c r="C21" t="s">
        <v>114</v>
      </c>
      <c r="D21" t="s">
        <v>54</v>
      </c>
      <c r="F21" s="83" t="s">
        <v>333</v>
      </c>
      <c r="G21" t="s">
        <v>334</v>
      </c>
      <c r="H21">
        <v>2021</v>
      </c>
      <c r="I21" s="84">
        <v>2019</v>
      </c>
      <c r="J21">
        <v>0.48099999999999998</v>
      </c>
      <c r="K21" s="62" t="s">
        <v>441</v>
      </c>
      <c r="L21">
        <v>2030</v>
      </c>
      <c r="M21" s="86">
        <v>0.2</v>
      </c>
    </row>
    <row r="22" spans="1:13">
      <c r="A22" t="s">
        <v>115</v>
      </c>
      <c r="B22" s="1" t="s">
        <v>116</v>
      </c>
      <c r="C22" t="s">
        <v>117</v>
      </c>
      <c r="D22" t="s">
        <v>54</v>
      </c>
      <c r="E22" s="83">
        <v>2050</v>
      </c>
      <c r="F22" s="83" t="s">
        <v>335</v>
      </c>
      <c r="G22" t="s">
        <v>334</v>
      </c>
      <c r="I22" s="84">
        <v>2011</v>
      </c>
      <c r="J22">
        <v>24000000</v>
      </c>
      <c r="K22" s="62" t="s">
        <v>437</v>
      </c>
      <c r="L22">
        <v>2030</v>
      </c>
      <c r="M22" s="86">
        <v>0.6</v>
      </c>
    </row>
    <row r="23" spans="1:13">
      <c r="A23" t="s">
        <v>118</v>
      </c>
      <c r="B23" s="1" t="s">
        <v>119</v>
      </c>
      <c r="C23" t="s">
        <v>120</v>
      </c>
      <c r="D23" t="s">
        <v>54</v>
      </c>
      <c r="E23" s="83">
        <v>2040</v>
      </c>
      <c r="F23" s="83" t="s">
        <v>335</v>
      </c>
      <c r="G23" t="s">
        <v>338</v>
      </c>
      <c r="H23">
        <v>2021</v>
      </c>
      <c r="I23" s="84">
        <v>2020</v>
      </c>
      <c r="J23">
        <v>1.32787923872953</v>
      </c>
      <c r="K23" t="s">
        <v>438</v>
      </c>
      <c r="L23">
        <v>2040</v>
      </c>
      <c r="M23" s="86">
        <v>1</v>
      </c>
    </row>
    <row r="24" spans="1:13">
      <c r="A24" t="s">
        <v>121</v>
      </c>
      <c r="B24" s="1" t="s">
        <v>122</v>
      </c>
      <c r="C24" t="s">
        <v>123</v>
      </c>
      <c r="D24" t="s">
        <v>54</v>
      </c>
      <c r="E24" s="83">
        <v>2050</v>
      </c>
      <c r="F24" s="83" t="s">
        <v>335</v>
      </c>
      <c r="G24" t="s">
        <v>338</v>
      </c>
      <c r="H24">
        <v>2017</v>
      </c>
      <c r="I24" s="84">
        <v>2005</v>
      </c>
      <c r="J24">
        <v>37700000</v>
      </c>
      <c r="K24" s="62" t="s">
        <v>437</v>
      </c>
      <c r="L24">
        <v>2030</v>
      </c>
      <c r="M24" s="86">
        <v>0.5</v>
      </c>
    </row>
    <row r="25" spans="1:13">
      <c r="A25" t="s">
        <v>121</v>
      </c>
      <c r="B25" s="1" t="s">
        <v>122</v>
      </c>
      <c r="C25" t="s">
        <v>123</v>
      </c>
      <c r="D25" t="s">
        <v>54</v>
      </c>
      <c r="E25" s="83">
        <v>2050</v>
      </c>
      <c r="F25" s="83" t="s">
        <v>335</v>
      </c>
      <c r="G25" t="s">
        <v>338</v>
      </c>
      <c r="H25">
        <v>2017</v>
      </c>
      <c r="I25" s="84">
        <v>2005</v>
      </c>
      <c r="J25">
        <v>37700000</v>
      </c>
      <c r="K25" s="62" t="s">
        <v>437</v>
      </c>
      <c r="L25">
        <v>2040</v>
      </c>
      <c r="M25" s="86">
        <v>0.8</v>
      </c>
    </row>
    <row r="26" spans="1:13">
      <c r="A26" t="s">
        <v>124</v>
      </c>
      <c r="B26" s="1" t="s">
        <v>125</v>
      </c>
      <c r="C26" t="s">
        <v>126</v>
      </c>
      <c r="D26" t="s">
        <v>54</v>
      </c>
      <c r="E26" s="83">
        <v>2050</v>
      </c>
      <c r="F26" s="83" t="s">
        <v>335</v>
      </c>
      <c r="G26" t="s">
        <v>338</v>
      </c>
      <c r="I26" s="84">
        <v>2005</v>
      </c>
      <c r="J26">
        <v>59.347999999999999</v>
      </c>
      <c r="K26" s="62" t="s">
        <v>438</v>
      </c>
      <c r="L26">
        <v>2030</v>
      </c>
      <c r="M26" s="86">
        <v>0.55000000000000004</v>
      </c>
    </row>
    <row r="27" spans="1:13">
      <c r="A27" t="s">
        <v>127</v>
      </c>
      <c r="B27" s="1" t="s">
        <v>128</v>
      </c>
      <c r="C27" t="s">
        <v>129</v>
      </c>
      <c r="D27" t="s">
        <v>54</v>
      </c>
      <c r="E27" s="83">
        <v>2050</v>
      </c>
      <c r="F27" s="83" t="s">
        <v>335</v>
      </c>
      <c r="G27" t="s">
        <v>338</v>
      </c>
      <c r="I27" s="84">
        <v>2005</v>
      </c>
      <c r="J27">
        <v>153000000</v>
      </c>
      <c r="K27" s="62" t="s">
        <v>437</v>
      </c>
      <c r="L27">
        <v>2030</v>
      </c>
      <c r="M27" s="86">
        <v>0.5</v>
      </c>
    </row>
    <row r="28" spans="1:13">
      <c r="A28" t="s">
        <v>130</v>
      </c>
      <c r="B28" s="1" t="s">
        <v>131</v>
      </c>
      <c r="C28" t="s">
        <v>132</v>
      </c>
      <c r="D28" t="s">
        <v>133</v>
      </c>
      <c r="E28" s="83">
        <v>2050</v>
      </c>
      <c r="F28" s="83" t="s">
        <v>335</v>
      </c>
      <c r="G28" t="s">
        <v>334</v>
      </c>
      <c r="H28">
        <v>2020</v>
      </c>
      <c r="I28" s="84">
        <v>2017</v>
      </c>
      <c r="J28">
        <v>51</v>
      </c>
      <c r="K28" s="62" t="s">
        <v>438</v>
      </c>
      <c r="L28">
        <v>2023</v>
      </c>
      <c r="M28" s="86">
        <v>0.4</v>
      </c>
    </row>
    <row r="29" spans="1:13">
      <c r="A29" t="s">
        <v>130</v>
      </c>
      <c r="B29" s="1" t="s">
        <v>131</v>
      </c>
      <c r="C29" t="s">
        <v>132</v>
      </c>
      <c r="D29" t="s">
        <v>133</v>
      </c>
      <c r="E29" s="83">
        <v>2050</v>
      </c>
      <c r="F29" s="83" t="s">
        <v>335</v>
      </c>
      <c r="G29" t="s">
        <v>339</v>
      </c>
      <c r="H29">
        <v>2020</v>
      </c>
      <c r="I29" s="84">
        <v>2019</v>
      </c>
      <c r="J29">
        <v>119</v>
      </c>
      <c r="K29" s="62" t="s">
        <v>438</v>
      </c>
      <c r="L29">
        <v>2023</v>
      </c>
      <c r="M29" s="86">
        <v>0.08</v>
      </c>
    </row>
    <row r="30" spans="1:13">
      <c r="A30" t="s">
        <v>130</v>
      </c>
      <c r="B30" s="1" t="s">
        <v>131</v>
      </c>
      <c r="C30" t="s">
        <v>132</v>
      </c>
      <c r="D30" t="s">
        <v>133</v>
      </c>
      <c r="E30" s="83">
        <v>2050</v>
      </c>
      <c r="F30" s="83" t="s">
        <v>335</v>
      </c>
      <c r="G30" t="s">
        <v>334</v>
      </c>
      <c r="H30">
        <v>2020</v>
      </c>
      <c r="I30" s="84">
        <v>2017</v>
      </c>
      <c r="J30">
        <v>51</v>
      </c>
      <c r="K30" s="62" t="s">
        <v>438</v>
      </c>
      <c r="L30">
        <v>2030</v>
      </c>
      <c r="M30" s="86">
        <v>0.5</v>
      </c>
    </row>
    <row r="31" spans="1:13">
      <c r="A31" t="s">
        <v>130</v>
      </c>
      <c r="B31" s="1" t="s">
        <v>131</v>
      </c>
      <c r="C31" t="s">
        <v>132</v>
      </c>
      <c r="D31" t="s">
        <v>133</v>
      </c>
      <c r="E31" s="83">
        <v>2050</v>
      </c>
      <c r="F31" s="83" t="s">
        <v>335</v>
      </c>
      <c r="G31" t="s">
        <v>339</v>
      </c>
      <c r="H31">
        <v>2020</v>
      </c>
      <c r="I31" s="84">
        <v>2019</v>
      </c>
      <c r="J31">
        <v>119</v>
      </c>
      <c r="K31" s="62" t="s">
        <v>438</v>
      </c>
      <c r="L31">
        <v>2030</v>
      </c>
      <c r="M31" s="86">
        <v>0.28000000000000003</v>
      </c>
    </row>
    <row r="32" spans="1:13">
      <c r="A32" t="s">
        <v>134</v>
      </c>
      <c r="B32" s="1" t="s">
        <v>135</v>
      </c>
      <c r="C32" t="s">
        <v>136</v>
      </c>
      <c r="D32" t="s">
        <v>54</v>
      </c>
      <c r="E32" s="83">
        <v>2045</v>
      </c>
      <c r="F32" s="83" t="s">
        <v>333</v>
      </c>
      <c r="G32" t="s">
        <v>334</v>
      </c>
      <c r="H32">
        <v>2021</v>
      </c>
      <c r="I32" s="84">
        <v>2018</v>
      </c>
      <c r="J32">
        <v>0.23</v>
      </c>
      <c r="K32" t="s">
        <v>439</v>
      </c>
      <c r="L32">
        <v>2030</v>
      </c>
      <c r="M32" s="86">
        <v>0.5</v>
      </c>
    </row>
    <row r="33" spans="1:13">
      <c r="A33" t="s">
        <v>137</v>
      </c>
      <c r="B33" s="1" t="s">
        <v>138</v>
      </c>
      <c r="C33" t="s">
        <v>139</v>
      </c>
      <c r="D33" t="s">
        <v>140</v>
      </c>
      <c r="E33" s="83">
        <v>2030</v>
      </c>
      <c r="F33" s="83" t="s">
        <v>333</v>
      </c>
      <c r="G33" t="s">
        <v>338</v>
      </c>
      <c r="H33">
        <v>2020</v>
      </c>
      <c r="I33" s="84">
        <v>2017</v>
      </c>
      <c r="J33">
        <v>125</v>
      </c>
      <c r="K33" s="62" t="s">
        <v>443</v>
      </c>
      <c r="L33">
        <v>2030</v>
      </c>
      <c r="M33" s="86">
        <v>0.8</v>
      </c>
    </row>
    <row r="34" spans="1:13">
      <c r="A34" t="s">
        <v>143</v>
      </c>
      <c r="B34" s="1" t="s">
        <v>144</v>
      </c>
      <c r="C34" t="s">
        <v>145</v>
      </c>
      <c r="D34" t="s">
        <v>54</v>
      </c>
      <c r="E34" s="83">
        <v>2050</v>
      </c>
      <c r="F34" s="83" t="s">
        <v>335</v>
      </c>
      <c r="G34" t="s">
        <v>334</v>
      </c>
      <c r="H34">
        <v>2020</v>
      </c>
      <c r="I34" s="84">
        <v>2000</v>
      </c>
      <c r="J34">
        <v>49960899</v>
      </c>
      <c r="K34" s="62" t="s">
        <v>437</v>
      </c>
      <c r="L34">
        <v>2050</v>
      </c>
      <c r="M34" s="86">
        <v>1</v>
      </c>
    </row>
    <row r="35" spans="1:13">
      <c r="A35" t="s">
        <v>143</v>
      </c>
      <c r="B35" s="1" t="s">
        <v>144</v>
      </c>
      <c r="C35" t="s">
        <v>145</v>
      </c>
      <c r="D35" t="s">
        <v>54</v>
      </c>
      <c r="E35" s="83">
        <v>2050</v>
      </c>
      <c r="F35" s="83" t="s">
        <v>333</v>
      </c>
      <c r="G35" t="s">
        <v>338</v>
      </c>
      <c r="H35">
        <v>2030</v>
      </c>
      <c r="I35" s="84">
        <v>2000</v>
      </c>
      <c r="J35">
        <v>0.4826223</v>
      </c>
      <c r="K35" s="62" t="s">
        <v>439</v>
      </c>
      <c r="L35">
        <v>2030</v>
      </c>
      <c r="M35" s="86">
        <v>0.5</v>
      </c>
    </row>
    <row r="36" spans="1:13">
      <c r="A36" t="s">
        <v>146</v>
      </c>
      <c r="B36" s="1" t="s">
        <v>147</v>
      </c>
      <c r="C36" t="s">
        <v>148</v>
      </c>
      <c r="D36" t="s">
        <v>54</v>
      </c>
      <c r="E36" s="83">
        <v>2045</v>
      </c>
      <c r="F36" s="83" t="s">
        <v>335</v>
      </c>
      <c r="G36" t="s">
        <v>338</v>
      </c>
      <c r="I36" s="84">
        <v>2005</v>
      </c>
      <c r="J36" s="85">
        <v>48455198</v>
      </c>
      <c r="K36" s="62" t="s">
        <v>437</v>
      </c>
      <c r="L36">
        <v>2030</v>
      </c>
      <c r="M36" s="86">
        <v>0.7</v>
      </c>
    </row>
    <row r="37" spans="1:13">
      <c r="A37" t="s">
        <v>149</v>
      </c>
      <c r="B37" s="1" t="s">
        <v>150</v>
      </c>
      <c r="C37" t="s">
        <v>151</v>
      </c>
      <c r="D37" t="s">
        <v>54</v>
      </c>
      <c r="E37" s="83">
        <v>2030</v>
      </c>
      <c r="F37" s="83" t="s">
        <v>335</v>
      </c>
      <c r="G37" t="s">
        <v>334</v>
      </c>
      <c r="H37">
        <v>2019</v>
      </c>
      <c r="I37" s="84">
        <v>2018</v>
      </c>
      <c r="J37">
        <v>828107</v>
      </c>
      <c r="K37" s="62" t="s">
        <v>437</v>
      </c>
      <c r="L37">
        <v>2030</v>
      </c>
      <c r="M37" s="86">
        <v>1</v>
      </c>
    </row>
    <row r="38" spans="1:13">
      <c r="A38" t="s">
        <v>152</v>
      </c>
      <c r="B38" s="1" t="s">
        <v>153</v>
      </c>
      <c r="C38" t="s">
        <v>154</v>
      </c>
      <c r="D38" t="s">
        <v>54</v>
      </c>
      <c r="E38" s="83">
        <v>2050</v>
      </c>
      <c r="F38" s="83" t="s">
        <v>335</v>
      </c>
      <c r="G38" t="s">
        <v>334</v>
      </c>
      <c r="H38">
        <v>2021</v>
      </c>
      <c r="I38" s="84">
        <v>2015</v>
      </c>
      <c r="J38">
        <v>1100</v>
      </c>
      <c r="K38" s="62" t="s">
        <v>436</v>
      </c>
      <c r="L38">
        <v>2030</v>
      </c>
      <c r="M38" s="86">
        <v>0.5</v>
      </c>
    </row>
    <row r="39" spans="1:13">
      <c r="A39" t="s">
        <v>155</v>
      </c>
      <c r="B39" s="1" t="s">
        <v>156</v>
      </c>
      <c r="C39" t="s">
        <v>157</v>
      </c>
      <c r="D39" t="s">
        <v>54</v>
      </c>
      <c r="E39" s="83">
        <v>2050</v>
      </c>
      <c r="F39" s="83" t="s">
        <v>335</v>
      </c>
      <c r="G39" t="s">
        <v>334</v>
      </c>
      <c r="H39">
        <v>2021</v>
      </c>
      <c r="I39" s="84">
        <v>2016</v>
      </c>
      <c r="J39">
        <v>125</v>
      </c>
      <c r="K39" s="62" t="s">
        <v>438</v>
      </c>
      <c r="L39">
        <v>2025</v>
      </c>
      <c r="M39" s="86">
        <v>0.2</v>
      </c>
    </row>
    <row r="40" spans="1:13">
      <c r="A40" t="s">
        <v>159</v>
      </c>
      <c r="B40" s="1" t="s">
        <v>160</v>
      </c>
      <c r="C40" t="s">
        <v>161</v>
      </c>
      <c r="D40" t="s">
        <v>54</v>
      </c>
      <c r="F40" s="83" t="s">
        <v>335</v>
      </c>
      <c r="G40" t="s">
        <v>338</v>
      </c>
      <c r="H40">
        <v>2015</v>
      </c>
      <c r="I40" s="84">
        <v>2005</v>
      </c>
      <c r="J40">
        <v>86403130</v>
      </c>
      <c r="K40" s="62" t="s">
        <v>437</v>
      </c>
      <c r="L40">
        <v>2045</v>
      </c>
      <c r="M40" s="86">
        <v>0.62</v>
      </c>
    </row>
    <row r="41" spans="1:13">
      <c r="A41" t="s">
        <v>162</v>
      </c>
      <c r="B41" s="1" t="s">
        <v>163</v>
      </c>
      <c r="C41" t="s">
        <v>164</v>
      </c>
      <c r="D41" t="s">
        <v>54</v>
      </c>
      <c r="F41" s="83" t="s">
        <v>333</v>
      </c>
      <c r="G41" t="s">
        <v>339</v>
      </c>
      <c r="H41">
        <v>2021</v>
      </c>
      <c r="I41" s="84">
        <v>2019</v>
      </c>
      <c r="J41">
        <v>309</v>
      </c>
      <c r="K41" s="62" t="s">
        <v>444</v>
      </c>
      <c r="L41">
        <v>2035</v>
      </c>
      <c r="M41" s="86">
        <v>0.5</v>
      </c>
    </row>
    <row r="42" spans="1:13">
      <c r="A42" t="s">
        <v>162</v>
      </c>
      <c r="B42" s="1" t="s">
        <v>163</v>
      </c>
      <c r="C42" t="s">
        <v>164</v>
      </c>
      <c r="D42" t="s">
        <v>54</v>
      </c>
      <c r="F42" s="83" t="s">
        <v>335</v>
      </c>
      <c r="G42" t="s">
        <v>334</v>
      </c>
      <c r="H42">
        <v>2021</v>
      </c>
      <c r="I42" s="84">
        <v>2019</v>
      </c>
      <c r="J42">
        <v>3480</v>
      </c>
      <c r="K42" s="62" t="s">
        <v>437</v>
      </c>
      <c r="L42">
        <v>2035</v>
      </c>
      <c r="M42" s="86">
        <v>0.76</v>
      </c>
    </row>
    <row r="43" spans="1:13">
      <c r="A43" t="s">
        <v>166</v>
      </c>
      <c r="B43" s="1" t="s">
        <v>167</v>
      </c>
      <c r="C43" t="s">
        <v>168</v>
      </c>
      <c r="D43" t="s">
        <v>169</v>
      </c>
      <c r="F43" s="83" t="s">
        <v>335</v>
      </c>
      <c r="G43" t="s">
        <v>338</v>
      </c>
      <c r="H43">
        <v>2020</v>
      </c>
      <c r="I43" s="84">
        <v>2019</v>
      </c>
      <c r="J43" s="85">
        <v>11925000</v>
      </c>
      <c r="K43" s="62" t="s">
        <v>437</v>
      </c>
      <c r="L43">
        <v>2035</v>
      </c>
      <c r="M43" s="86">
        <v>0.75</v>
      </c>
    </row>
    <row r="44" spans="1:13">
      <c r="A44" s="70" t="s">
        <v>170</v>
      </c>
      <c r="B44" s="71" t="s">
        <v>171</v>
      </c>
      <c r="C44" s="70" t="s">
        <v>172</v>
      </c>
      <c r="D44" s="70" t="s">
        <v>54</v>
      </c>
      <c r="E44" s="72">
        <v>2040</v>
      </c>
      <c r="F44" s="72" t="s">
        <v>333</v>
      </c>
      <c r="G44" s="70" t="s">
        <v>339</v>
      </c>
      <c r="H44" s="70">
        <v>2021</v>
      </c>
      <c r="I44" s="73">
        <v>2020</v>
      </c>
      <c r="J44" s="74">
        <v>309</v>
      </c>
      <c r="K44" s="75" t="s">
        <v>444</v>
      </c>
      <c r="L44" s="70">
        <v>2040</v>
      </c>
      <c r="M44" s="76">
        <v>0.2</v>
      </c>
    </row>
    <row r="45" spans="1:13">
      <c r="A45" t="s">
        <v>170</v>
      </c>
      <c r="B45" s="1" t="s">
        <v>171</v>
      </c>
      <c r="C45" t="s">
        <v>172</v>
      </c>
      <c r="D45" t="s">
        <v>54</v>
      </c>
      <c r="E45" s="83">
        <v>2040</v>
      </c>
      <c r="F45" s="83" t="s">
        <v>335</v>
      </c>
      <c r="G45" t="s">
        <v>334</v>
      </c>
      <c r="H45">
        <v>2021</v>
      </c>
      <c r="I45" s="84">
        <v>2020</v>
      </c>
      <c r="J45" s="85">
        <v>3813946</v>
      </c>
      <c r="K45" s="62" t="s">
        <v>437</v>
      </c>
      <c r="L45">
        <v>2040</v>
      </c>
      <c r="M45" s="86">
        <v>1</v>
      </c>
    </row>
    <row r="46" spans="1:13">
      <c r="A46" t="s">
        <v>174</v>
      </c>
      <c r="B46" s="1" t="s">
        <v>175</v>
      </c>
      <c r="C46" t="s">
        <v>176</v>
      </c>
      <c r="D46" t="s">
        <v>177</v>
      </c>
      <c r="E46" s="83">
        <v>2050</v>
      </c>
      <c r="F46" s="83" t="s">
        <v>333</v>
      </c>
      <c r="G46" t="s">
        <v>334</v>
      </c>
      <c r="H46">
        <v>2022</v>
      </c>
      <c r="I46" s="84">
        <v>2020</v>
      </c>
      <c r="J46">
        <v>0.93</v>
      </c>
      <c r="K46" s="62" t="s">
        <v>441</v>
      </c>
      <c r="L46">
        <v>2031</v>
      </c>
      <c r="M46" s="86">
        <v>0.108</v>
      </c>
    </row>
    <row r="47" spans="1:13">
      <c r="A47" t="s">
        <v>178</v>
      </c>
      <c r="B47" s="1" t="s">
        <v>179</v>
      </c>
      <c r="C47" t="s">
        <v>180</v>
      </c>
      <c r="D47" t="s">
        <v>54</v>
      </c>
      <c r="F47" s="83" t="s">
        <v>333</v>
      </c>
      <c r="G47" t="s">
        <v>338</v>
      </c>
      <c r="H47">
        <v>2020</v>
      </c>
      <c r="I47" s="84">
        <v>2010</v>
      </c>
      <c r="J47">
        <v>0.76300000000000001</v>
      </c>
      <c r="K47" s="62" t="s">
        <v>439</v>
      </c>
      <c r="L47">
        <v>2030</v>
      </c>
      <c r="M47" s="86">
        <v>0.1</v>
      </c>
    </row>
    <row r="48" spans="1:13">
      <c r="A48" t="s">
        <v>181</v>
      </c>
      <c r="B48" s="1" t="s">
        <v>182</v>
      </c>
      <c r="C48" t="s">
        <v>183</v>
      </c>
      <c r="D48" t="s">
        <v>184</v>
      </c>
      <c r="E48" s="83">
        <v>2050</v>
      </c>
      <c r="F48" s="83" t="s">
        <v>333</v>
      </c>
      <c r="G48" t="s">
        <v>338</v>
      </c>
      <c r="H48">
        <v>2022</v>
      </c>
      <c r="I48" s="84">
        <v>2021</v>
      </c>
      <c r="J48">
        <v>96</v>
      </c>
      <c r="K48" s="62" t="s">
        <v>443</v>
      </c>
      <c r="L48">
        <v>2030</v>
      </c>
      <c r="M48" s="86">
        <f>50/96</f>
        <v>0.52083333333333337</v>
      </c>
    </row>
    <row r="49" spans="1:13">
      <c r="A49" t="s">
        <v>185</v>
      </c>
      <c r="B49" s="1" t="s">
        <v>186</v>
      </c>
      <c r="C49" t="s">
        <v>187</v>
      </c>
      <c r="D49" t="s">
        <v>54</v>
      </c>
      <c r="F49" s="83" t="s">
        <v>333</v>
      </c>
      <c r="G49" t="s">
        <v>334</v>
      </c>
      <c r="H49">
        <v>2020</v>
      </c>
      <c r="I49" s="84">
        <v>2014</v>
      </c>
      <c r="J49">
        <v>30</v>
      </c>
      <c r="K49" s="62" t="s">
        <v>445</v>
      </c>
      <c r="L49">
        <v>2030</v>
      </c>
      <c r="M49" s="86">
        <v>0.3</v>
      </c>
    </row>
    <row r="50" spans="1:13">
      <c r="A50" t="s">
        <v>185</v>
      </c>
      <c r="B50" s="1" t="s">
        <v>186</v>
      </c>
      <c r="C50" t="s">
        <v>187</v>
      </c>
      <c r="D50" t="s">
        <v>54</v>
      </c>
      <c r="F50" s="83" t="s">
        <v>335</v>
      </c>
      <c r="G50" t="s">
        <v>339</v>
      </c>
      <c r="H50">
        <v>2020</v>
      </c>
      <c r="I50" s="84">
        <v>2019</v>
      </c>
      <c r="J50">
        <v>425</v>
      </c>
      <c r="K50" s="62" t="s">
        <v>438</v>
      </c>
      <c r="L50">
        <v>2030</v>
      </c>
      <c r="M50" s="86">
        <v>0.15</v>
      </c>
    </row>
    <row r="51" spans="1:13">
      <c r="A51" t="s">
        <v>189</v>
      </c>
      <c r="B51" s="1" t="s">
        <v>190</v>
      </c>
      <c r="C51" t="s">
        <v>191</v>
      </c>
      <c r="D51" t="s">
        <v>54</v>
      </c>
      <c r="F51" s="83" t="s">
        <v>333</v>
      </c>
      <c r="G51" t="s">
        <v>334</v>
      </c>
      <c r="I51" s="84">
        <v>2000</v>
      </c>
      <c r="J51">
        <f>2650/2000</f>
        <v>1.325</v>
      </c>
      <c r="K51" s="62" t="s">
        <v>439</v>
      </c>
      <c r="L51">
        <v>2030</v>
      </c>
      <c r="M51" s="86">
        <v>0.5</v>
      </c>
    </row>
    <row r="52" spans="1:13">
      <c r="A52" t="s">
        <v>192</v>
      </c>
      <c r="B52" s="1" t="s">
        <v>193</v>
      </c>
      <c r="C52" t="s">
        <v>194</v>
      </c>
      <c r="D52" t="s">
        <v>94</v>
      </c>
      <c r="E52" s="83">
        <v>2050</v>
      </c>
      <c r="F52" t="s">
        <v>335</v>
      </c>
      <c r="G52" t="s">
        <v>334</v>
      </c>
      <c r="H52">
        <v>2020</v>
      </c>
      <c r="I52">
        <v>1990</v>
      </c>
      <c r="J52">
        <f>7000000/(1-0.68)</f>
        <v>21875000.000000004</v>
      </c>
      <c r="K52" t="s">
        <v>437</v>
      </c>
      <c r="L52">
        <v>2030</v>
      </c>
      <c r="M52" s="86">
        <v>0.8</v>
      </c>
    </row>
    <row r="53" spans="1:13">
      <c r="A53" t="s">
        <v>192</v>
      </c>
      <c r="B53" s="1" t="s">
        <v>193</v>
      </c>
      <c r="C53" t="s">
        <v>194</v>
      </c>
      <c r="D53" t="s">
        <v>94</v>
      </c>
      <c r="E53" s="83">
        <v>2050</v>
      </c>
      <c r="F53" t="s">
        <v>335</v>
      </c>
      <c r="G53" t="s">
        <v>334</v>
      </c>
      <c r="H53">
        <v>2020</v>
      </c>
      <c r="I53">
        <v>1990</v>
      </c>
      <c r="J53">
        <f>7000000/(1-0.68)</f>
        <v>21875000.000000004</v>
      </c>
      <c r="K53" t="s">
        <v>437</v>
      </c>
      <c r="L53">
        <v>2040</v>
      </c>
      <c r="M53" s="86">
        <v>0.9</v>
      </c>
    </row>
    <row r="54" spans="1:13">
      <c r="A54" t="s">
        <v>195</v>
      </c>
      <c r="B54" t="s">
        <v>196</v>
      </c>
      <c r="C54" t="s">
        <v>197</v>
      </c>
      <c r="D54" t="s">
        <v>54</v>
      </c>
      <c r="E54" s="83">
        <v>2050</v>
      </c>
      <c r="F54" s="83" t="s">
        <v>333</v>
      </c>
      <c r="G54" t="s">
        <v>334</v>
      </c>
      <c r="H54">
        <v>2020</v>
      </c>
      <c r="I54">
        <v>2005</v>
      </c>
      <c r="J54">
        <v>843</v>
      </c>
      <c r="K54" s="62" t="s">
        <v>446</v>
      </c>
      <c r="L54">
        <v>2025</v>
      </c>
      <c r="M54" s="86">
        <v>0.67</v>
      </c>
    </row>
    <row r="55" spans="1:13">
      <c r="A55" t="s">
        <v>203</v>
      </c>
      <c r="B55" t="s">
        <v>204</v>
      </c>
      <c r="C55" t="s">
        <v>205</v>
      </c>
      <c r="D55" t="s">
        <v>54</v>
      </c>
      <c r="E55" s="83">
        <v>2050</v>
      </c>
      <c r="F55" t="s">
        <v>335</v>
      </c>
      <c r="G55" t="s">
        <v>334</v>
      </c>
      <c r="H55">
        <v>2020</v>
      </c>
      <c r="I55">
        <v>2005</v>
      </c>
      <c r="J55">
        <f>6332981/(1-0.63)</f>
        <v>17116164.864864863</v>
      </c>
      <c r="K55" t="s">
        <v>437</v>
      </c>
      <c r="L55">
        <v>2030</v>
      </c>
      <c r="M55" s="86">
        <v>0.9</v>
      </c>
    </row>
    <row r="56" spans="1:13">
      <c r="A56" t="s">
        <v>206</v>
      </c>
      <c r="B56" s="1" t="s">
        <v>207</v>
      </c>
      <c r="C56" t="s">
        <v>208</v>
      </c>
      <c r="D56" t="s">
        <v>54</v>
      </c>
      <c r="E56" s="83">
        <v>2050</v>
      </c>
      <c r="F56" s="83" t="s">
        <v>335</v>
      </c>
      <c r="G56" t="s">
        <v>338</v>
      </c>
      <c r="H56">
        <v>2019</v>
      </c>
      <c r="I56" s="84">
        <v>2010</v>
      </c>
      <c r="J56" s="85">
        <v>3734024</v>
      </c>
      <c r="K56" t="s">
        <v>437</v>
      </c>
      <c r="L56">
        <v>2045</v>
      </c>
      <c r="M56" s="86">
        <v>0.9</v>
      </c>
    </row>
    <row r="57" spans="1:13">
      <c r="A57" t="s">
        <v>198</v>
      </c>
      <c r="B57" t="s">
        <v>199</v>
      </c>
      <c r="C57" t="s">
        <v>200</v>
      </c>
      <c r="D57" t="s">
        <v>201</v>
      </c>
      <c r="E57" s="83">
        <v>2050</v>
      </c>
      <c r="F57" t="s">
        <v>335</v>
      </c>
      <c r="G57" t="s">
        <v>334</v>
      </c>
      <c r="H57">
        <v>2021</v>
      </c>
      <c r="I57">
        <v>2013</v>
      </c>
      <c r="J57">
        <v>102</v>
      </c>
      <c r="K57" t="s">
        <v>438</v>
      </c>
      <c r="L57">
        <v>2030</v>
      </c>
      <c r="M57" s="86">
        <v>0.3</v>
      </c>
    </row>
    <row r="58" spans="1:13">
      <c r="A58" t="s">
        <v>209</v>
      </c>
      <c r="B58" s="1" t="s">
        <v>210</v>
      </c>
      <c r="C58" t="s">
        <v>211</v>
      </c>
      <c r="D58" t="s">
        <v>54</v>
      </c>
      <c r="F58" t="s">
        <v>333</v>
      </c>
      <c r="G58" t="s">
        <v>334</v>
      </c>
      <c r="H58">
        <v>2020</v>
      </c>
      <c r="I58">
        <v>2015</v>
      </c>
      <c r="J58">
        <v>0.82</v>
      </c>
      <c r="K58" t="s">
        <v>441</v>
      </c>
      <c r="L58">
        <v>2030</v>
      </c>
      <c r="M58" s="86">
        <v>0.35</v>
      </c>
    </row>
    <row r="59" spans="1:13">
      <c r="A59" t="s">
        <v>212</v>
      </c>
      <c r="B59" s="1" t="s">
        <v>213</v>
      </c>
      <c r="C59" t="s">
        <v>214</v>
      </c>
      <c r="D59" t="s">
        <v>54</v>
      </c>
      <c r="F59" s="83" t="s">
        <v>335</v>
      </c>
      <c r="G59" t="s">
        <v>338</v>
      </c>
      <c r="H59">
        <v>2018</v>
      </c>
      <c r="I59" s="84">
        <v>2005</v>
      </c>
      <c r="J59" s="85">
        <v>21445571</v>
      </c>
      <c r="K59" t="s">
        <v>437</v>
      </c>
      <c r="L59">
        <v>2030</v>
      </c>
      <c r="M59" s="86">
        <v>0.5</v>
      </c>
    </row>
    <row r="60" spans="1:13">
      <c r="A60" t="s">
        <v>212</v>
      </c>
      <c r="B60" s="1" t="s">
        <v>213</v>
      </c>
      <c r="C60" t="s">
        <v>214</v>
      </c>
      <c r="D60" t="s">
        <v>54</v>
      </c>
      <c r="F60" s="83" t="s">
        <v>335</v>
      </c>
      <c r="G60" t="s">
        <v>338</v>
      </c>
      <c r="H60">
        <v>2018</v>
      </c>
      <c r="I60" s="84">
        <v>2005</v>
      </c>
      <c r="J60" s="85">
        <v>21445571</v>
      </c>
      <c r="K60" t="s">
        <v>437</v>
      </c>
      <c r="L60">
        <v>2050</v>
      </c>
      <c r="M60" s="86">
        <v>0.95</v>
      </c>
    </row>
    <row r="61" spans="1:13">
      <c r="A61" t="s">
        <v>215</v>
      </c>
      <c r="B61" s="1" t="s">
        <v>216</v>
      </c>
      <c r="C61" t="s">
        <v>217</v>
      </c>
      <c r="D61" t="s">
        <v>177</v>
      </c>
      <c r="E61" s="83">
        <v>2050</v>
      </c>
      <c r="F61" s="83" t="s">
        <v>335</v>
      </c>
      <c r="G61" t="s">
        <v>334</v>
      </c>
      <c r="H61">
        <v>2021</v>
      </c>
      <c r="I61" s="84">
        <v>2015</v>
      </c>
      <c r="J61" s="85">
        <v>78</v>
      </c>
      <c r="K61" t="s">
        <v>438</v>
      </c>
      <c r="L61">
        <v>2030</v>
      </c>
      <c r="M61" s="86">
        <v>0.25</v>
      </c>
    </row>
    <row r="62" spans="1:13">
      <c r="A62" s="70" t="s">
        <v>215</v>
      </c>
      <c r="B62" s="71" t="s">
        <v>216</v>
      </c>
      <c r="C62" s="70" t="s">
        <v>217</v>
      </c>
      <c r="D62" s="70" t="s">
        <v>177</v>
      </c>
      <c r="E62" s="72">
        <v>2050</v>
      </c>
      <c r="F62" s="72" t="s">
        <v>333</v>
      </c>
      <c r="G62" s="70" t="s">
        <v>339</v>
      </c>
      <c r="H62" s="70">
        <v>2021</v>
      </c>
      <c r="I62" s="73">
        <v>2015</v>
      </c>
      <c r="J62" s="74">
        <f>526.9/749.7</f>
        <v>0.70281445911698004</v>
      </c>
      <c r="K62" s="70" t="s">
        <v>445</v>
      </c>
      <c r="L62" s="70">
        <v>2030</v>
      </c>
      <c r="M62" s="76">
        <v>0.1</v>
      </c>
    </row>
    <row r="63" spans="1:13">
      <c r="A63" t="s">
        <v>218</v>
      </c>
      <c r="B63" s="1" t="s">
        <v>219</v>
      </c>
      <c r="C63" t="s">
        <v>220</v>
      </c>
      <c r="D63" t="s">
        <v>221</v>
      </c>
      <c r="E63" s="83">
        <v>2050</v>
      </c>
      <c r="F63" s="83" t="s">
        <v>335</v>
      </c>
      <c r="G63" t="s">
        <v>334</v>
      </c>
      <c r="H63">
        <v>2019</v>
      </c>
      <c r="I63" s="84">
        <v>2019</v>
      </c>
      <c r="J63" s="85">
        <v>53.8</v>
      </c>
      <c r="K63" t="s">
        <v>438</v>
      </c>
      <c r="L63">
        <v>2024</v>
      </c>
      <c r="M63" s="86">
        <f>1-49.5/J63</f>
        <v>7.9925650557620798E-2</v>
      </c>
    </row>
    <row r="64" spans="1:13">
      <c r="A64" s="70" t="s">
        <v>218</v>
      </c>
      <c r="B64" s="71" t="s">
        <v>219</v>
      </c>
      <c r="C64" s="70" t="s">
        <v>220</v>
      </c>
      <c r="D64" s="70" t="s">
        <v>221</v>
      </c>
      <c r="E64" s="72">
        <v>2050</v>
      </c>
      <c r="F64" s="72" t="s">
        <v>333</v>
      </c>
      <c r="G64" s="70" t="s">
        <v>339</v>
      </c>
      <c r="H64" s="70">
        <v>2019</v>
      </c>
      <c r="I64" s="73">
        <v>2019</v>
      </c>
      <c r="J64" s="74">
        <v>1</v>
      </c>
      <c r="K64" s="70" t="s">
        <v>445</v>
      </c>
      <c r="L64" s="70">
        <v>2024</v>
      </c>
      <c r="M64" s="76">
        <v>0.08</v>
      </c>
    </row>
    <row r="65" spans="1:13">
      <c r="A65" t="s">
        <v>223</v>
      </c>
      <c r="B65" s="1" t="s">
        <v>224</v>
      </c>
      <c r="C65" t="s">
        <v>225</v>
      </c>
      <c r="D65" t="s">
        <v>54</v>
      </c>
      <c r="E65" s="83">
        <v>2045</v>
      </c>
      <c r="F65" s="83" t="s">
        <v>335</v>
      </c>
      <c r="G65" t="s">
        <v>334</v>
      </c>
      <c r="H65">
        <v>2021</v>
      </c>
      <c r="I65" s="84">
        <v>2016</v>
      </c>
      <c r="J65">
        <v>2.2165439930000002</v>
      </c>
      <c r="K65" t="s">
        <v>438</v>
      </c>
      <c r="L65">
        <v>2045</v>
      </c>
      <c r="M65" s="86">
        <v>1</v>
      </c>
    </row>
    <row r="66" spans="1:13">
      <c r="A66" t="s">
        <v>226</v>
      </c>
      <c r="B66" s="1" t="s">
        <v>227</v>
      </c>
      <c r="C66" t="s">
        <v>228</v>
      </c>
      <c r="D66" t="s">
        <v>54</v>
      </c>
      <c r="E66" s="83">
        <v>2040</v>
      </c>
      <c r="F66" s="83" t="s">
        <v>335</v>
      </c>
      <c r="G66" t="s">
        <v>338</v>
      </c>
      <c r="H66">
        <v>2019</v>
      </c>
      <c r="I66" s="84">
        <v>2005</v>
      </c>
      <c r="J66" s="36">
        <v>6976930.1319702603</v>
      </c>
      <c r="K66" t="s">
        <v>437</v>
      </c>
      <c r="L66">
        <v>2040</v>
      </c>
      <c r="M66" s="86">
        <v>1</v>
      </c>
    </row>
    <row r="67" spans="1:13">
      <c r="A67" t="s">
        <v>229</v>
      </c>
      <c r="B67" s="1" t="s">
        <v>230</v>
      </c>
      <c r="C67" t="s">
        <v>231</v>
      </c>
      <c r="D67" t="s">
        <v>232</v>
      </c>
      <c r="E67" s="83">
        <v>2050</v>
      </c>
      <c r="F67" s="83" t="s">
        <v>333</v>
      </c>
      <c r="G67" t="s">
        <v>334</v>
      </c>
      <c r="H67">
        <v>2020</v>
      </c>
      <c r="I67" s="84">
        <v>2017</v>
      </c>
      <c r="J67">
        <v>2.06</v>
      </c>
      <c r="K67" t="s">
        <v>441</v>
      </c>
      <c r="L67">
        <v>2030</v>
      </c>
      <c r="M67" s="86">
        <v>0.2</v>
      </c>
    </row>
    <row r="68" spans="1:13">
      <c r="A68" t="s">
        <v>229</v>
      </c>
      <c r="B68" s="1" t="s">
        <v>230</v>
      </c>
      <c r="C68" t="s">
        <v>231</v>
      </c>
      <c r="D68" t="s">
        <v>232</v>
      </c>
      <c r="E68" s="83">
        <v>2050</v>
      </c>
      <c r="F68" s="83" t="s">
        <v>333</v>
      </c>
      <c r="G68" t="s">
        <v>334</v>
      </c>
      <c r="H68">
        <v>2020</v>
      </c>
      <c r="I68" s="84">
        <v>2017</v>
      </c>
      <c r="J68">
        <v>2.06</v>
      </c>
      <c r="K68" t="s">
        <v>441</v>
      </c>
      <c r="L68">
        <v>2040</v>
      </c>
      <c r="M68" s="86">
        <v>0.5</v>
      </c>
    </row>
    <row r="69" spans="1:13">
      <c r="A69" t="s">
        <v>233</v>
      </c>
      <c r="B69" s="1" t="s">
        <v>234</v>
      </c>
      <c r="C69" t="s">
        <v>235</v>
      </c>
      <c r="D69" t="s">
        <v>54</v>
      </c>
      <c r="E69" s="83">
        <v>2050</v>
      </c>
      <c r="F69" s="83" t="s">
        <v>335</v>
      </c>
      <c r="G69" t="s">
        <v>334</v>
      </c>
      <c r="H69">
        <v>2021</v>
      </c>
      <c r="I69" s="84">
        <v>2010</v>
      </c>
      <c r="J69" s="85">
        <f>60736086+1597157</f>
        <v>62333243</v>
      </c>
      <c r="K69" t="s">
        <v>437</v>
      </c>
      <c r="L69">
        <v>2035</v>
      </c>
      <c r="M69" s="86">
        <v>0.7</v>
      </c>
    </row>
    <row r="70" spans="1:13">
      <c r="A70" t="s">
        <v>233</v>
      </c>
      <c r="B70" s="1" t="s">
        <v>234</v>
      </c>
      <c r="C70" t="s">
        <v>235</v>
      </c>
      <c r="D70" t="s">
        <v>54</v>
      </c>
      <c r="E70" s="83">
        <v>2050</v>
      </c>
      <c r="F70" s="83" t="s">
        <v>335</v>
      </c>
      <c r="G70" t="s">
        <v>334</v>
      </c>
      <c r="H70">
        <v>2021</v>
      </c>
      <c r="I70" s="84">
        <v>2010</v>
      </c>
      <c r="J70" s="85">
        <f>60736086+1597157</f>
        <v>62333243</v>
      </c>
      <c r="K70" t="s">
        <v>437</v>
      </c>
      <c r="L70">
        <v>2040</v>
      </c>
      <c r="M70" s="86">
        <v>0.8</v>
      </c>
    </row>
    <row r="71" spans="1:13">
      <c r="A71" t="s">
        <v>236</v>
      </c>
      <c r="B71" s="1" t="s">
        <v>237</v>
      </c>
      <c r="C71" t="s">
        <v>238</v>
      </c>
      <c r="D71" t="s">
        <v>54</v>
      </c>
      <c r="E71" s="83">
        <v>2050</v>
      </c>
      <c r="F71" s="83" t="s">
        <v>335</v>
      </c>
      <c r="G71" t="s">
        <v>334</v>
      </c>
      <c r="H71">
        <v>2020</v>
      </c>
      <c r="I71" s="84">
        <v>2005</v>
      </c>
      <c r="J71" s="37">
        <v>16557441</v>
      </c>
      <c r="K71" t="s">
        <v>437</v>
      </c>
      <c r="L71">
        <v>2030</v>
      </c>
      <c r="M71" s="86">
        <v>0.7</v>
      </c>
    </row>
    <row r="72" spans="1:13">
      <c r="A72" t="s">
        <v>239</v>
      </c>
      <c r="B72" s="1" t="s">
        <v>240</v>
      </c>
      <c r="C72" t="s">
        <v>241</v>
      </c>
      <c r="D72" t="s">
        <v>54</v>
      </c>
      <c r="E72" s="83">
        <v>2040</v>
      </c>
      <c r="F72" s="83" t="s">
        <v>333</v>
      </c>
      <c r="G72" t="s">
        <v>334</v>
      </c>
      <c r="H72">
        <v>2020</v>
      </c>
      <c r="I72" s="84">
        <v>2010</v>
      </c>
      <c r="J72">
        <v>0.47</v>
      </c>
      <c r="K72" t="s">
        <v>439</v>
      </c>
      <c r="L72">
        <v>2030</v>
      </c>
      <c r="M72" s="86">
        <v>0.8</v>
      </c>
    </row>
    <row r="73" spans="1:13">
      <c r="A73" t="s">
        <v>242</v>
      </c>
      <c r="B73" s="1" t="s">
        <v>243</v>
      </c>
      <c r="C73" t="s">
        <v>244</v>
      </c>
      <c r="D73" t="s">
        <v>54</v>
      </c>
      <c r="E73" s="83">
        <v>2030</v>
      </c>
      <c r="F73" s="83" t="s">
        <v>335</v>
      </c>
      <c r="G73" t="s">
        <v>334</v>
      </c>
      <c r="H73">
        <v>2021</v>
      </c>
      <c r="I73" s="84">
        <v>2005</v>
      </c>
      <c r="J73" s="85">
        <v>26566330</v>
      </c>
      <c r="K73" t="s">
        <v>437</v>
      </c>
      <c r="L73">
        <v>2030</v>
      </c>
      <c r="M73" s="86">
        <v>1</v>
      </c>
    </row>
    <row r="74" spans="1:13">
      <c r="A74" t="s">
        <v>245</v>
      </c>
      <c r="B74" s="1" t="s">
        <v>246</v>
      </c>
      <c r="C74" t="s">
        <v>247</v>
      </c>
      <c r="D74" t="s">
        <v>248</v>
      </c>
      <c r="F74" s="83" t="s">
        <v>333</v>
      </c>
      <c r="G74" t="s">
        <v>334</v>
      </c>
      <c r="H74">
        <v>2021</v>
      </c>
      <c r="I74" s="84">
        <v>2018</v>
      </c>
      <c r="J74" s="85">
        <v>10.199999999999999</v>
      </c>
      <c r="K74" t="s">
        <v>447</v>
      </c>
      <c r="L74">
        <v>2035</v>
      </c>
      <c r="M74" s="86">
        <v>0.15</v>
      </c>
    </row>
    <row r="75" spans="1:13">
      <c r="A75" t="s">
        <v>249</v>
      </c>
      <c r="B75" s="1" t="s">
        <v>250</v>
      </c>
      <c r="C75" t="s">
        <v>251</v>
      </c>
      <c r="D75" t="s">
        <v>54</v>
      </c>
      <c r="E75" s="83">
        <v>2050</v>
      </c>
      <c r="F75" s="83" t="s">
        <v>333</v>
      </c>
      <c r="G75" t="s">
        <v>334</v>
      </c>
      <c r="H75">
        <v>2020</v>
      </c>
      <c r="I75" s="84">
        <v>2019</v>
      </c>
      <c r="J75" s="88">
        <v>0.80243130614229896</v>
      </c>
      <c r="K75" t="s">
        <v>439</v>
      </c>
      <c r="L75">
        <v>2030</v>
      </c>
      <c r="M75" s="86">
        <v>0.5</v>
      </c>
    </row>
    <row r="76" spans="1:13">
      <c r="A76" t="s">
        <v>252</v>
      </c>
      <c r="B76" s="1" t="s">
        <v>253</v>
      </c>
      <c r="C76" t="s">
        <v>254</v>
      </c>
      <c r="D76" t="s">
        <v>94</v>
      </c>
      <c r="E76" s="83">
        <v>2050</v>
      </c>
      <c r="F76" s="83" t="s">
        <v>335</v>
      </c>
      <c r="G76" t="s">
        <v>334</v>
      </c>
      <c r="H76">
        <v>2021</v>
      </c>
      <c r="I76" s="84">
        <v>2016</v>
      </c>
      <c r="J76" s="88">
        <v>68</v>
      </c>
      <c r="K76" t="s">
        <v>438</v>
      </c>
      <c r="L76">
        <v>2030</v>
      </c>
      <c r="M76" s="86">
        <v>0.5</v>
      </c>
    </row>
    <row r="77" spans="1:13">
      <c r="A77" t="s">
        <v>256</v>
      </c>
      <c r="B77" s="1" t="s">
        <v>257</v>
      </c>
      <c r="C77" t="s">
        <v>258</v>
      </c>
      <c r="D77" t="s">
        <v>259</v>
      </c>
      <c r="E77" s="83">
        <v>2050</v>
      </c>
      <c r="F77" s="83" t="s">
        <v>335</v>
      </c>
      <c r="G77" t="s">
        <v>334</v>
      </c>
      <c r="H77">
        <v>2018</v>
      </c>
      <c r="I77" s="84">
        <v>2018</v>
      </c>
      <c r="J77" s="88">
        <v>171.52</v>
      </c>
      <c r="K77" t="s">
        <v>438</v>
      </c>
      <c r="L77">
        <v>2023</v>
      </c>
      <c r="M77" s="86">
        <f>1-(J77-12.6)/J77</f>
        <v>7.3460820895522305E-2</v>
      </c>
    </row>
    <row r="78" spans="1:13">
      <c r="A78" s="70" t="s">
        <v>256</v>
      </c>
      <c r="B78" s="71" t="s">
        <v>257</v>
      </c>
      <c r="C78" s="70" t="s">
        <v>258</v>
      </c>
      <c r="D78" s="70" t="s">
        <v>259</v>
      </c>
      <c r="E78" s="72">
        <v>2050</v>
      </c>
      <c r="F78" s="72" t="s">
        <v>333</v>
      </c>
      <c r="G78" s="70" t="s">
        <v>339</v>
      </c>
      <c r="H78" s="70">
        <v>2018</v>
      </c>
      <c r="I78" s="73">
        <v>2018</v>
      </c>
      <c r="J78" s="87">
        <v>1</v>
      </c>
      <c r="K78" s="70" t="s">
        <v>445</v>
      </c>
      <c r="L78" s="70">
        <v>2023</v>
      </c>
      <c r="M78" s="76">
        <v>7.0000000000000007E-2</v>
      </c>
    </row>
    <row r="79" spans="1:13">
      <c r="A79" t="s">
        <v>260</v>
      </c>
      <c r="B79" s="1" t="s">
        <v>261</v>
      </c>
      <c r="C79" t="s">
        <v>262</v>
      </c>
      <c r="D79" t="s">
        <v>232</v>
      </c>
      <c r="E79" s="83">
        <v>2050</v>
      </c>
      <c r="F79" s="83" t="s">
        <v>335</v>
      </c>
      <c r="G79" t="s">
        <v>334</v>
      </c>
      <c r="H79">
        <v>2020</v>
      </c>
      <c r="I79" s="84">
        <v>2019</v>
      </c>
      <c r="J79" s="88">
        <v>1243</v>
      </c>
      <c r="K79" t="s">
        <v>448</v>
      </c>
      <c r="L79">
        <v>2025</v>
      </c>
      <c r="M79" s="86">
        <f>1-(957/1243)</f>
        <v>0.23008849557522126</v>
      </c>
    </row>
    <row r="80" spans="1:13">
      <c r="A80" t="s">
        <v>260</v>
      </c>
      <c r="B80" s="1" t="s">
        <v>261</v>
      </c>
      <c r="C80" t="s">
        <v>262</v>
      </c>
      <c r="D80" t="s">
        <v>232</v>
      </c>
      <c r="E80" s="83">
        <v>2050</v>
      </c>
      <c r="F80" s="83" t="s">
        <v>335</v>
      </c>
      <c r="G80" t="s">
        <v>334</v>
      </c>
      <c r="H80">
        <v>2020</v>
      </c>
      <c r="I80" s="84">
        <v>2019</v>
      </c>
      <c r="J80" s="88">
        <v>1243</v>
      </c>
      <c r="K80" t="s">
        <v>448</v>
      </c>
      <c r="L80">
        <v>2030</v>
      </c>
      <c r="M80" s="86">
        <f>1-(612/1243)</f>
        <v>0.50764279967819792</v>
      </c>
    </row>
    <row r="81" spans="1:13">
      <c r="A81" t="s">
        <v>260</v>
      </c>
      <c r="B81" s="1" t="s">
        <v>261</v>
      </c>
      <c r="C81" t="s">
        <v>262</v>
      </c>
      <c r="D81" t="s">
        <v>232</v>
      </c>
      <c r="E81" s="83">
        <v>2050</v>
      </c>
      <c r="F81" s="83" t="s">
        <v>335</v>
      </c>
      <c r="G81" t="s">
        <v>334</v>
      </c>
      <c r="H81">
        <v>2020</v>
      </c>
      <c r="I81" s="84">
        <v>2019</v>
      </c>
      <c r="J81" s="88">
        <v>1243</v>
      </c>
      <c r="K81" t="s">
        <v>448</v>
      </c>
      <c r="L81">
        <v>2040</v>
      </c>
      <c r="M81" s="86">
        <f>1-(280/1243)</f>
        <v>0.77473853580048269</v>
      </c>
    </row>
    <row r="82" spans="1:13">
      <c r="A82" t="s">
        <v>260</v>
      </c>
      <c r="B82" s="1" t="s">
        <v>261</v>
      </c>
      <c r="C82" t="s">
        <v>262</v>
      </c>
      <c r="D82" t="s">
        <v>232</v>
      </c>
      <c r="E82" s="83">
        <v>2050</v>
      </c>
      <c r="F82" s="83" t="s">
        <v>335</v>
      </c>
      <c r="G82" t="s">
        <v>334</v>
      </c>
      <c r="H82">
        <v>2020</v>
      </c>
      <c r="I82" s="84">
        <v>2019</v>
      </c>
      <c r="J82" s="88">
        <v>1243</v>
      </c>
      <c r="K82" t="s">
        <v>448</v>
      </c>
      <c r="L82">
        <v>2050</v>
      </c>
      <c r="M82" s="86">
        <v>1</v>
      </c>
    </row>
    <row r="83" spans="1:13">
      <c r="A83" t="s">
        <v>260</v>
      </c>
      <c r="B83" s="1" t="s">
        <v>261</v>
      </c>
      <c r="C83" t="s">
        <v>262</v>
      </c>
      <c r="D83" t="s">
        <v>232</v>
      </c>
      <c r="E83" s="83">
        <v>2050</v>
      </c>
      <c r="F83" s="83" t="s">
        <v>335</v>
      </c>
      <c r="G83" t="s">
        <v>339</v>
      </c>
      <c r="H83">
        <v>2020</v>
      </c>
      <c r="I83" s="84">
        <v>2019</v>
      </c>
      <c r="J83" s="88">
        <v>15063</v>
      </c>
      <c r="K83" t="s">
        <v>448</v>
      </c>
      <c r="L83">
        <v>2025</v>
      </c>
      <c r="M83" s="86">
        <f>1-(14998/15063)</f>
        <v>4.3152094536280661E-3</v>
      </c>
    </row>
    <row r="84" spans="1:13">
      <c r="A84" t="s">
        <v>260</v>
      </c>
      <c r="B84" s="1" t="s">
        <v>261</v>
      </c>
      <c r="C84" t="s">
        <v>262</v>
      </c>
      <c r="D84" t="s">
        <v>232</v>
      </c>
      <c r="E84" s="83">
        <v>2050</v>
      </c>
      <c r="F84" s="83" t="s">
        <v>335</v>
      </c>
      <c r="G84" t="s">
        <v>339</v>
      </c>
      <c r="H84">
        <v>2020</v>
      </c>
      <c r="I84" s="84">
        <v>2019</v>
      </c>
      <c r="J84" s="88">
        <v>15063</v>
      </c>
      <c r="K84" t="s">
        <v>448</v>
      </c>
      <c r="L84">
        <v>2030</v>
      </c>
      <c r="M84" s="86">
        <f>1-(11493/15063)</f>
        <v>0.23700458076080466</v>
      </c>
    </row>
    <row r="85" spans="1:13">
      <c r="A85" t="s">
        <v>260</v>
      </c>
      <c r="B85" s="1" t="s">
        <v>261</v>
      </c>
      <c r="C85" t="s">
        <v>262</v>
      </c>
      <c r="D85" t="s">
        <v>232</v>
      </c>
      <c r="E85" s="83">
        <v>2050</v>
      </c>
      <c r="F85" s="83" t="s">
        <v>335</v>
      </c>
      <c r="G85" t="s">
        <v>339</v>
      </c>
      <c r="H85">
        <v>2020</v>
      </c>
      <c r="I85" s="84">
        <v>2019</v>
      </c>
      <c r="J85" s="88">
        <v>15063</v>
      </c>
      <c r="K85" t="s">
        <v>448</v>
      </c>
      <c r="L85">
        <v>2040</v>
      </c>
      <c r="M85" s="86">
        <f>1-(7819/15063)</f>
        <v>0.48091349664741423</v>
      </c>
    </row>
    <row r="86" spans="1:13">
      <c r="A86" t="s">
        <v>260</v>
      </c>
      <c r="B86" s="1" t="s">
        <v>261</v>
      </c>
      <c r="C86" t="s">
        <v>262</v>
      </c>
      <c r="D86" t="s">
        <v>232</v>
      </c>
      <c r="E86" s="83">
        <v>2050</v>
      </c>
      <c r="F86" s="83" t="s">
        <v>335</v>
      </c>
      <c r="G86" t="s">
        <v>339</v>
      </c>
      <c r="H86">
        <v>2020</v>
      </c>
      <c r="I86" s="84">
        <v>2019</v>
      </c>
      <c r="J86" s="88">
        <v>15063</v>
      </c>
      <c r="K86" t="s">
        <v>448</v>
      </c>
      <c r="L86">
        <v>2050</v>
      </c>
      <c r="M86" s="86">
        <f>1-(4331/15063)</f>
        <v>0.71247427471287261</v>
      </c>
    </row>
    <row r="87" spans="1:13">
      <c r="A87" t="s">
        <v>264</v>
      </c>
      <c r="B87" s="1" t="s">
        <v>265</v>
      </c>
      <c r="C87" t="s">
        <v>266</v>
      </c>
      <c r="D87" t="s">
        <v>54</v>
      </c>
      <c r="E87" s="83">
        <v>2050</v>
      </c>
      <c r="F87" s="83" t="s">
        <v>333</v>
      </c>
      <c r="G87" t="s">
        <v>334</v>
      </c>
      <c r="H87">
        <v>2020</v>
      </c>
      <c r="I87" s="84">
        <v>2007</v>
      </c>
      <c r="J87" s="88">
        <v>0.98420553538837796</v>
      </c>
      <c r="K87" t="s">
        <v>439</v>
      </c>
      <c r="L87">
        <v>2030</v>
      </c>
      <c r="M87" s="86">
        <v>0.5</v>
      </c>
    </row>
    <row r="88" spans="1:13">
      <c r="A88" t="s">
        <v>267</v>
      </c>
      <c r="B88" s="1" t="s">
        <v>268</v>
      </c>
      <c r="C88" t="s">
        <v>269</v>
      </c>
      <c r="D88" t="s">
        <v>54</v>
      </c>
      <c r="E88" s="83">
        <v>2050</v>
      </c>
      <c r="F88" s="83" t="s">
        <v>333</v>
      </c>
      <c r="G88" t="s">
        <v>334</v>
      </c>
      <c r="H88">
        <v>2021</v>
      </c>
      <c r="I88" s="84">
        <v>2018</v>
      </c>
      <c r="J88">
        <v>5.162928</v>
      </c>
      <c r="K88" t="s">
        <v>441</v>
      </c>
      <c r="L88">
        <v>2025</v>
      </c>
      <c r="M88" s="86">
        <v>0.2</v>
      </c>
    </row>
    <row r="89" spans="1:13">
      <c r="A89" t="s">
        <v>267</v>
      </c>
      <c r="B89" s="1" t="s">
        <v>268</v>
      </c>
      <c r="C89" t="s">
        <v>269</v>
      </c>
      <c r="D89" t="s">
        <v>54</v>
      </c>
      <c r="E89" s="83">
        <v>2050</v>
      </c>
      <c r="F89" s="83" t="s">
        <v>333</v>
      </c>
      <c r="G89" t="s">
        <v>334</v>
      </c>
      <c r="H89">
        <v>2021</v>
      </c>
      <c r="I89" s="84">
        <v>2018</v>
      </c>
      <c r="J89">
        <v>5.162928</v>
      </c>
      <c r="K89" t="s">
        <v>441</v>
      </c>
      <c r="L89">
        <v>2030</v>
      </c>
      <c r="M89" s="86">
        <v>0.3</v>
      </c>
    </row>
    <row r="90" spans="1:13">
      <c r="A90" t="s">
        <v>270</v>
      </c>
      <c r="B90" s="1" t="s">
        <v>271</v>
      </c>
      <c r="C90" t="s">
        <v>272</v>
      </c>
      <c r="D90" t="s">
        <v>169</v>
      </c>
      <c r="E90" s="83">
        <v>2050</v>
      </c>
      <c r="F90" s="83" t="s">
        <v>333</v>
      </c>
      <c r="G90" t="s">
        <v>334</v>
      </c>
      <c r="H90">
        <v>2020</v>
      </c>
      <c r="I90" s="84">
        <v>2019</v>
      </c>
      <c r="J90" s="88">
        <v>0.46760301224943002</v>
      </c>
      <c r="K90" t="s">
        <v>439</v>
      </c>
      <c r="L90">
        <v>2030</v>
      </c>
      <c r="M90" s="86">
        <v>0.3</v>
      </c>
    </row>
    <row r="91" spans="1:13">
      <c r="A91" t="s">
        <v>273</v>
      </c>
      <c r="B91" s="1" t="s">
        <v>274</v>
      </c>
      <c r="C91" t="s">
        <v>275</v>
      </c>
      <c r="D91" t="s">
        <v>276</v>
      </c>
      <c r="F91" s="83" t="s">
        <v>333</v>
      </c>
      <c r="G91" t="s">
        <v>334</v>
      </c>
      <c r="H91">
        <v>2021</v>
      </c>
      <c r="I91" s="84">
        <v>2018</v>
      </c>
      <c r="J91" s="88">
        <v>2.9</v>
      </c>
      <c r="K91" t="s">
        <v>441</v>
      </c>
      <c r="L91">
        <v>2030</v>
      </c>
      <c r="M91" s="86">
        <v>0.3</v>
      </c>
    </row>
    <row r="92" spans="1:13">
      <c r="A92" t="s">
        <v>277</v>
      </c>
      <c r="B92" s="1" t="s">
        <v>278</v>
      </c>
      <c r="C92" t="s">
        <v>279</v>
      </c>
      <c r="D92" t="s">
        <v>201</v>
      </c>
      <c r="E92" s="83">
        <v>2050</v>
      </c>
      <c r="F92" s="83" t="s">
        <v>333</v>
      </c>
      <c r="G92" t="s">
        <v>334</v>
      </c>
      <c r="H92">
        <v>2020</v>
      </c>
      <c r="I92" s="84">
        <v>2013</v>
      </c>
      <c r="J92" s="88">
        <v>0.75</v>
      </c>
      <c r="K92" t="s">
        <v>449</v>
      </c>
      <c r="L92">
        <v>2030</v>
      </c>
      <c r="M92" s="86">
        <v>0.5</v>
      </c>
    </row>
    <row r="93" spans="1:13">
      <c r="A93" t="s">
        <v>280</v>
      </c>
      <c r="B93" t="s">
        <v>281</v>
      </c>
      <c r="C93" t="s">
        <v>282</v>
      </c>
      <c r="D93" t="s">
        <v>276</v>
      </c>
      <c r="F93" s="83" t="s">
        <v>333</v>
      </c>
      <c r="G93" t="s">
        <v>334</v>
      </c>
      <c r="H93">
        <v>2021</v>
      </c>
      <c r="I93" s="84">
        <v>2018</v>
      </c>
      <c r="J93" s="88">
        <v>1.69</v>
      </c>
      <c r="K93" t="s">
        <v>441</v>
      </c>
      <c r="L93">
        <v>2030</v>
      </c>
      <c r="M93" s="86">
        <v>0.2</v>
      </c>
    </row>
    <row r="94" spans="1:13">
      <c r="A94" t="s">
        <v>283</v>
      </c>
      <c r="B94" s="1" t="s">
        <v>284</v>
      </c>
      <c r="C94" t="s">
        <v>285</v>
      </c>
      <c r="D94" t="s">
        <v>54</v>
      </c>
      <c r="E94" s="83">
        <v>2050</v>
      </c>
      <c r="F94" s="83" t="s">
        <v>333</v>
      </c>
      <c r="G94" t="s">
        <v>339</v>
      </c>
      <c r="H94">
        <v>2021</v>
      </c>
      <c r="I94" s="84">
        <v>2017</v>
      </c>
      <c r="J94" s="88">
        <f>(185000+403000)/(25200*1.6)</f>
        <v>14.583333333333334</v>
      </c>
      <c r="K94" t="s">
        <v>440</v>
      </c>
      <c r="L94">
        <v>2030</v>
      </c>
      <c r="M94" s="86">
        <v>0</v>
      </c>
    </row>
    <row r="95" spans="1:13">
      <c r="A95" t="s">
        <v>283</v>
      </c>
      <c r="B95" s="1" t="s">
        <v>284</v>
      </c>
      <c r="C95" t="s">
        <v>285</v>
      </c>
      <c r="D95" t="s">
        <v>54</v>
      </c>
      <c r="E95" s="83">
        <v>2050</v>
      </c>
      <c r="F95" s="83" t="s">
        <v>333</v>
      </c>
      <c r="G95" t="s">
        <v>334</v>
      </c>
      <c r="H95">
        <v>2021</v>
      </c>
      <c r="I95" s="84">
        <v>2017</v>
      </c>
      <c r="J95" s="88">
        <f>(185000+403000)/(25200*1.6)</f>
        <v>14.583333333333334</v>
      </c>
      <c r="K95" t="s">
        <v>440</v>
      </c>
      <c r="L95">
        <v>2030</v>
      </c>
      <c r="M95" s="86">
        <v>0</v>
      </c>
    </row>
    <row r="96" spans="1:13">
      <c r="A96" t="s">
        <v>286</v>
      </c>
      <c r="B96" s="1" t="s">
        <v>287</v>
      </c>
      <c r="C96" t="s">
        <v>288</v>
      </c>
      <c r="D96" t="s">
        <v>54</v>
      </c>
      <c r="F96" s="83" t="s">
        <v>333</v>
      </c>
      <c r="G96" t="s">
        <v>334</v>
      </c>
      <c r="H96">
        <v>2021</v>
      </c>
      <c r="I96" s="84">
        <v>2018</v>
      </c>
      <c r="J96" s="88">
        <v>0.42172199999999999</v>
      </c>
      <c r="K96" t="s">
        <v>441</v>
      </c>
      <c r="L96">
        <v>2030</v>
      </c>
      <c r="M96" s="86">
        <v>0.4</v>
      </c>
    </row>
    <row r="97" spans="1:13">
      <c r="A97" t="s">
        <v>289</v>
      </c>
      <c r="B97" s="1" t="s">
        <v>290</v>
      </c>
      <c r="C97" t="s">
        <v>291</v>
      </c>
      <c r="D97" t="s">
        <v>201</v>
      </c>
      <c r="E97" s="83">
        <v>2050</v>
      </c>
      <c r="F97" s="83" t="s">
        <v>333</v>
      </c>
      <c r="G97" t="s">
        <v>339</v>
      </c>
      <c r="H97">
        <v>2020</v>
      </c>
      <c r="I97" s="84">
        <v>2020</v>
      </c>
      <c r="J97" s="38">
        <v>130</v>
      </c>
      <c r="K97" t="s">
        <v>440</v>
      </c>
      <c r="L97">
        <v>2030</v>
      </c>
      <c r="M97" s="39">
        <v>0.2</v>
      </c>
    </row>
    <row r="98" spans="1:13">
      <c r="A98" t="s">
        <v>289</v>
      </c>
      <c r="B98" s="1" t="s">
        <v>290</v>
      </c>
      <c r="C98" t="s">
        <v>291</v>
      </c>
      <c r="D98" t="s">
        <v>201</v>
      </c>
      <c r="E98" s="83">
        <v>2050</v>
      </c>
      <c r="F98" s="83" t="s">
        <v>335</v>
      </c>
      <c r="G98" t="s">
        <v>334</v>
      </c>
      <c r="I98" s="84">
        <v>2020</v>
      </c>
      <c r="J98" s="38">
        <v>4.9000000000000004</v>
      </c>
      <c r="K98" t="s">
        <v>438</v>
      </c>
      <c r="L98">
        <v>2030</v>
      </c>
      <c r="M98" s="39">
        <v>0.2</v>
      </c>
    </row>
    <row r="99" spans="1:13">
      <c r="A99" t="s">
        <v>293</v>
      </c>
      <c r="B99" s="1" t="s">
        <v>294</v>
      </c>
      <c r="C99" t="s">
        <v>295</v>
      </c>
      <c r="D99" t="s">
        <v>54</v>
      </c>
      <c r="F99" s="83" t="s">
        <v>333</v>
      </c>
      <c r="G99" t="s">
        <v>334</v>
      </c>
      <c r="H99">
        <v>2020</v>
      </c>
      <c r="I99" s="84">
        <v>2018</v>
      </c>
      <c r="J99" s="88">
        <v>0.315911</v>
      </c>
      <c r="K99" t="s">
        <v>441</v>
      </c>
      <c r="L99">
        <v>2030</v>
      </c>
      <c r="M99" s="86">
        <v>0.2</v>
      </c>
    </row>
    <row r="100" spans="1:13">
      <c r="A100" t="s">
        <v>296</v>
      </c>
      <c r="B100" s="1" t="s">
        <v>297</v>
      </c>
      <c r="C100" t="s">
        <v>298</v>
      </c>
      <c r="D100" t="s">
        <v>299</v>
      </c>
      <c r="E100" s="83">
        <v>2050</v>
      </c>
      <c r="F100" s="83" t="s">
        <v>335</v>
      </c>
      <c r="G100" t="s">
        <v>338</v>
      </c>
      <c r="H100">
        <v>2021</v>
      </c>
      <c r="I100" s="84">
        <v>2015</v>
      </c>
      <c r="J100" s="88">
        <v>1.8</v>
      </c>
      <c r="K100" t="s">
        <v>438</v>
      </c>
      <c r="L100">
        <v>2030</v>
      </c>
      <c r="M100" s="86">
        <v>0.16</v>
      </c>
    </row>
    <row r="101" spans="1:13">
      <c r="A101" t="s">
        <v>296</v>
      </c>
      <c r="B101" s="1" t="s">
        <v>297</v>
      </c>
      <c r="C101" t="s">
        <v>298</v>
      </c>
      <c r="D101" t="s">
        <v>299</v>
      </c>
      <c r="E101" s="83">
        <v>2050</v>
      </c>
      <c r="F101" s="83" t="s">
        <v>335</v>
      </c>
      <c r="G101" t="s">
        <v>340</v>
      </c>
      <c r="H101">
        <v>2021</v>
      </c>
      <c r="I101" s="84">
        <v>2015</v>
      </c>
      <c r="J101" s="88">
        <v>3.7</v>
      </c>
      <c r="K101" t="s">
        <v>438</v>
      </c>
      <c r="L101">
        <v>2030</v>
      </c>
      <c r="M101" s="86">
        <f>3.7/3.5-1</f>
        <v>5.7142857142857162E-2</v>
      </c>
    </row>
    <row r="102" spans="1:13">
      <c r="A102" s="40" t="s">
        <v>300</v>
      </c>
      <c r="B102" s="40" t="s">
        <v>301</v>
      </c>
      <c r="C102" s="40" t="s">
        <v>302</v>
      </c>
      <c r="D102" t="s">
        <v>169</v>
      </c>
      <c r="E102" s="40">
        <v>2050</v>
      </c>
      <c r="F102" s="40" t="s">
        <v>335</v>
      </c>
      <c r="G102" s="40" t="s">
        <v>338</v>
      </c>
      <c r="H102" s="40">
        <v>2020</v>
      </c>
      <c r="I102" s="40">
        <v>2005</v>
      </c>
      <c r="J102" s="40">
        <v>11.6416389602593</v>
      </c>
      <c r="K102" s="40" t="s">
        <v>438</v>
      </c>
      <c r="L102" s="40">
        <v>2050</v>
      </c>
      <c r="M102" s="41">
        <v>1</v>
      </c>
    </row>
    <row r="103" spans="1:13">
      <c r="A103" t="s">
        <v>303</v>
      </c>
      <c r="B103" t="s">
        <v>304</v>
      </c>
      <c r="C103" t="s">
        <v>305</v>
      </c>
      <c r="D103" t="s">
        <v>54</v>
      </c>
      <c r="E103" s="83">
        <v>2050</v>
      </c>
      <c r="F103" s="83" t="s">
        <v>335</v>
      </c>
      <c r="G103" t="s">
        <v>334</v>
      </c>
      <c r="H103">
        <v>2020</v>
      </c>
      <c r="I103" s="84">
        <v>2010</v>
      </c>
      <c r="J103">
        <v>173</v>
      </c>
      <c r="K103" t="s">
        <v>438</v>
      </c>
      <c r="L103">
        <v>2030</v>
      </c>
      <c r="M103" s="86">
        <v>0.6</v>
      </c>
    </row>
    <row r="104" spans="1:13">
      <c r="A104" t="s">
        <v>306</v>
      </c>
      <c r="B104" s="1" t="s">
        <v>307</v>
      </c>
      <c r="C104" t="s">
        <v>308</v>
      </c>
      <c r="D104" t="s">
        <v>54</v>
      </c>
      <c r="E104" s="83">
        <v>2050</v>
      </c>
      <c r="F104" s="83" t="s">
        <v>333</v>
      </c>
      <c r="G104" t="s">
        <v>334</v>
      </c>
      <c r="H104">
        <v>2020</v>
      </c>
      <c r="I104" s="84">
        <v>2005</v>
      </c>
      <c r="J104">
        <v>0.78</v>
      </c>
      <c r="K104" t="s">
        <v>439</v>
      </c>
      <c r="L104">
        <v>2025</v>
      </c>
      <c r="M104" s="86">
        <v>0.6</v>
      </c>
    </row>
    <row r="105" spans="1:13">
      <c r="A105" t="s">
        <v>306</v>
      </c>
      <c r="B105" s="1" t="s">
        <v>307</v>
      </c>
      <c r="C105" t="s">
        <v>308</v>
      </c>
      <c r="D105" t="s">
        <v>54</v>
      </c>
      <c r="E105" s="83">
        <v>2050</v>
      </c>
      <c r="F105" s="83" t="s">
        <v>333</v>
      </c>
      <c r="G105" t="s">
        <v>334</v>
      </c>
      <c r="H105">
        <v>2020</v>
      </c>
      <c r="I105" s="84">
        <v>2005</v>
      </c>
      <c r="J105">
        <v>0.78</v>
      </c>
      <c r="K105" t="s">
        <v>439</v>
      </c>
      <c r="L105">
        <v>2030</v>
      </c>
      <c r="M105" s="86">
        <v>0.8</v>
      </c>
    </row>
    <row r="106" spans="1:13">
      <c r="A106" t="s">
        <v>309</v>
      </c>
      <c r="B106" t="s">
        <v>310</v>
      </c>
      <c r="C106" t="s">
        <v>311</v>
      </c>
      <c r="D106" t="s">
        <v>54</v>
      </c>
      <c r="E106" s="83">
        <v>2050</v>
      </c>
      <c r="F106" s="83" t="s">
        <v>333</v>
      </c>
      <c r="G106" t="s">
        <v>334</v>
      </c>
      <c r="H106">
        <v>2020</v>
      </c>
      <c r="I106" s="84">
        <v>2018</v>
      </c>
      <c r="J106" s="88">
        <v>0.315911</v>
      </c>
      <c r="K106" t="s">
        <v>441</v>
      </c>
      <c r="L106">
        <v>2030</v>
      </c>
      <c r="M106" s="86">
        <v>0.3</v>
      </c>
    </row>
    <row r="107" spans="1:13">
      <c r="A107" t="s">
        <v>312</v>
      </c>
      <c r="B107" s="1" t="s">
        <v>313</v>
      </c>
      <c r="C107" t="s">
        <v>314</v>
      </c>
      <c r="D107" t="s">
        <v>54</v>
      </c>
      <c r="E107" s="83">
        <v>2050</v>
      </c>
      <c r="F107" s="83" t="s">
        <v>333</v>
      </c>
      <c r="G107" t="s">
        <v>334</v>
      </c>
      <c r="H107">
        <v>2020</v>
      </c>
      <c r="I107" s="84">
        <v>2005</v>
      </c>
      <c r="J107" s="88">
        <v>0.88086205923584704</v>
      </c>
      <c r="K107" t="s">
        <v>439</v>
      </c>
      <c r="L107">
        <v>2030</v>
      </c>
      <c r="M107" s="86">
        <v>0.8</v>
      </c>
    </row>
    <row r="108" spans="1:13">
      <c r="A108" t="s">
        <v>315</v>
      </c>
      <c r="B108" s="1" t="s">
        <v>316</v>
      </c>
      <c r="C108" t="s">
        <v>317</v>
      </c>
      <c r="D108" t="s">
        <v>54</v>
      </c>
      <c r="E108" s="83">
        <v>2050</v>
      </c>
      <c r="F108" s="83" t="s">
        <v>335</v>
      </c>
      <c r="G108" t="s">
        <v>334</v>
      </c>
      <c r="H108">
        <v>2020</v>
      </c>
      <c r="I108" s="84">
        <v>2010</v>
      </c>
      <c r="J108">
        <v>357983</v>
      </c>
      <c r="K108" t="s">
        <v>437</v>
      </c>
      <c r="L108">
        <v>2030</v>
      </c>
      <c r="M108" s="86">
        <v>0.5</v>
      </c>
    </row>
    <row r="109" spans="1:13">
      <c r="A109" t="s">
        <v>319</v>
      </c>
      <c r="B109" s="1" t="s">
        <v>320</v>
      </c>
      <c r="C109" t="s">
        <v>321</v>
      </c>
      <c r="D109" t="s">
        <v>54</v>
      </c>
      <c r="E109" s="83">
        <v>2050</v>
      </c>
      <c r="F109" s="83" t="s">
        <v>335</v>
      </c>
      <c r="G109" t="s">
        <v>334</v>
      </c>
      <c r="H109">
        <v>2020</v>
      </c>
      <c r="I109" s="84">
        <v>2019</v>
      </c>
      <c r="J109">
        <v>87198</v>
      </c>
      <c r="K109" t="s">
        <v>437</v>
      </c>
      <c r="L109">
        <v>2035</v>
      </c>
      <c r="M109" s="86">
        <v>0.68</v>
      </c>
    </row>
    <row r="110" spans="1:13">
      <c r="A110" t="s">
        <v>319</v>
      </c>
      <c r="B110" s="1" t="s">
        <v>320</v>
      </c>
      <c r="C110" t="s">
        <v>321</v>
      </c>
      <c r="D110" t="s">
        <v>54</v>
      </c>
      <c r="E110" s="83">
        <v>2050</v>
      </c>
      <c r="F110" s="83" t="s">
        <v>333</v>
      </c>
      <c r="G110" t="s">
        <v>339</v>
      </c>
      <c r="H110">
        <v>2020</v>
      </c>
      <c r="I110" s="84">
        <v>2019</v>
      </c>
      <c r="J110">
        <f>0.01865*1000</f>
        <v>18.649999999999999</v>
      </c>
      <c r="K110" t="s">
        <v>450</v>
      </c>
      <c r="L110">
        <v>2035</v>
      </c>
      <c r="M110" s="86">
        <v>0.79</v>
      </c>
    </row>
  </sheetData>
  <pageMargins left="0.7" right="0.7" top="0.75" bottom="0.75" header="0.3" footer="0.511811023622047"/>
  <pageSetup orientation="portrait" horizontalDpi="300" verticalDpi="300"/>
  <headerFooter>
    <oddHeader>&amp;C&amp;1 Confidential#</oddHeader>
  </headerFooter>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60"/>
  <sheetViews>
    <sheetView zoomScale="150" zoomScaleNormal="150" workbookViewId="0">
      <selection activeCell="D58" sqref="D58"/>
    </sheetView>
  </sheetViews>
  <sheetFormatPr baseColWidth="10" defaultColWidth="8.6640625" defaultRowHeight="15"/>
  <cols>
    <col min="1" max="1" width="17.5" style="58" customWidth="1"/>
    <col min="2" max="2" width="22.6640625" style="50" customWidth="1"/>
    <col min="3" max="3" width="21.6640625" style="50" customWidth="1"/>
    <col min="4" max="4" width="44" customWidth="1"/>
    <col min="5" max="5" width="25.1640625" customWidth="1"/>
    <col min="6" max="6" width="26.6640625" customWidth="1"/>
    <col min="8" max="8" width="87.6640625" customWidth="1"/>
  </cols>
  <sheetData>
    <row r="1" spans="1:6" ht="16" customHeight="1">
      <c r="A1" s="42" t="s">
        <v>341</v>
      </c>
      <c r="B1" s="43" t="s">
        <v>342</v>
      </c>
      <c r="C1" s="43" t="s">
        <v>343</v>
      </c>
      <c r="D1" s="44" t="s">
        <v>344</v>
      </c>
      <c r="E1" s="45" t="s">
        <v>345</v>
      </c>
      <c r="F1" s="46" t="s">
        <v>346</v>
      </c>
    </row>
    <row r="2" spans="1:6" ht="16" customHeight="1">
      <c r="A2" s="47" t="s">
        <v>347</v>
      </c>
      <c r="B2" s="48" t="s">
        <v>0</v>
      </c>
      <c r="C2" s="49" t="s">
        <v>348</v>
      </c>
      <c r="D2" s="50" t="s">
        <v>349</v>
      </c>
      <c r="E2" t="s">
        <v>350</v>
      </c>
      <c r="F2" t="s">
        <v>351</v>
      </c>
    </row>
    <row r="3" spans="1:6" ht="16" customHeight="1">
      <c r="A3" s="47" t="s">
        <v>347</v>
      </c>
      <c r="B3" s="51" t="s">
        <v>1</v>
      </c>
      <c r="C3" s="49" t="s">
        <v>348</v>
      </c>
      <c r="D3" s="52" t="s">
        <v>352</v>
      </c>
      <c r="E3" s="53" t="s">
        <v>350</v>
      </c>
      <c r="F3" s="53" t="s">
        <v>353</v>
      </c>
    </row>
    <row r="4" spans="1:6" ht="32" customHeight="1">
      <c r="A4" s="47" t="s">
        <v>347</v>
      </c>
      <c r="B4" s="48" t="s">
        <v>2</v>
      </c>
      <c r="C4" s="49" t="s">
        <v>348</v>
      </c>
      <c r="D4" s="50" t="s">
        <v>354</v>
      </c>
      <c r="E4" t="s">
        <v>350</v>
      </c>
      <c r="F4" t="s">
        <v>351</v>
      </c>
    </row>
    <row r="5" spans="1:6" ht="32" customHeight="1">
      <c r="A5" s="47" t="s">
        <v>347</v>
      </c>
      <c r="B5" s="48" t="s">
        <v>3</v>
      </c>
      <c r="C5" s="49" t="s">
        <v>348</v>
      </c>
      <c r="D5" s="50" t="s">
        <v>355</v>
      </c>
      <c r="E5" t="s">
        <v>350</v>
      </c>
      <c r="F5" t="s">
        <v>351</v>
      </c>
    </row>
    <row r="6" spans="1:6" ht="48" customHeight="1">
      <c r="A6" s="47" t="s">
        <v>347</v>
      </c>
      <c r="B6" s="51" t="s">
        <v>4</v>
      </c>
      <c r="C6" s="49" t="s">
        <v>348</v>
      </c>
      <c r="D6" s="52" t="s">
        <v>356</v>
      </c>
      <c r="E6" s="53" t="s">
        <v>350</v>
      </c>
      <c r="F6" s="53" t="s">
        <v>353</v>
      </c>
    </row>
    <row r="7" spans="1:6" ht="32" customHeight="1">
      <c r="A7" s="47" t="s">
        <v>347</v>
      </c>
      <c r="B7" s="48" t="s">
        <v>5</v>
      </c>
      <c r="C7" s="49" t="s">
        <v>348</v>
      </c>
      <c r="D7" s="82" t="s">
        <v>357</v>
      </c>
      <c r="E7" s="54" t="s">
        <v>358</v>
      </c>
      <c r="F7" t="s">
        <v>351</v>
      </c>
    </row>
    <row r="8" spans="1:6" ht="16" customHeight="1">
      <c r="A8" s="47" t="s">
        <v>347</v>
      </c>
      <c r="B8" s="48" t="s">
        <v>6</v>
      </c>
      <c r="C8" s="49" t="s">
        <v>348</v>
      </c>
      <c r="D8" s="82" t="s">
        <v>359</v>
      </c>
      <c r="E8" t="s">
        <v>360</v>
      </c>
      <c r="F8" t="s">
        <v>351</v>
      </c>
    </row>
    <row r="9" spans="1:6" ht="32" customHeight="1">
      <c r="A9" s="47" t="s">
        <v>347</v>
      </c>
      <c r="B9" s="48" t="s">
        <v>7</v>
      </c>
      <c r="C9" s="49" t="s">
        <v>348</v>
      </c>
      <c r="D9" s="50" t="s">
        <v>361</v>
      </c>
      <c r="E9" t="s">
        <v>350</v>
      </c>
      <c r="F9" t="s">
        <v>351</v>
      </c>
    </row>
    <row r="10" spans="1:6" ht="16" customHeight="1">
      <c r="A10" s="47" t="s">
        <v>347</v>
      </c>
      <c r="B10" s="55" t="s">
        <v>8</v>
      </c>
      <c r="C10" s="49" t="s">
        <v>348</v>
      </c>
      <c r="D10" s="50" t="s">
        <v>362</v>
      </c>
      <c r="E10" t="s">
        <v>363</v>
      </c>
      <c r="F10" t="s">
        <v>351</v>
      </c>
    </row>
    <row r="11" spans="1:6" ht="16" customHeight="1">
      <c r="A11" s="47" t="s">
        <v>347</v>
      </c>
      <c r="B11" s="48" t="s">
        <v>9</v>
      </c>
      <c r="C11" s="49" t="s">
        <v>348</v>
      </c>
      <c r="D11" s="82" t="s">
        <v>364</v>
      </c>
      <c r="E11" t="s">
        <v>365</v>
      </c>
      <c r="F11" t="s">
        <v>351</v>
      </c>
    </row>
    <row r="12" spans="1:6" ht="16" customHeight="1">
      <c r="A12" s="47" t="s">
        <v>347</v>
      </c>
      <c r="B12" s="48" t="s">
        <v>10</v>
      </c>
      <c r="C12" s="49" t="s">
        <v>348</v>
      </c>
      <c r="D12" s="82" t="s">
        <v>366</v>
      </c>
      <c r="E12" t="s">
        <v>365</v>
      </c>
      <c r="F12" t="s">
        <v>351</v>
      </c>
    </row>
    <row r="13" spans="1:6" ht="16" customHeight="1">
      <c r="A13" s="47" t="s">
        <v>347</v>
      </c>
      <c r="B13" s="48" t="s">
        <v>11</v>
      </c>
      <c r="C13" s="49" t="s">
        <v>348</v>
      </c>
      <c r="D13" s="82" t="s">
        <v>367</v>
      </c>
      <c r="E13" t="s">
        <v>365</v>
      </c>
      <c r="F13" t="s">
        <v>351</v>
      </c>
    </row>
    <row r="14" spans="1:6" ht="16" customHeight="1">
      <c r="A14" s="47" t="s">
        <v>347</v>
      </c>
      <c r="B14" s="48" t="s">
        <v>12</v>
      </c>
      <c r="C14" s="49" t="s">
        <v>348</v>
      </c>
      <c r="D14" s="82" t="s">
        <v>368</v>
      </c>
      <c r="E14" t="s">
        <v>365</v>
      </c>
      <c r="F14" t="s">
        <v>351</v>
      </c>
    </row>
    <row r="15" spans="1:6" ht="32" customHeight="1">
      <c r="A15" s="47" t="s">
        <v>347</v>
      </c>
      <c r="B15" s="48" t="s">
        <v>13</v>
      </c>
      <c r="C15" s="49" t="s">
        <v>348</v>
      </c>
      <c r="D15" s="82" t="s">
        <v>369</v>
      </c>
      <c r="E15" t="s">
        <v>365</v>
      </c>
      <c r="F15" t="s">
        <v>351</v>
      </c>
    </row>
    <row r="16" spans="1:6" s="58" customFormat="1" ht="72.75" customHeight="1">
      <c r="A16" s="56" t="s">
        <v>370</v>
      </c>
      <c r="B16" s="48" t="s">
        <v>371</v>
      </c>
      <c r="C16" s="49" t="s">
        <v>348</v>
      </c>
      <c r="D16" s="50" t="s">
        <v>372</v>
      </c>
      <c r="E16" s="57" t="s">
        <v>373</v>
      </c>
      <c r="F16" s="58" t="s">
        <v>351</v>
      </c>
    </row>
    <row r="17" spans="1:6" s="58" customFormat="1" ht="72.75" customHeight="1">
      <c r="A17" s="56" t="s">
        <v>374</v>
      </c>
      <c r="B17" s="48" t="s">
        <v>15</v>
      </c>
      <c r="C17" s="49" t="s">
        <v>348</v>
      </c>
      <c r="D17" s="50" t="s">
        <v>375</v>
      </c>
      <c r="E17" s="57" t="s">
        <v>376</v>
      </c>
      <c r="F17" s="58" t="s">
        <v>351</v>
      </c>
    </row>
    <row r="18" spans="1:6" ht="32" customHeight="1">
      <c r="A18" s="59" t="s">
        <v>377</v>
      </c>
      <c r="B18" s="60" t="s">
        <v>16</v>
      </c>
      <c r="C18" s="49" t="s">
        <v>348</v>
      </c>
      <c r="D18" s="82" t="s">
        <v>378</v>
      </c>
      <c r="E18" t="s">
        <v>379</v>
      </c>
      <c r="F18" t="s">
        <v>351</v>
      </c>
    </row>
    <row r="19" spans="1:6" ht="32" customHeight="1">
      <c r="A19" s="59" t="s">
        <v>377</v>
      </c>
      <c r="B19" s="60" t="s">
        <v>17</v>
      </c>
      <c r="C19" s="49" t="s">
        <v>348</v>
      </c>
      <c r="D19" s="82" t="s">
        <v>378</v>
      </c>
      <c r="E19" t="s">
        <v>379</v>
      </c>
      <c r="F19" t="s">
        <v>351</v>
      </c>
    </row>
    <row r="20" spans="1:6" ht="32" customHeight="1">
      <c r="A20" s="59" t="s">
        <v>377</v>
      </c>
      <c r="B20" s="60" t="s">
        <v>18</v>
      </c>
      <c r="C20" s="49" t="s">
        <v>348</v>
      </c>
      <c r="D20" s="82" t="s">
        <v>378</v>
      </c>
      <c r="E20" t="s">
        <v>379</v>
      </c>
      <c r="F20" t="s">
        <v>351</v>
      </c>
    </row>
    <row r="21" spans="1:6" ht="32" customHeight="1">
      <c r="A21" s="59" t="s">
        <v>377</v>
      </c>
      <c r="B21" s="60" t="s">
        <v>19</v>
      </c>
      <c r="C21" s="49" t="s">
        <v>348</v>
      </c>
      <c r="D21" s="82" t="s">
        <v>378</v>
      </c>
      <c r="E21" t="s">
        <v>379</v>
      </c>
      <c r="F21" t="s">
        <v>351</v>
      </c>
    </row>
    <row r="22" spans="1:6" ht="32" customHeight="1">
      <c r="A22" s="59" t="s">
        <v>377</v>
      </c>
      <c r="B22" s="60" t="s">
        <v>20</v>
      </c>
      <c r="C22" s="49" t="s">
        <v>348</v>
      </c>
      <c r="D22" s="82" t="s">
        <v>378</v>
      </c>
      <c r="E22" t="s">
        <v>379</v>
      </c>
      <c r="F22" t="s">
        <v>351</v>
      </c>
    </row>
    <row r="23" spans="1:6" ht="32" customHeight="1">
      <c r="A23" s="59" t="s">
        <v>377</v>
      </c>
      <c r="B23" s="60" t="s">
        <v>21</v>
      </c>
      <c r="C23" s="49" t="s">
        <v>348</v>
      </c>
      <c r="D23" s="82" t="s">
        <v>380</v>
      </c>
      <c r="E23" t="s">
        <v>379</v>
      </c>
      <c r="F23" t="s">
        <v>353</v>
      </c>
    </row>
    <row r="24" spans="1:6" ht="48" customHeight="1">
      <c r="A24" s="59" t="s">
        <v>377</v>
      </c>
      <c r="B24" s="60" t="s">
        <v>22</v>
      </c>
      <c r="C24" s="49" t="s">
        <v>348</v>
      </c>
      <c r="D24" s="61" t="s">
        <v>381</v>
      </c>
      <c r="E24" s="62" t="s">
        <v>379</v>
      </c>
      <c r="F24" s="61" t="s">
        <v>382</v>
      </c>
    </row>
    <row r="25" spans="1:6" ht="32" customHeight="1">
      <c r="A25" s="59" t="s">
        <v>377</v>
      </c>
      <c r="B25" s="63" t="s">
        <v>23</v>
      </c>
      <c r="C25" s="49" t="s">
        <v>348</v>
      </c>
      <c r="D25" s="82" t="s">
        <v>383</v>
      </c>
      <c r="E25" t="s">
        <v>379</v>
      </c>
      <c r="F25" t="s">
        <v>351</v>
      </c>
    </row>
    <row r="26" spans="1:6" ht="32" customHeight="1">
      <c r="A26" s="59" t="s">
        <v>377</v>
      </c>
      <c r="B26" s="63" t="s">
        <v>24</v>
      </c>
      <c r="C26" s="49" t="s">
        <v>348</v>
      </c>
      <c r="D26" s="82" t="s">
        <v>383</v>
      </c>
      <c r="E26" t="s">
        <v>379</v>
      </c>
      <c r="F26" t="s">
        <v>351</v>
      </c>
    </row>
    <row r="27" spans="1:6" ht="32" customHeight="1">
      <c r="A27" s="59" t="s">
        <v>377</v>
      </c>
      <c r="B27" s="63" t="s">
        <v>25</v>
      </c>
      <c r="C27" s="49" t="s">
        <v>348</v>
      </c>
      <c r="D27" s="82" t="s">
        <v>383</v>
      </c>
      <c r="E27" t="s">
        <v>379</v>
      </c>
      <c r="F27" t="s">
        <v>351</v>
      </c>
    </row>
    <row r="28" spans="1:6" ht="32" customHeight="1">
      <c r="A28" s="59" t="s">
        <v>377</v>
      </c>
      <c r="B28" s="63" t="s">
        <v>26</v>
      </c>
      <c r="C28" s="49" t="s">
        <v>348</v>
      </c>
      <c r="D28" s="82" t="s">
        <v>383</v>
      </c>
      <c r="E28" t="s">
        <v>379</v>
      </c>
      <c r="F28" t="s">
        <v>351</v>
      </c>
    </row>
    <row r="29" spans="1:6" ht="32" customHeight="1">
      <c r="A29" s="59" t="s">
        <v>377</v>
      </c>
      <c r="B29" s="63" t="s">
        <v>27</v>
      </c>
      <c r="C29" s="49" t="s">
        <v>348</v>
      </c>
      <c r="D29" s="82" t="s">
        <v>383</v>
      </c>
      <c r="E29" t="s">
        <v>379</v>
      </c>
      <c r="F29" t="s">
        <v>351</v>
      </c>
    </row>
    <row r="30" spans="1:6" ht="32" customHeight="1">
      <c r="A30" s="59" t="s">
        <v>377</v>
      </c>
      <c r="B30" s="63" t="s">
        <v>28</v>
      </c>
      <c r="C30" s="49" t="s">
        <v>348</v>
      </c>
      <c r="D30" s="82" t="s">
        <v>384</v>
      </c>
      <c r="E30" t="s">
        <v>379</v>
      </c>
      <c r="F30" t="s">
        <v>353</v>
      </c>
    </row>
    <row r="31" spans="1:6" ht="48" customHeight="1">
      <c r="A31" s="59" t="s">
        <v>377</v>
      </c>
      <c r="B31" s="63" t="s">
        <v>29</v>
      </c>
      <c r="C31" s="49" t="s">
        <v>348</v>
      </c>
      <c r="D31" s="61" t="s">
        <v>385</v>
      </c>
      <c r="E31" s="62" t="s">
        <v>379</v>
      </c>
      <c r="F31" s="61" t="s">
        <v>382</v>
      </c>
    </row>
    <row r="32" spans="1:6" ht="32" customHeight="1">
      <c r="A32" s="59" t="s">
        <v>377</v>
      </c>
      <c r="B32" s="60" t="s">
        <v>30</v>
      </c>
      <c r="C32" s="49" t="s">
        <v>348</v>
      </c>
      <c r="D32" s="82" t="s">
        <v>386</v>
      </c>
      <c r="E32" t="s">
        <v>379</v>
      </c>
      <c r="F32" t="s">
        <v>351</v>
      </c>
    </row>
    <row r="33" spans="1:6" ht="32" customHeight="1">
      <c r="A33" s="59" t="s">
        <v>377</v>
      </c>
      <c r="B33" s="60" t="s">
        <v>31</v>
      </c>
      <c r="C33" s="49" t="s">
        <v>348</v>
      </c>
      <c r="D33" s="82" t="s">
        <v>386</v>
      </c>
      <c r="E33" t="s">
        <v>379</v>
      </c>
      <c r="F33" t="s">
        <v>351</v>
      </c>
    </row>
    <row r="34" spans="1:6" ht="32" customHeight="1">
      <c r="A34" s="59" t="s">
        <v>377</v>
      </c>
      <c r="B34" s="60" t="s">
        <v>32</v>
      </c>
      <c r="C34" s="49" t="s">
        <v>348</v>
      </c>
      <c r="D34" s="82" t="s">
        <v>386</v>
      </c>
      <c r="E34" t="s">
        <v>379</v>
      </c>
      <c r="F34" t="s">
        <v>351</v>
      </c>
    </row>
    <row r="35" spans="1:6" ht="32" customHeight="1">
      <c r="A35" s="59" t="s">
        <v>377</v>
      </c>
      <c r="B35" s="60" t="s">
        <v>33</v>
      </c>
      <c r="C35" s="49" t="s">
        <v>348</v>
      </c>
      <c r="D35" s="82" t="s">
        <v>386</v>
      </c>
      <c r="E35" t="s">
        <v>379</v>
      </c>
      <c r="F35" t="s">
        <v>351</v>
      </c>
    </row>
    <row r="36" spans="1:6" ht="32" customHeight="1">
      <c r="A36" s="59" t="s">
        <v>377</v>
      </c>
      <c r="B36" s="60" t="s">
        <v>34</v>
      </c>
      <c r="C36" s="49" t="s">
        <v>348</v>
      </c>
      <c r="D36" s="82" t="s">
        <v>386</v>
      </c>
      <c r="E36" t="s">
        <v>379</v>
      </c>
      <c r="F36" t="s">
        <v>351</v>
      </c>
    </row>
    <row r="37" spans="1:6" ht="32" customHeight="1">
      <c r="A37" s="59" t="s">
        <v>377</v>
      </c>
      <c r="B37" s="60" t="s">
        <v>35</v>
      </c>
      <c r="C37" s="49" t="s">
        <v>348</v>
      </c>
      <c r="D37" s="82" t="s">
        <v>387</v>
      </c>
      <c r="E37" t="s">
        <v>379</v>
      </c>
      <c r="F37" t="s">
        <v>353</v>
      </c>
    </row>
    <row r="38" spans="1:6" ht="48" customHeight="1">
      <c r="A38" s="59" t="s">
        <v>377</v>
      </c>
      <c r="B38" s="60" t="s">
        <v>36</v>
      </c>
      <c r="C38" s="49" t="s">
        <v>348</v>
      </c>
      <c r="D38" s="61" t="s">
        <v>388</v>
      </c>
      <c r="E38" s="62" t="s">
        <v>379</v>
      </c>
      <c r="F38" s="61" t="s">
        <v>382</v>
      </c>
    </row>
    <row r="39" spans="1:6" ht="32" customHeight="1">
      <c r="A39" s="59" t="s">
        <v>377</v>
      </c>
      <c r="B39" s="64" t="s">
        <v>37</v>
      </c>
      <c r="C39" s="49" t="s">
        <v>348</v>
      </c>
      <c r="D39" s="82" t="s">
        <v>389</v>
      </c>
      <c r="E39" t="s">
        <v>379</v>
      </c>
      <c r="F39" t="s">
        <v>351</v>
      </c>
    </row>
    <row r="40" spans="1:6" ht="32" customHeight="1">
      <c r="A40" s="59" t="s">
        <v>377</v>
      </c>
      <c r="B40" s="64" t="s">
        <v>38</v>
      </c>
      <c r="C40" s="49" t="s">
        <v>348</v>
      </c>
      <c r="D40" s="82" t="s">
        <v>389</v>
      </c>
      <c r="E40" t="s">
        <v>379</v>
      </c>
      <c r="F40" t="s">
        <v>351</v>
      </c>
    </row>
    <row r="41" spans="1:6" ht="32" customHeight="1">
      <c r="A41" s="59" t="s">
        <v>377</v>
      </c>
      <c r="B41" s="64" t="s">
        <v>39</v>
      </c>
      <c r="C41" s="49" t="s">
        <v>348</v>
      </c>
      <c r="D41" s="82" t="s">
        <v>389</v>
      </c>
      <c r="E41" t="s">
        <v>379</v>
      </c>
      <c r="F41" t="s">
        <v>351</v>
      </c>
    </row>
    <row r="42" spans="1:6" ht="32" customHeight="1">
      <c r="A42" s="59" t="s">
        <v>377</v>
      </c>
      <c r="B42" s="64" t="s">
        <v>40</v>
      </c>
      <c r="C42" s="49" t="s">
        <v>348</v>
      </c>
      <c r="D42" s="82" t="s">
        <v>389</v>
      </c>
      <c r="E42" t="s">
        <v>379</v>
      </c>
      <c r="F42" t="s">
        <v>351</v>
      </c>
    </row>
    <row r="43" spans="1:6" ht="32" customHeight="1">
      <c r="A43" s="59" t="s">
        <v>377</v>
      </c>
      <c r="B43" s="64" t="s">
        <v>41</v>
      </c>
      <c r="C43" s="49" t="s">
        <v>348</v>
      </c>
      <c r="D43" s="82" t="s">
        <v>389</v>
      </c>
      <c r="E43" t="s">
        <v>379</v>
      </c>
      <c r="F43" t="s">
        <v>351</v>
      </c>
    </row>
    <row r="44" spans="1:6" ht="32" customHeight="1">
      <c r="A44" s="59" t="s">
        <v>377</v>
      </c>
      <c r="B44" s="64" t="s">
        <v>42</v>
      </c>
      <c r="C44" s="49" t="s">
        <v>348</v>
      </c>
      <c r="D44" s="82" t="s">
        <v>390</v>
      </c>
      <c r="E44" t="s">
        <v>379</v>
      </c>
      <c r="F44" t="s">
        <v>353</v>
      </c>
    </row>
    <row r="45" spans="1:6" ht="48" customHeight="1">
      <c r="A45" s="59" t="s">
        <v>377</v>
      </c>
      <c r="B45" s="64" t="s">
        <v>43</v>
      </c>
      <c r="C45" s="49" t="s">
        <v>348</v>
      </c>
      <c r="D45" s="61" t="s">
        <v>391</v>
      </c>
      <c r="E45" s="62" t="s">
        <v>379</v>
      </c>
      <c r="F45" s="61" t="s">
        <v>382</v>
      </c>
    </row>
    <row r="46" spans="1:6" ht="32" customHeight="1">
      <c r="A46" s="65" t="s">
        <v>392</v>
      </c>
      <c r="B46" s="48" t="s">
        <v>44</v>
      </c>
      <c r="C46" s="49" t="s">
        <v>348</v>
      </c>
      <c r="D46" s="82" t="s">
        <v>393</v>
      </c>
      <c r="E46" t="s">
        <v>379</v>
      </c>
      <c r="F46" t="s">
        <v>351</v>
      </c>
    </row>
    <row r="47" spans="1:6" ht="32" customHeight="1">
      <c r="A47" s="65" t="s">
        <v>392</v>
      </c>
      <c r="B47" s="48" t="s">
        <v>45</v>
      </c>
      <c r="C47" s="49" t="s">
        <v>348</v>
      </c>
      <c r="D47" s="82" t="s">
        <v>393</v>
      </c>
      <c r="E47" t="s">
        <v>379</v>
      </c>
      <c r="F47" t="s">
        <v>351</v>
      </c>
    </row>
    <row r="48" spans="1:6" ht="32" customHeight="1">
      <c r="A48" s="65" t="s">
        <v>392</v>
      </c>
      <c r="B48" s="48" t="s">
        <v>46</v>
      </c>
      <c r="C48" s="49" t="s">
        <v>348</v>
      </c>
      <c r="D48" s="82" t="s">
        <v>393</v>
      </c>
      <c r="E48" t="s">
        <v>379</v>
      </c>
      <c r="F48" t="s">
        <v>351</v>
      </c>
    </row>
    <row r="49" spans="1:6" ht="32" customHeight="1">
      <c r="A49" s="65" t="s">
        <v>392</v>
      </c>
      <c r="B49" s="48" t="s">
        <v>47</v>
      </c>
      <c r="C49" s="49" t="s">
        <v>348</v>
      </c>
      <c r="D49" s="82" t="s">
        <v>393</v>
      </c>
      <c r="E49" t="s">
        <v>379</v>
      </c>
      <c r="F49" t="s">
        <v>351</v>
      </c>
    </row>
    <row r="50" spans="1:6" ht="32" customHeight="1">
      <c r="A50" s="65" t="s">
        <v>392</v>
      </c>
      <c r="B50" s="48" t="s">
        <v>48</v>
      </c>
      <c r="C50" s="49" t="s">
        <v>348</v>
      </c>
      <c r="D50" s="82" t="s">
        <v>393</v>
      </c>
      <c r="E50" t="s">
        <v>379</v>
      </c>
      <c r="F50" t="s">
        <v>351</v>
      </c>
    </row>
    <row r="51" spans="1:6" ht="32" customHeight="1">
      <c r="A51" s="65" t="s">
        <v>392</v>
      </c>
      <c r="B51" s="48" t="s">
        <v>49</v>
      </c>
      <c r="C51" s="49" t="s">
        <v>348</v>
      </c>
      <c r="D51" s="82" t="s">
        <v>393</v>
      </c>
      <c r="E51" t="s">
        <v>379</v>
      </c>
      <c r="F51" t="s">
        <v>353</v>
      </c>
    </row>
    <row r="52" spans="1:6" ht="32" customHeight="1">
      <c r="A52" s="66" t="s">
        <v>394</v>
      </c>
      <c r="B52" s="48" t="s">
        <v>325</v>
      </c>
      <c r="C52" s="49" t="s">
        <v>395</v>
      </c>
      <c r="D52" s="82" t="s">
        <v>396</v>
      </c>
      <c r="E52" t="s">
        <v>397</v>
      </c>
      <c r="F52" t="s">
        <v>351</v>
      </c>
    </row>
    <row r="53" spans="1:6" ht="48" customHeight="1">
      <c r="A53" s="66" t="s">
        <v>394</v>
      </c>
      <c r="B53" s="48" t="s">
        <v>326</v>
      </c>
      <c r="C53" s="49" t="s">
        <v>395</v>
      </c>
      <c r="D53" s="82" t="s">
        <v>398</v>
      </c>
      <c r="E53" t="s">
        <v>399</v>
      </c>
      <c r="F53" t="s">
        <v>351</v>
      </c>
    </row>
    <row r="54" spans="1:6" ht="16" customHeight="1">
      <c r="A54" s="66" t="s">
        <v>394</v>
      </c>
      <c r="B54" s="51" t="s">
        <v>327</v>
      </c>
      <c r="C54" s="49" t="s">
        <v>395</v>
      </c>
      <c r="D54" s="67" t="s">
        <v>400</v>
      </c>
      <c r="E54" s="53" t="s">
        <v>401</v>
      </c>
      <c r="F54" s="53" t="s">
        <v>353</v>
      </c>
    </row>
    <row r="55" spans="1:6" ht="16" customHeight="1">
      <c r="A55" s="66" t="s">
        <v>394</v>
      </c>
      <c r="B55" s="48" t="s">
        <v>328</v>
      </c>
      <c r="C55" s="49" t="s">
        <v>395</v>
      </c>
      <c r="D55" s="82" t="s">
        <v>402</v>
      </c>
      <c r="E55" t="s">
        <v>401</v>
      </c>
      <c r="F55" t="s">
        <v>351</v>
      </c>
    </row>
    <row r="56" spans="1:6" ht="80" customHeight="1">
      <c r="A56" s="66" t="s">
        <v>394</v>
      </c>
      <c r="B56" s="48" t="s">
        <v>329</v>
      </c>
      <c r="C56" s="49" t="s">
        <v>395</v>
      </c>
      <c r="D56" s="82" t="s">
        <v>403</v>
      </c>
      <c r="E56" t="s">
        <v>404</v>
      </c>
      <c r="F56" t="s">
        <v>351</v>
      </c>
    </row>
    <row r="57" spans="1:6" ht="112" customHeight="1">
      <c r="A57" s="66" t="s">
        <v>394</v>
      </c>
      <c r="B57" s="48" t="s">
        <v>330</v>
      </c>
      <c r="C57" s="49" t="s">
        <v>395</v>
      </c>
      <c r="D57" s="50" t="s">
        <v>405</v>
      </c>
      <c r="E57" s="68" t="s">
        <v>406</v>
      </c>
      <c r="F57" t="s">
        <v>351</v>
      </c>
    </row>
    <row r="58" spans="1:6" ht="16" customHeight="1">
      <c r="A58" s="66" t="s">
        <v>394</v>
      </c>
      <c r="B58" s="48" t="s">
        <v>331</v>
      </c>
      <c r="C58" s="49" t="s">
        <v>395</v>
      </c>
      <c r="D58" s="82" t="s">
        <v>407</v>
      </c>
      <c r="E58" t="s">
        <v>401</v>
      </c>
      <c r="F58" t="s">
        <v>351</v>
      </c>
    </row>
    <row r="59" spans="1:6" ht="32" customHeight="1">
      <c r="A59" s="66" t="s">
        <v>394</v>
      </c>
      <c r="B59" s="48" t="s">
        <v>332</v>
      </c>
      <c r="C59" s="49" t="s">
        <v>395</v>
      </c>
      <c r="D59" s="82" t="s">
        <v>408</v>
      </c>
      <c r="E59" t="s">
        <v>409</v>
      </c>
      <c r="F59" t="s">
        <v>351</v>
      </c>
    </row>
    <row r="60" spans="1:6" ht="48" customHeight="1">
      <c r="A60" s="69" t="s">
        <v>410</v>
      </c>
      <c r="B60" s="48" t="s">
        <v>411</v>
      </c>
      <c r="C60" s="49" t="s">
        <v>395</v>
      </c>
      <c r="D60" s="82" t="s">
        <v>412</v>
      </c>
      <c r="E60" t="s">
        <v>401</v>
      </c>
      <c r="F60" t="s">
        <v>351</v>
      </c>
    </row>
  </sheetData>
  <pageMargins left="0.7" right="0.7" top="0.75" bottom="0.75" header="0.3" footer="0.511811023622047"/>
  <pageSetup orientation="portrait" horizontalDpi="300" verticalDpi="300"/>
  <headerFooter>
    <oddHeader>&amp;C&amp;1 Confidential#</oddHead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77"/>
  <sheetViews>
    <sheetView topLeftCell="A39" zoomScale="150" zoomScaleNormal="150" workbookViewId="0">
      <selection activeCell="E77" sqref="E77"/>
    </sheetView>
  </sheetViews>
  <sheetFormatPr baseColWidth="10" defaultColWidth="11.5" defaultRowHeight="15"/>
  <cols>
    <col min="1" max="1" width="40.6640625" customWidth="1"/>
    <col min="2" max="2" width="22.6640625" customWidth="1"/>
    <col min="3" max="4" width="13.6640625" customWidth="1"/>
  </cols>
  <sheetData>
    <row r="1" spans="1:5">
      <c r="A1" s="4" t="s">
        <v>0</v>
      </c>
      <c r="B1" s="4" t="s">
        <v>1</v>
      </c>
      <c r="C1" s="4" t="s">
        <v>2</v>
      </c>
      <c r="D1" s="4" t="s">
        <v>413</v>
      </c>
      <c r="E1" s="4" t="s">
        <v>414</v>
      </c>
    </row>
    <row r="2" spans="1:5">
      <c r="A2" t="s">
        <v>51</v>
      </c>
      <c r="B2" s="1" t="s">
        <v>52</v>
      </c>
      <c r="C2" t="s">
        <v>53</v>
      </c>
      <c r="D2" t="s">
        <v>53</v>
      </c>
      <c r="E2">
        <f t="shared" ref="E2:E33" ca="1" si="0">RANDBETWEEN(50000,250000)*RANDBETWEEN(600,1200)</f>
        <v>214773416</v>
      </c>
    </row>
    <row r="3" spans="1:5">
      <c r="A3" t="s">
        <v>60</v>
      </c>
      <c r="B3" s="1" t="s">
        <v>61</v>
      </c>
      <c r="C3" t="s">
        <v>62</v>
      </c>
      <c r="D3" t="s">
        <v>62</v>
      </c>
      <c r="E3">
        <f t="shared" ca="1" si="0"/>
        <v>181448040</v>
      </c>
    </row>
    <row r="4" spans="1:5">
      <c r="A4" t="s">
        <v>66</v>
      </c>
      <c r="B4" s="1" t="s">
        <v>67</v>
      </c>
      <c r="C4" t="s">
        <v>68</v>
      </c>
      <c r="D4" t="s">
        <v>68</v>
      </c>
      <c r="E4">
        <f t="shared" ca="1" si="0"/>
        <v>71428560</v>
      </c>
    </row>
    <row r="5" spans="1:5">
      <c r="A5" t="s">
        <v>69</v>
      </c>
      <c r="B5" s="1" t="s">
        <v>70</v>
      </c>
      <c r="C5" t="s">
        <v>71</v>
      </c>
      <c r="D5" t="s">
        <v>71</v>
      </c>
      <c r="E5">
        <f t="shared" ca="1" si="0"/>
        <v>117569794</v>
      </c>
    </row>
    <row r="6" spans="1:5">
      <c r="A6" t="s">
        <v>72</v>
      </c>
      <c r="B6" s="1" t="s">
        <v>73</v>
      </c>
      <c r="C6" t="s">
        <v>74</v>
      </c>
      <c r="D6" t="s">
        <v>74</v>
      </c>
      <c r="E6">
        <f t="shared" ca="1" si="0"/>
        <v>111539475</v>
      </c>
    </row>
    <row r="7" spans="1:5">
      <c r="A7" t="s">
        <v>75</v>
      </c>
      <c r="B7" s="1" t="s">
        <v>76</v>
      </c>
      <c r="C7" t="s">
        <v>77</v>
      </c>
      <c r="D7" t="s">
        <v>415</v>
      </c>
      <c r="E7">
        <f t="shared" ca="1" si="0"/>
        <v>53781268</v>
      </c>
    </row>
    <row r="8" spans="1:5">
      <c r="A8" t="s">
        <v>78</v>
      </c>
      <c r="B8" s="1" t="s">
        <v>76</v>
      </c>
      <c r="C8" t="s">
        <v>79</v>
      </c>
      <c r="D8" t="s">
        <v>415</v>
      </c>
      <c r="E8">
        <f t="shared" ca="1" si="0"/>
        <v>84412300</v>
      </c>
    </row>
    <row r="9" spans="1:5">
      <c r="A9" t="s">
        <v>81</v>
      </c>
      <c r="B9" s="1" t="s">
        <v>82</v>
      </c>
      <c r="C9" t="s">
        <v>83</v>
      </c>
      <c r="D9" t="s">
        <v>83</v>
      </c>
      <c r="E9">
        <f t="shared" ca="1" si="0"/>
        <v>150935750</v>
      </c>
    </row>
    <row r="10" spans="1:5">
      <c r="A10" t="s">
        <v>85</v>
      </c>
      <c r="B10" s="1" t="s">
        <v>86</v>
      </c>
      <c r="C10" t="s">
        <v>87</v>
      </c>
      <c r="D10" t="s">
        <v>87</v>
      </c>
      <c r="E10">
        <f t="shared" ca="1" si="0"/>
        <v>134773100</v>
      </c>
    </row>
    <row r="11" spans="1:5">
      <c r="A11" t="s">
        <v>91</v>
      </c>
      <c r="B11" s="1" t="s">
        <v>92</v>
      </c>
      <c r="C11" t="s">
        <v>93</v>
      </c>
      <c r="D11" t="s">
        <v>93</v>
      </c>
      <c r="E11">
        <f t="shared" ca="1" si="0"/>
        <v>81165952</v>
      </c>
    </row>
    <row r="12" spans="1:5">
      <c r="A12" t="s">
        <v>98</v>
      </c>
      <c r="B12" s="1" t="s">
        <v>99</v>
      </c>
      <c r="C12" t="s">
        <v>100</v>
      </c>
      <c r="D12" t="s">
        <v>100</v>
      </c>
      <c r="E12">
        <f t="shared" ca="1" si="0"/>
        <v>145745582</v>
      </c>
    </row>
    <row r="13" spans="1:5">
      <c r="A13" t="s">
        <v>103</v>
      </c>
      <c r="B13" s="1" t="s">
        <v>104</v>
      </c>
      <c r="C13" t="s">
        <v>105</v>
      </c>
      <c r="D13" t="s">
        <v>105</v>
      </c>
      <c r="E13">
        <f t="shared" ca="1" si="0"/>
        <v>237588897</v>
      </c>
    </row>
    <row r="14" spans="1:5">
      <c r="A14" t="s">
        <v>106</v>
      </c>
      <c r="B14" s="1" t="s">
        <v>107</v>
      </c>
      <c r="C14" t="s">
        <v>108</v>
      </c>
      <c r="D14" t="s">
        <v>108</v>
      </c>
      <c r="E14">
        <f t="shared" ca="1" si="0"/>
        <v>151329360</v>
      </c>
    </row>
    <row r="15" spans="1:5">
      <c r="A15" t="s">
        <v>109</v>
      </c>
      <c r="B15" s="1" t="s">
        <v>110</v>
      </c>
      <c r="C15" t="s">
        <v>111</v>
      </c>
      <c r="D15" t="s">
        <v>111</v>
      </c>
      <c r="E15">
        <f t="shared" ca="1" si="0"/>
        <v>213215343</v>
      </c>
    </row>
    <row r="16" spans="1:5">
      <c r="A16" t="s">
        <v>112</v>
      </c>
      <c r="B16" s="1" t="s">
        <v>113</v>
      </c>
      <c r="C16" t="s">
        <v>114</v>
      </c>
      <c r="D16" t="s">
        <v>114</v>
      </c>
      <c r="E16">
        <f t="shared" ca="1" si="0"/>
        <v>157737645</v>
      </c>
    </row>
    <row r="17" spans="1:5">
      <c r="A17" t="s">
        <v>115</v>
      </c>
      <c r="B17" s="1" t="s">
        <v>116</v>
      </c>
      <c r="C17" t="s">
        <v>117</v>
      </c>
      <c r="D17" t="s">
        <v>117</v>
      </c>
      <c r="E17">
        <f t="shared" ca="1" si="0"/>
        <v>104526692</v>
      </c>
    </row>
    <row r="18" spans="1:5">
      <c r="A18" t="s">
        <v>118</v>
      </c>
      <c r="B18" s="1" t="s">
        <v>119</v>
      </c>
      <c r="C18" t="s">
        <v>120</v>
      </c>
      <c r="D18" t="s">
        <v>120</v>
      </c>
      <c r="E18">
        <f t="shared" ca="1" si="0"/>
        <v>139210929</v>
      </c>
    </row>
    <row r="19" spans="1:5">
      <c r="A19" t="s">
        <v>121</v>
      </c>
      <c r="B19" s="1" t="s">
        <v>122</v>
      </c>
      <c r="C19" t="s">
        <v>123</v>
      </c>
      <c r="D19" t="s">
        <v>123</v>
      </c>
      <c r="E19">
        <f t="shared" ca="1" si="0"/>
        <v>68530541</v>
      </c>
    </row>
    <row r="20" spans="1:5">
      <c r="A20" t="s">
        <v>124</v>
      </c>
      <c r="B20" s="1" t="s">
        <v>125</v>
      </c>
      <c r="C20" t="s">
        <v>126</v>
      </c>
      <c r="D20" t="s">
        <v>126</v>
      </c>
      <c r="E20">
        <f t="shared" ca="1" si="0"/>
        <v>71957448</v>
      </c>
    </row>
    <row r="21" spans="1:5">
      <c r="A21" t="s">
        <v>127</v>
      </c>
      <c r="B21" s="1" t="s">
        <v>128</v>
      </c>
      <c r="C21" t="s">
        <v>129</v>
      </c>
      <c r="D21" t="s">
        <v>129</v>
      </c>
      <c r="E21">
        <f t="shared" ca="1" si="0"/>
        <v>116403003</v>
      </c>
    </row>
    <row r="22" spans="1:5">
      <c r="A22" t="s">
        <v>130</v>
      </c>
      <c r="B22" s="1" t="s">
        <v>131</v>
      </c>
      <c r="C22" t="s">
        <v>132</v>
      </c>
      <c r="D22" t="s">
        <v>132</v>
      </c>
      <c r="E22">
        <f t="shared" ca="1" si="0"/>
        <v>257337938</v>
      </c>
    </row>
    <row r="23" spans="1:5">
      <c r="A23" t="s">
        <v>134</v>
      </c>
      <c r="B23" s="1" t="s">
        <v>135</v>
      </c>
      <c r="C23" t="s">
        <v>136</v>
      </c>
      <c r="D23" t="s">
        <v>136</v>
      </c>
      <c r="E23">
        <f t="shared" ca="1" si="0"/>
        <v>83565312</v>
      </c>
    </row>
    <row r="24" spans="1:5">
      <c r="A24" t="s">
        <v>137</v>
      </c>
      <c r="B24" s="1" t="s">
        <v>138</v>
      </c>
      <c r="C24" t="s">
        <v>139</v>
      </c>
      <c r="D24" t="s">
        <v>139</v>
      </c>
      <c r="E24">
        <f t="shared" ca="1" si="0"/>
        <v>97831608</v>
      </c>
    </row>
    <row r="25" spans="1:5">
      <c r="A25" t="s">
        <v>143</v>
      </c>
      <c r="B25" s="1" t="s">
        <v>144</v>
      </c>
      <c r="C25" t="s">
        <v>145</v>
      </c>
      <c r="D25" t="s">
        <v>145</v>
      </c>
      <c r="E25">
        <f t="shared" ca="1" si="0"/>
        <v>182844158</v>
      </c>
    </row>
    <row r="26" spans="1:5">
      <c r="A26" t="s">
        <v>146</v>
      </c>
      <c r="B26" s="1" t="s">
        <v>147</v>
      </c>
      <c r="C26" t="s">
        <v>148</v>
      </c>
      <c r="D26" t="s">
        <v>148</v>
      </c>
      <c r="E26">
        <f t="shared" ca="1" si="0"/>
        <v>142826838</v>
      </c>
    </row>
    <row r="27" spans="1:5">
      <c r="A27" t="s">
        <v>149</v>
      </c>
      <c r="B27" s="1" t="s">
        <v>150</v>
      </c>
      <c r="C27" t="s">
        <v>151</v>
      </c>
      <c r="D27" t="s">
        <v>151</v>
      </c>
      <c r="E27">
        <f t="shared" ca="1" si="0"/>
        <v>184974760</v>
      </c>
    </row>
    <row r="28" spans="1:5">
      <c r="A28" t="s">
        <v>152</v>
      </c>
      <c r="B28" s="1" t="s">
        <v>153</v>
      </c>
      <c r="C28" t="s">
        <v>154</v>
      </c>
      <c r="D28" t="s">
        <v>154</v>
      </c>
      <c r="E28">
        <f t="shared" ca="1" si="0"/>
        <v>171511230</v>
      </c>
    </row>
    <row r="29" spans="1:5">
      <c r="A29" t="s">
        <v>155</v>
      </c>
      <c r="B29" s="1" t="s">
        <v>156</v>
      </c>
      <c r="C29" t="s">
        <v>157</v>
      </c>
      <c r="D29" t="s">
        <v>157</v>
      </c>
      <c r="E29">
        <f t="shared" ca="1" si="0"/>
        <v>187365165</v>
      </c>
    </row>
    <row r="30" spans="1:5">
      <c r="A30" t="s">
        <v>159</v>
      </c>
      <c r="B30" s="1" t="s">
        <v>160</v>
      </c>
      <c r="C30" t="s">
        <v>161</v>
      </c>
      <c r="D30" t="s">
        <v>161</v>
      </c>
      <c r="E30">
        <f t="shared" ca="1" si="0"/>
        <v>108576174</v>
      </c>
    </row>
    <row r="31" spans="1:5">
      <c r="A31" t="s">
        <v>162</v>
      </c>
      <c r="B31" s="1" t="s">
        <v>163</v>
      </c>
      <c r="C31" t="s">
        <v>164</v>
      </c>
      <c r="D31" t="s">
        <v>164</v>
      </c>
      <c r="E31">
        <f t="shared" ca="1" si="0"/>
        <v>79142650</v>
      </c>
    </row>
    <row r="32" spans="1:5">
      <c r="A32" t="s">
        <v>166</v>
      </c>
      <c r="B32" s="1" t="s">
        <v>167</v>
      </c>
      <c r="C32" t="s">
        <v>168</v>
      </c>
      <c r="D32" t="s">
        <v>168</v>
      </c>
      <c r="E32">
        <f t="shared" ca="1" si="0"/>
        <v>101499200</v>
      </c>
    </row>
    <row r="33" spans="1:5">
      <c r="A33" t="s">
        <v>170</v>
      </c>
      <c r="B33" s="1" t="s">
        <v>171</v>
      </c>
      <c r="C33" t="s">
        <v>172</v>
      </c>
      <c r="D33" t="s">
        <v>172</v>
      </c>
      <c r="E33">
        <f t="shared" ca="1" si="0"/>
        <v>182797020</v>
      </c>
    </row>
    <row r="34" spans="1:5">
      <c r="A34" t="s">
        <v>174</v>
      </c>
      <c r="B34" s="1" t="s">
        <v>175</v>
      </c>
      <c r="C34" t="s">
        <v>176</v>
      </c>
      <c r="D34" t="s">
        <v>176</v>
      </c>
      <c r="E34">
        <f t="shared" ref="E34:E65" ca="1" si="1">RANDBETWEEN(50000,250000)*RANDBETWEEN(600,1200)</f>
        <v>110499252</v>
      </c>
    </row>
    <row r="35" spans="1:5">
      <c r="A35" t="s">
        <v>178</v>
      </c>
      <c r="B35" s="1" t="s">
        <v>179</v>
      </c>
      <c r="C35" t="s">
        <v>180</v>
      </c>
      <c r="D35" t="s">
        <v>180</v>
      </c>
      <c r="E35">
        <f t="shared" ca="1" si="1"/>
        <v>134784594</v>
      </c>
    </row>
    <row r="36" spans="1:5">
      <c r="A36" t="s">
        <v>181</v>
      </c>
      <c r="B36" s="1" t="s">
        <v>182</v>
      </c>
      <c r="C36" t="s">
        <v>183</v>
      </c>
      <c r="D36" t="s">
        <v>183</v>
      </c>
      <c r="E36">
        <f t="shared" ca="1" si="1"/>
        <v>120433287</v>
      </c>
    </row>
    <row r="37" spans="1:5">
      <c r="A37" t="s">
        <v>185</v>
      </c>
      <c r="B37" s="1" t="s">
        <v>186</v>
      </c>
      <c r="C37" t="s">
        <v>187</v>
      </c>
      <c r="D37" t="s">
        <v>187</v>
      </c>
      <c r="E37">
        <f t="shared" ca="1" si="1"/>
        <v>63694991</v>
      </c>
    </row>
    <row r="38" spans="1:5">
      <c r="A38" t="s">
        <v>189</v>
      </c>
      <c r="B38" s="1" t="s">
        <v>190</v>
      </c>
      <c r="C38" t="s">
        <v>191</v>
      </c>
      <c r="D38" t="s">
        <v>191</v>
      </c>
      <c r="E38">
        <f t="shared" ca="1" si="1"/>
        <v>156065148</v>
      </c>
    </row>
    <row r="39" spans="1:5">
      <c r="A39" t="s">
        <v>209</v>
      </c>
      <c r="B39" s="1" t="s">
        <v>210</v>
      </c>
      <c r="C39" t="s">
        <v>211</v>
      </c>
      <c r="D39" t="s">
        <v>211</v>
      </c>
      <c r="E39">
        <f t="shared" ca="1" si="1"/>
        <v>51949491</v>
      </c>
    </row>
    <row r="40" spans="1:5">
      <c r="A40" t="s">
        <v>192</v>
      </c>
      <c r="B40" s="1" t="s">
        <v>193</v>
      </c>
      <c r="C40" t="s">
        <v>194</v>
      </c>
      <c r="D40" t="s">
        <v>194</v>
      </c>
      <c r="E40">
        <f t="shared" ca="1" si="1"/>
        <v>63458178</v>
      </c>
    </row>
    <row r="41" spans="1:5">
      <c r="A41" t="s">
        <v>195</v>
      </c>
      <c r="B41" s="1" t="s">
        <v>196</v>
      </c>
      <c r="C41" t="s">
        <v>197</v>
      </c>
      <c r="D41" t="s">
        <v>197</v>
      </c>
      <c r="E41">
        <f t="shared" ca="1" si="1"/>
        <v>125155090</v>
      </c>
    </row>
    <row r="42" spans="1:5">
      <c r="A42" t="s">
        <v>198</v>
      </c>
      <c r="B42" s="1" t="s">
        <v>199</v>
      </c>
      <c r="C42" t="s">
        <v>200</v>
      </c>
      <c r="D42" t="s">
        <v>200</v>
      </c>
      <c r="E42">
        <f t="shared" ca="1" si="1"/>
        <v>98420000</v>
      </c>
    </row>
    <row r="43" spans="1:5">
      <c r="A43" t="s">
        <v>203</v>
      </c>
      <c r="B43" s="1" t="s">
        <v>204</v>
      </c>
      <c r="C43" t="s">
        <v>205</v>
      </c>
      <c r="D43" t="s">
        <v>205</v>
      </c>
      <c r="E43">
        <f t="shared" ca="1" si="1"/>
        <v>269815200</v>
      </c>
    </row>
    <row r="44" spans="1:5">
      <c r="A44" t="s">
        <v>206</v>
      </c>
      <c r="B44" s="1" t="s">
        <v>207</v>
      </c>
      <c r="C44" t="s">
        <v>208</v>
      </c>
      <c r="D44" t="s">
        <v>208</v>
      </c>
      <c r="E44">
        <f t="shared" ca="1" si="1"/>
        <v>82893216</v>
      </c>
    </row>
    <row r="45" spans="1:5">
      <c r="A45" t="s">
        <v>212</v>
      </c>
      <c r="B45" s="1" t="s">
        <v>213</v>
      </c>
      <c r="C45" t="s">
        <v>214</v>
      </c>
      <c r="D45" t="s">
        <v>214</v>
      </c>
      <c r="E45">
        <f t="shared" ca="1" si="1"/>
        <v>218844223</v>
      </c>
    </row>
    <row r="46" spans="1:5">
      <c r="A46" t="s">
        <v>215</v>
      </c>
      <c r="B46" s="1" t="s">
        <v>216</v>
      </c>
      <c r="C46" t="s">
        <v>217</v>
      </c>
      <c r="D46" t="s">
        <v>217</v>
      </c>
      <c r="E46">
        <f t="shared" ca="1" si="1"/>
        <v>119512080</v>
      </c>
    </row>
    <row r="47" spans="1:5">
      <c r="A47" t="s">
        <v>218</v>
      </c>
      <c r="B47" s="1" t="s">
        <v>219</v>
      </c>
      <c r="C47" t="s">
        <v>220</v>
      </c>
      <c r="D47" t="s">
        <v>220</v>
      </c>
      <c r="E47">
        <f t="shared" ca="1" si="1"/>
        <v>121469770</v>
      </c>
    </row>
    <row r="48" spans="1:5">
      <c r="A48" t="s">
        <v>223</v>
      </c>
      <c r="B48" s="1" t="s">
        <v>224</v>
      </c>
      <c r="C48" t="s">
        <v>225</v>
      </c>
      <c r="D48" t="s">
        <v>225</v>
      </c>
      <c r="E48">
        <f t="shared" ca="1" si="1"/>
        <v>124822296</v>
      </c>
    </row>
    <row r="49" spans="1:5">
      <c r="A49" t="s">
        <v>226</v>
      </c>
      <c r="B49" s="1" t="s">
        <v>227</v>
      </c>
      <c r="C49" t="s">
        <v>228</v>
      </c>
      <c r="D49" t="s">
        <v>228</v>
      </c>
      <c r="E49">
        <f t="shared" ca="1" si="1"/>
        <v>55363375</v>
      </c>
    </row>
    <row r="50" spans="1:5">
      <c r="A50" t="s">
        <v>229</v>
      </c>
      <c r="B50" s="1" t="s">
        <v>230</v>
      </c>
      <c r="C50" t="s">
        <v>231</v>
      </c>
      <c r="D50" t="s">
        <v>231</v>
      </c>
      <c r="E50">
        <f t="shared" ca="1" si="1"/>
        <v>60626889</v>
      </c>
    </row>
    <row r="51" spans="1:5">
      <c r="A51" t="s">
        <v>233</v>
      </c>
      <c r="B51" s="1" t="s">
        <v>234</v>
      </c>
      <c r="C51" t="s">
        <v>235</v>
      </c>
      <c r="D51" t="s">
        <v>235</v>
      </c>
      <c r="E51">
        <f t="shared" ca="1" si="1"/>
        <v>57269252</v>
      </c>
    </row>
    <row r="52" spans="1:5">
      <c r="A52" t="s">
        <v>236</v>
      </c>
      <c r="B52" s="1" t="s">
        <v>237</v>
      </c>
      <c r="C52" t="s">
        <v>238</v>
      </c>
      <c r="D52" t="s">
        <v>238</v>
      </c>
      <c r="E52">
        <f t="shared" ca="1" si="1"/>
        <v>172821528</v>
      </c>
    </row>
    <row r="53" spans="1:5">
      <c r="A53" t="s">
        <v>239</v>
      </c>
      <c r="B53" s="1" t="s">
        <v>240</v>
      </c>
      <c r="C53" t="s">
        <v>241</v>
      </c>
      <c r="D53" t="s">
        <v>241</v>
      </c>
      <c r="E53">
        <f t="shared" ca="1" si="1"/>
        <v>152698770</v>
      </c>
    </row>
    <row r="54" spans="1:5">
      <c r="A54" t="s">
        <v>242</v>
      </c>
      <c r="B54" s="1" t="s">
        <v>243</v>
      </c>
      <c r="C54" t="s">
        <v>244</v>
      </c>
      <c r="D54" t="s">
        <v>244</v>
      </c>
      <c r="E54">
        <f t="shared" ca="1" si="1"/>
        <v>48523690</v>
      </c>
    </row>
    <row r="55" spans="1:5">
      <c r="A55" t="s">
        <v>245</v>
      </c>
      <c r="B55" s="1" t="s">
        <v>246</v>
      </c>
      <c r="C55" t="s">
        <v>247</v>
      </c>
      <c r="D55" t="s">
        <v>247</v>
      </c>
      <c r="E55">
        <f t="shared" ca="1" si="1"/>
        <v>171749925</v>
      </c>
    </row>
    <row r="56" spans="1:5">
      <c r="A56" t="s">
        <v>249</v>
      </c>
      <c r="B56" s="1" t="s">
        <v>250</v>
      </c>
      <c r="C56" t="s">
        <v>251</v>
      </c>
      <c r="D56" t="s">
        <v>251</v>
      </c>
      <c r="E56">
        <f t="shared" ca="1" si="1"/>
        <v>200687650</v>
      </c>
    </row>
    <row r="57" spans="1:5">
      <c r="A57" t="s">
        <v>252</v>
      </c>
      <c r="B57" s="1" t="s">
        <v>253</v>
      </c>
      <c r="C57" t="s">
        <v>254</v>
      </c>
      <c r="D57" t="s">
        <v>254</v>
      </c>
      <c r="E57">
        <f t="shared" ca="1" si="1"/>
        <v>112351254</v>
      </c>
    </row>
    <row r="58" spans="1:5">
      <c r="A58" t="s">
        <v>256</v>
      </c>
      <c r="B58" s="1" t="s">
        <v>257</v>
      </c>
      <c r="C58" t="s">
        <v>258</v>
      </c>
      <c r="D58" t="s">
        <v>258</v>
      </c>
      <c r="E58">
        <f t="shared" ca="1" si="1"/>
        <v>129956785</v>
      </c>
    </row>
    <row r="59" spans="1:5">
      <c r="A59" t="s">
        <v>260</v>
      </c>
      <c r="B59" s="1" t="s">
        <v>261</v>
      </c>
      <c r="C59" t="s">
        <v>262</v>
      </c>
      <c r="D59" t="s">
        <v>262</v>
      </c>
      <c r="E59">
        <f t="shared" ca="1" si="1"/>
        <v>98396130</v>
      </c>
    </row>
    <row r="60" spans="1:5">
      <c r="A60" t="s">
        <v>264</v>
      </c>
      <c r="B60" s="1" t="s">
        <v>265</v>
      </c>
      <c r="C60" t="s">
        <v>266</v>
      </c>
      <c r="D60" t="s">
        <v>266</v>
      </c>
      <c r="E60">
        <f t="shared" ca="1" si="1"/>
        <v>124050544</v>
      </c>
    </row>
    <row r="61" spans="1:5">
      <c r="A61" t="s">
        <v>267</v>
      </c>
      <c r="B61" s="1" t="s">
        <v>268</v>
      </c>
      <c r="C61" t="s">
        <v>269</v>
      </c>
      <c r="D61" t="s">
        <v>269</v>
      </c>
      <c r="E61">
        <f t="shared" ca="1" si="1"/>
        <v>96211500</v>
      </c>
    </row>
    <row r="62" spans="1:5">
      <c r="A62" t="s">
        <v>270</v>
      </c>
      <c r="B62" s="1" t="s">
        <v>271</v>
      </c>
      <c r="C62" t="s">
        <v>272</v>
      </c>
      <c r="D62" t="s">
        <v>272</v>
      </c>
      <c r="E62">
        <f t="shared" ca="1" si="1"/>
        <v>153990564</v>
      </c>
    </row>
    <row r="63" spans="1:5">
      <c r="A63" t="s">
        <v>273</v>
      </c>
      <c r="B63" s="1" t="s">
        <v>274</v>
      </c>
      <c r="C63" t="s">
        <v>275</v>
      </c>
      <c r="D63" t="s">
        <v>275</v>
      </c>
      <c r="E63">
        <f t="shared" ca="1" si="1"/>
        <v>175511518</v>
      </c>
    </row>
    <row r="64" spans="1:5">
      <c r="A64" t="s">
        <v>277</v>
      </c>
      <c r="B64" s="1" t="s">
        <v>278</v>
      </c>
      <c r="C64" t="s">
        <v>279</v>
      </c>
      <c r="D64" t="s">
        <v>279</v>
      </c>
      <c r="E64">
        <f t="shared" ca="1" si="1"/>
        <v>83718432</v>
      </c>
    </row>
    <row r="65" spans="1:5">
      <c r="A65" t="s">
        <v>280</v>
      </c>
      <c r="B65" s="1" t="s">
        <v>281</v>
      </c>
      <c r="C65" t="s">
        <v>282</v>
      </c>
      <c r="D65" t="s">
        <v>282</v>
      </c>
      <c r="E65">
        <f t="shared" ca="1" si="1"/>
        <v>103349929</v>
      </c>
    </row>
    <row r="66" spans="1:5">
      <c r="A66" t="s">
        <v>283</v>
      </c>
      <c r="B66" s="1" t="s">
        <v>284</v>
      </c>
      <c r="C66" t="s">
        <v>285</v>
      </c>
      <c r="D66" t="s">
        <v>285</v>
      </c>
      <c r="E66">
        <f t="shared" ref="E66:E77" ca="1" si="2">RANDBETWEEN(50000,250000)*RANDBETWEEN(600,1200)</f>
        <v>178682819</v>
      </c>
    </row>
    <row r="67" spans="1:5">
      <c r="A67" t="s">
        <v>286</v>
      </c>
      <c r="B67" s="1" t="s">
        <v>287</v>
      </c>
      <c r="C67" t="s">
        <v>288</v>
      </c>
      <c r="D67" t="s">
        <v>288</v>
      </c>
      <c r="E67">
        <f t="shared" ca="1" si="2"/>
        <v>109476846</v>
      </c>
    </row>
    <row r="68" spans="1:5">
      <c r="A68" t="s">
        <v>289</v>
      </c>
      <c r="B68" s="1" t="s">
        <v>290</v>
      </c>
      <c r="C68" t="s">
        <v>291</v>
      </c>
      <c r="D68" t="s">
        <v>291</v>
      </c>
      <c r="E68">
        <f t="shared" ca="1" si="2"/>
        <v>139921008</v>
      </c>
    </row>
    <row r="69" spans="1:5">
      <c r="A69" t="s">
        <v>293</v>
      </c>
      <c r="B69" s="1" t="s">
        <v>294</v>
      </c>
      <c r="C69" t="s">
        <v>295</v>
      </c>
      <c r="D69" t="s">
        <v>295</v>
      </c>
      <c r="E69">
        <f t="shared" ca="1" si="2"/>
        <v>120378501</v>
      </c>
    </row>
    <row r="70" spans="1:5">
      <c r="A70" t="s">
        <v>296</v>
      </c>
      <c r="B70" s="1" t="s">
        <v>297</v>
      </c>
      <c r="C70" t="s">
        <v>298</v>
      </c>
      <c r="D70" t="s">
        <v>298</v>
      </c>
      <c r="E70">
        <f t="shared" ca="1" si="2"/>
        <v>201029192</v>
      </c>
    </row>
    <row r="71" spans="1:5">
      <c r="A71" t="s">
        <v>300</v>
      </c>
      <c r="B71" s="1" t="s">
        <v>301</v>
      </c>
      <c r="C71" t="s">
        <v>302</v>
      </c>
      <c r="D71" t="s">
        <v>302</v>
      </c>
      <c r="E71">
        <f t="shared" ca="1" si="2"/>
        <v>158919820</v>
      </c>
    </row>
    <row r="72" spans="1:5">
      <c r="A72" t="s">
        <v>303</v>
      </c>
      <c r="B72" s="1" t="s">
        <v>304</v>
      </c>
      <c r="C72" t="s">
        <v>305</v>
      </c>
      <c r="D72" t="s">
        <v>305</v>
      </c>
      <c r="E72">
        <f t="shared" ca="1" si="2"/>
        <v>171693620</v>
      </c>
    </row>
    <row r="73" spans="1:5">
      <c r="A73" t="s">
        <v>306</v>
      </c>
      <c r="B73" s="1" t="s">
        <v>307</v>
      </c>
      <c r="C73" t="s">
        <v>308</v>
      </c>
      <c r="D73" t="s">
        <v>308</v>
      </c>
      <c r="E73">
        <f t="shared" ca="1" si="2"/>
        <v>112368300</v>
      </c>
    </row>
    <row r="74" spans="1:5">
      <c r="A74" t="s">
        <v>309</v>
      </c>
      <c r="B74" s="1" t="s">
        <v>310</v>
      </c>
      <c r="C74" t="s">
        <v>311</v>
      </c>
      <c r="D74" t="s">
        <v>311</v>
      </c>
      <c r="E74">
        <f t="shared" ca="1" si="2"/>
        <v>229073405</v>
      </c>
    </row>
    <row r="75" spans="1:5">
      <c r="A75" t="s">
        <v>312</v>
      </c>
      <c r="B75" s="1" t="s">
        <v>313</v>
      </c>
      <c r="C75" t="s">
        <v>314</v>
      </c>
      <c r="D75" t="s">
        <v>314</v>
      </c>
      <c r="E75">
        <f t="shared" ca="1" si="2"/>
        <v>205970452</v>
      </c>
    </row>
    <row r="76" spans="1:5">
      <c r="A76" t="s">
        <v>315</v>
      </c>
      <c r="B76" s="1" t="s">
        <v>316</v>
      </c>
      <c r="C76" t="s">
        <v>317</v>
      </c>
      <c r="D76" t="s">
        <v>317</v>
      </c>
      <c r="E76">
        <f t="shared" ca="1" si="2"/>
        <v>60436806</v>
      </c>
    </row>
    <row r="77" spans="1:5">
      <c r="A77" t="s">
        <v>319</v>
      </c>
      <c r="B77" s="1" t="s">
        <v>320</v>
      </c>
      <c r="C77" t="s">
        <v>321</v>
      </c>
      <c r="D77" t="s">
        <v>321</v>
      </c>
      <c r="E77">
        <f t="shared" ca="1" si="2"/>
        <v>112306194</v>
      </c>
    </row>
  </sheetData>
  <pageMargins left="0.7" right="0.7" top="0.75" bottom="0.75" header="0.3" footer="0.511811023622047"/>
  <pageSetup orientation="portrait" horizontalDpi="300" verticalDpi="300"/>
  <headerFooter>
    <oddHeader>&amp;C&amp;1 Confidential#</oddHead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
  <sheetViews>
    <sheetView zoomScale="78" zoomScaleNormal="78" workbookViewId="0"/>
  </sheetViews>
  <sheetFormatPr baseColWidth="10" defaultColWidth="11.5" defaultRowHeight="15"/>
  <sheetData/>
  <pageMargins left="0.7" right="0.7" top="0.75" bottom="0.75" header="0.3" footer="0.511811023622047"/>
  <pageSetup orientation="portrait" horizontalDpi="300" verticalDpi="300"/>
  <headerFooter>
    <oddHeader>&amp;C&amp;1 Confidential#</oddHead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Read me </vt:lpstr>
      <vt:lpstr>ITR V2 input data</vt:lpstr>
      <vt:lpstr>ITR V2 esg data</vt:lpstr>
      <vt:lpstr>ITR input data</vt:lpstr>
      <vt:lpstr>ITR target input data</vt:lpstr>
      <vt:lpstr>Definitions</vt:lpstr>
      <vt:lpstr>Portfolio</vt:lpstr>
      <vt:lpstr>User Notes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Michael Tiemann</cp:lastModifiedBy>
  <cp:revision>120</cp:revision>
  <cp:lastPrinted>2022-02-14T13:19:46Z</cp:lastPrinted>
  <dcterms:created xsi:type="dcterms:W3CDTF">2022-02-08T09:02:08Z</dcterms:created>
  <dcterms:modified xsi:type="dcterms:W3CDTF">2023-01-18T20:29:23Z</dcterms:modified>
  <dc:language>en-US</dc:language>
</cp:coreProperties>
</file>