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ichalpoleszczuk/Desktop/Financial-Analysis/"/>
    </mc:Choice>
  </mc:AlternateContent>
  <xr:revisionPtr revIDLastSave="0" documentId="13_ncr:1_{B91DA5F5-B66B-1147-87DE-0D45883239AC}" xr6:coauthVersionLast="47" xr6:coauthVersionMax="47" xr10:uidLastSave="{00000000-0000-0000-0000-000000000000}"/>
  <bookViews>
    <workbookView xWindow="0" yWindow="500" windowWidth="28800" windowHeight="18000" xr2:uid="{921BF3CD-ECC0-E74C-A13C-4BC0B3DD32AF}"/>
  </bookViews>
  <sheets>
    <sheet name="DCF" sheetId="1" r:id="rId1"/>
    <sheet name="WACC &amp; TV" sheetId="4" r:id="rId2"/>
    <sheet name="Comparables Valuation" sheetId="5" r:id="rId3"/>
    <sheet name="Precedent Transactions" sheetId="6" r:id="rId4"/>
    <sheet name="BS - Horizontal Analysis" sheetId="7" r:id="rId5"/>
    <sheet name="BS - Vertical Analysis" sheetId="10" r:id="rId6"/>
    <sheet name="IS - Horizontal Analysis" sheetId="8" r:id="rId7"/>
    <sheet name="IS - Vertical Analysis" sheetId="11" r:id="rId8"/>
    <sheet name="Ratio Analysis" sheetId="12" r:id="rId9"/>
    <sheet name="Notes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1" l="1"/>
  <c r="R29" i="1"/>
  <c r="U20" i="6"/>
  <c r="T20" i="6"/>
  <c r="S20" i="6"/>
  <c r="N22" i="5"/>
  <c r="K16" i="6"/>
  <c r="H15" i="10"/>
  <c r="H57" i="10"/>
  <c r="H55" i="10"/>
  <c r="H54" i="10"/>
  <c r="H53" i="10"/>
  <c r="H52" i="10"/>
  <c r="H51" i="10"/>
  <c r="H50" i="10"/>
  <c r="H49" i="10"/>
  <c r="H48" i="10"/>
  <c r="H45" i="10"/>
  <c r="H44" i="10"/>
  <c r="H43" i="10"/>
  <c r="H42" i="10"/>
  <c r="H41" i="10"/>
  <c r="H40" i="10"/>
  <c r="H37" i="10"/>
  <c r="H36" i="10"/>
  <c r="H35" i="10"/>
  <c r="H34" i="10"/>
  <c r="H33" i="10"/>
  <c r="H32" i="10"/>
  <c r="H28" i="10"/>
  <c r="H26" i="10"/>
  <c r="H25" i="10"/>
  <c r="H24" i="10"/>
  <c r="H23" i="10"/>
  <c r="H22" i="10"/>
  <c r="H21" i="10"/>
  <c r="H20" i="10"/>
  <c r="H19" i="10"/>
  <c r="H18" i="10"/>
  <c r="H14" i="10"/>
  <c r="H13" i="10"/>
  <c r="H12" i="10"/>
  <c r="H11" i="10"/>
  <c r="H10" i="10"/>
  <c r="H9" i="10"/>
  <c r="H8" i="10"/>
  <c r="G57" i="10"/>
  <c r="G55" i="10"/>
  <c r="G54" i="10"/>
  <c r="G53" i="10"/>
  <c r="G52" i="10"/>
  <c r="G51" i="10"/>
  <c r="G50" i="10"/>
  <c r="G49" i="10"/>
  <c r="G48" i="10"/>
  <c r="G45" i="10"/>
  <c r="G44" i="10"/>
  <c r="G43" i="10"/>
  <c r="G42" i="10"/>
  <c r="G41" i="10"/>
  <c r="G40" i="10"/>
  <c r="G37" i="10"/>
  <c r="G36" i="10"/>
  <c r="G35" i="10"/>
  <c r="G34" i="10"/>
  <c r="G33" i="10"/>
  <c r="G32" i="10"/>
  <c r="G28" i="10"/>
  <c r="G26" i="10"/>
  <c r="G25" i="10"/>
  <c r="G24" i="10"/>
  <c r="G23" i="10"/>
  <c r="G22" i="10"/>
  <c r="G21" i="10"/>
  <c r="G20" i="10"/>
  <c r="G19" i="10"/>
  <c r="G18" i="10"/>
  <c r="G15" i="10"/>
  <c r="G14" i="10"/>
  <c r="G13" i="10"/>
  <c r="G12" i="10"/>
  <c r="G11" i="10"/>
  <c r="G10" i="10"/>
  <c r="G9" i="10"/>
  <c r="G8" i="10"/>
  <c r="D34" i="11"/>
  <c r="E34" i="11"/>
  <c r="F34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F39" i="8"/>
  <c r="E39" i="8"/>
  <c r="D39" i="8"/>
  <c r="I37" i="8"/>
  <c r="L37" i="8" s="1"/>
  <c r="I36" i="8"/>
  <c r="L36" i="8" s="1"/>
  <c r="I35" i="8"/>
  <c r="L35" i="8" s="1"/>
  <c r="I34" i="8"/>
  <c r="L34" i="8" s="1"/>
  <c r="I33" i="8"/>
  <c r="L33" i="8" s="1"/>
  <c r="I32" i="8"/>
  <c r="L32" i="8" s="1"/>
  <c r="I31" i="8"/>
  <c r="L31" i="8" s="1"/>
  <c r="I30" i="8"/>
  <c r="L30" i="8" s="1"/>
  <c r="I29" i="8"/>
  <c r="L29" i="8" s="1"/>
  <c r="I28" i="8"/>
  <c r="L28" i="8" s="1"/>
  <c r="I27" i="8"/>
  <c r="L27" i="8" s="1"/>
  <c r="I26" i="8"/>
  <c r="L26" i="8" s="1"/>
  <c r="I25" i="8"/>
  <c r="L25" i="8" s="1"/>
  <c r="I22" i="8"/>
  <c r="L22" i="8" s="1"/>
  <c r="I21" i="8"/>
  <c r="L21" i="8" s="1"/>
  <c r="I20" i="8"/>
  <c r="L20" i="8" s="1"/>
  <c r="I19" i="8"/>
  <c r="L19" i="8" s="1"/>
  <c r="I18" i="8"/>
  <c r="L18" i="8" s="1"/>
  <c r="I17" i="8"/>
  <c r="L17" i="8" s="1"/>
  <c r="I16" i="8"/>
  <c r="L16" i="8" s="1"/>
  <c r="I15" i="8"/>
  <c r="L15" i="8" s="1"/>
  <c r="I14" i="8"/>
  <c r="L14" i="8" s="1"/>
  <c r="I13" i="8"/>
  <c r="L13" i="8" s="1"/>
  <c r="I12" i="8"/>
  <c r="L12" i="8" s="1"/>
  <c r="I10" i="8"/>
  <c r="L10" i="8" s="1"/>
  <c r="I9" i="8"/>
  <c r="L9" i="8" s="1"/>
  <c r="H37" i="8"/>
  <c r="K37" i="8" s="1"/>
  <c r="H36" i="8"/>
  <c r="K36" i="8" s="1"/>
  <c r="H35" i="8"/>
  <c r="K35" i="8" s="1"/>
  <c r="H34" i="8"/>
  <c r="K34" i="8" s="1"/>
  <c r="H33" i="8"/>
  <c r="K33" i="8" s="1"/>
  <c r="H32" i="8"/>
  <c r="K32" i="8" s="1"/>
  <c r="H31" i="8"/>
  <c r="K31" i="8" s="1"/>
  <c r="H30" i="8"/>
  <c r="K30" i="8" s="1"/>
  <c r="H29" i="8"/>
  <c r="K29" i="8" s="1"/>
  <c r="H28" i="8"/>
  <c r="K28" i="8" s="1"/>
  <c r="H27" i="8"/>
  <c r="K27" i="8" s="1"/>
  <c r="H26" i="8"/>
  <c r="K26" i="8" s="1"/>
  <c r="H25" i="8"/>
  <c r="K25" i="8" s="1"/>
  <c r="H22" i="8"/>
  <c r="K22" i="8" s="1"/>
  <c r="H21" i="8"/>
  <c r="K21" i="8" s="1"/>
  <c r="H20" i="8"/>
  <c r="K20" i="8" s="1"/>
  <c r="H19" i="8"/>
  <c r="K19" i="8" s="1"/>
  <c r="H18" i="8"/>
  <c r="K18" i="8" s="1"/>
  <c r="H17" i="8"/>
  <c r="K17" i="8" s="1"/>
  <c r="H16" i="8"/>
  <c r="K16" i="8" s="1"/>
  <c r="H15" i="8"/>
  <c r="K15" i="8" s="1"/>
  <c r="H14" i="8"/>
  <c r="K14" i="8" s="1"/>
  <c r="H13" i="8"/>
  <c r="K13" i="8" s="1"/>
  <c r="H12" i="8"/>
  <c r="K12" i="8" s="1"/>
  <c r="H10" i="8"/>
  <c r="K10" i="8" s="1"/>
  <c r="H9" i="8"/>
  <c r="K9" i="8" s="1"/>
  <c r="I8" i="8"/>
  <c r="L8" i="8" s="1"/>
  <c r="H8" i="8"/>
  <c r="K8" i="8" s="1"/>
  <c r="G43" i="7" l="1"/>
  <c r="G42" i="7"/>
  <c r="G37" i="7"/>
  <c r="G35" i="7"/>
  <c r="G15" i="7"/>
  <c r="G13" i="7"/>
  <c r="F57" i="7"/>
  <c r="G57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5" i="7"/>
  <c r="G45" i="7" s="1"/>
  <c r="F44" i="7"/>
  <c r="G44" i="7" s="1"/>
  <c r="F43" i="7"/>
  <c r="F42" i="7"/>
  <c r="F41" i="7"/>
  <c r="G41" i="7" s="1"/>
  <c r="F40" i="7"/>
  <c r="G40" i="7" s="1"/>
  <c r="F37" i="7"/>
  <c r="F36" i="7"/>
  <c r="G36" i="7" s="1"/>
  <c r="F35" i="7"/>
  <c r="F34" i="7"/>
  <c r="G34" i="7" s="1"/>
  <c r="F33" i="7"/>
  <c r="G33" i="7" s="1"/>
  <c r="F32" i="7"/>
  <c r="G32" i="7" s="1"/>
  <c r="F28" i="7"/>
  <c r="G28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5" i="7"/>
  <c r="F14" i="7"/>
  <c r="G14" i="7" s="1"/>
  <c r="F13" i="7"/>
  <c r="F12" i="7"/>
  <c r="G12" i="7" s="1"/>
  <c r="F11" i="7"/>
  <c r="G11" i="7" s="1"/>
  <c r="F10" i="7"/>
  <c r="G10" i="7" s="1"/>
  <c r="F9" i="7"/>
  <c r="G9" i="7" s="1"/>
  <c r="F8" i="7"/>
  <c r="G8" i="7" s="1"/>
  <c r="U13" i="6" l="1"/>
  <c r="T13" i="6"/>
  <c r="U12" i="6"/>
  <c r="T12" i="6"/>
  <c r="U11" i="6"/>
  <c r="T11" i="6"/>
  <c r="U10" i="6"/>
  <c r="T10" i="6"/>
  <c r="S13" i="6"/>
  <c r="S12" i="6"/>
  <c r="S11" i="6"/>
  <c r="S10" i="6"/>
  <c r="K6" i="6"/>
  <c r="Q6" i="6" s="1"/>
  <c r="U6" i="6" s="1"/>
  <c r="G6" i="6"/>
  <c r="K5" i="6"/>
  <c r="Q5" i="6" s="1"/>
  <c r="S5" i="6" s="1"/>
  <c r="G5" i="6"/>
  <c r="Q4" i="6"/>
  <c r="S4" i="6" s="1"/>
  <c r="K4" i="6"/>
  <c r="G4" i="6"/>
  <c r="P6" i="5"/>
  <c r="O9" i="5"/>
  <c r="O5" i="5"/>
  <c r="N5" i="5"/>
  <c r="H5" i="5"/>
  <c r="T5" i="6" l="1"/>
  <c r="U5" i="6"/>
  <c r="T4" i="6"/>
  <c r="U4" i="6"/>
  <c r="S6" i="6"/>
  <c r="T6" i="6"/>
  <c r="P23" i="5"/>
  <c r="P22" i="5" s="1"/>
  <c r="P26" i="5"/>
  <c r="P25" i="5"/>
  <c r="P24" i="5"/>
  <c r="O25" i="5"/>
  <c r="O23" i="5"/>
  <c r="N25" i="5"/>
  <c r="N23" i="5"/>
  <c r="P18" i="5"/>
  <c r="P17" i="5"/>
  <c r="P16" i="5"/>
  <c r="P15" i="5"/>
  <c r="P14" i="5"/>
  <c r="P13" i="5"/>
  <c r="P7" i="5"/>
  <c r="P8" i="5"/>
  <c r="P9" i="5"/>
  <c r="P10" i="5"/>
  <c r="P5" i="5"/>
  <c r="F5" i="5"/>
  <c r="F6" i="5"/>
  <c r="H6" i="5" s="1"/>
  <c r="N6" i="5" s="1"/>
  <c r="O6" i="5" l="1"/>
  <c r="F10" i="5"/>
  <c r="H10" i="5" s="1"/>
  <c r="F9" i="5"/>
  <c r="H9" i="5" s="1"/>
  <c r="F8" i="5"/>
  <c r="H8" i="5" s="1"/>
  <c r="F7" i="5"/>
  <c r="H7" i="5" s="1"/>
  <c r="C20" i="4"/>
  <c r="R33" i="1"/>
  <c r="R32" i="1"/>
  <c r="C13" i="4"/>
  <c r="O7" i="5" l="1"/>
  <c r="N7" i="5"/>
  <c r="N8" i="5"/>
  <c r="O8" i="5"/>
  <c r="N10" i="5"/>
  <c r="O10" i="5"/>
  <c r="N9" i="5"/>
  <c r="O17" i="5"/>
  <c r="O15" i="5"/>
  <c r="O13" i="5"/>
  <c r="O18" i="5"/>
  <c r="O16" i="5"/>
  <c r="O22" i="5" s="1"/>
  <c r="O24" i="5" s="1"/>
  <c r="O26" i="5" s="1"/>
  <c r="O14" i="5"/>
  <c r="C12" i="4"/>
  <c r="C7" i="4"/>
  <c r="C18" i="4"/>
  <c r="C6" i="4"/>
  <c r="N4" i="1"/>
  <c r="O4" i="1" s="1"/>
  <c r="P4" i="1" s="1"/>
  <c r="Q4" i="1" s="1"/>
  <c r="R4" i="1" s="1"/>
  <c r="N5" i="1"/>
  <c r="N15" i="5" l="1"/>
  <c r="N18" i="5"/>
  <c r="N14" i="5"/>
  <c r="N13" i="5"/>
  <c r="N17" i="5"/>
  <c r="N16" i="5"/>
  <c r="N24" i="5" s="1"/>
  <c r="N26" i="5" s="1"/>
  <c r="R5" i="1"/>
  <c r="O5" i="1" l="1"/>
  <c r="Q5" i="1"/>
  <c r="P5" i="1"/>
  <c r="M21" i="1" l="1"/>
  <c r="L21" i="1"/>
  <c r="K21" i="1"/>
  <c r="J21" i="1"/>
  <c r="I21" i="1"/>
  <c r="H21" i="1"/>
  <c r="G21" i="1"/>
  <c r="N21" i="1" s="1"/>
  <c r="N20" i="1" s="1"/>
  <c r="O21" i="1" l="1"/>
  <c r="P21" i="1" l="1"/>
  <c r="O20" i="1"/>
  <c r="P20" i="1" l="1"/>
  <c r="Q21" i="1"/>
  <c r="Q20" i="1" s="1"/>
  <c r="R21" i="1"/>
  <c r="R20" i="1" s="1"/>
  <c r="M18" i="1" l="1"/>
  <c r="L18" i="1"/>
  <c r="K18" i="1"/>
  <c r="J18" i="1"/>
  <c r="I18" i="1"/>
  <c r="H18" i="1"/>
  <c r="G18" i="1"/>
  <c r="M15" i="1"/>
  <c r="L15" i="1"/>
  <c r="K15" i="1"/>
  <c r="J15" i="1"/>
  <c r="I15" i="1"/>
  <c r="H15" i="1"/>
  <c r="G15" i="1"/>
  <c r="I11" i="1"/>
  <c r="M11" i="1"/>
  <c r="L11" i="1"/>
  <c r="K11" i="1"/>
  <c r="J11" i="1"/>
  <c r="H11" i="1"/>
  <c r="G11" i="1"/>
  <c r="N11" i="1" s="1"/>
  <c r="N10" i="1" s="1"/>
  <c r="H8" i="1"/>
  <c r="J8" i="1"/>
  <c r="M8" i="1"/>
  <c r="L8" i="1"/>
  <c r="K8" i="1"/>
  <c r="I8" i="1"/>
  <c r="G8" i="1"/>
  <c r="M5" i="1"/>
  <c r="L5" i="1"/>
  <c r="K5" i="1"/>
  <c r="J5" i="1"/>
  <c r="I5" i="1"/>
  <c r="H5" i="1"/>
  <c r="N15" i="1" l="1"/>
  <c r="N14" i="1" s="1"/>
  <c r="N8" i="1"/>
  <c r="N7" i="1" s="1"/>
  <c r="N25" i="1" s="1"/>
  <c r="O11" i="1"/>
  <c r="N18" i="1"/>
  <c r="N17" i="1" s="1"/>
  <c r="P11" i="1" l="1"/>
  <c r="Q11" i="1" s="1"/>
  <c r="R11" i="1" s="1"/>
  <c r="O10" i="1"/>
  <c r="P10" i="1" s="1"/>
  <c r="Q10" i="1" s="1"/>
  <c r="R10" i="1" s="1"/>
  <c r="O8" i="1"/>
  <c r="N26" i="1"/>
  <c r="N27" i="1" s="1"/>
  <c r="O18" i="1"/>
  <c r="O15" i="1"/>
  <c r="P15" i="1" l="1"/>
  <c r="O14" i="1"/>
  <c r="P14" i="1" s="1"/>
  <c r="Q15" i="1"/>
  <c r="R15" i="1" s="1"/>
  <c r="P18" i="1"/>
  <c r="Q18" i="1" s="1"/>
  <c r="R18" i="1" s="1"/>
  <c r="O17" i="1"/>
  <c r="P17" i="1" s="1"/>
  <c r="P8" i="1"/>
  <c r="Q8" i="1" s="1"/>
  <c r="R8" i="1" s="1"/>
  <c r="O7" i="1"/>
  <c r="Q14" i="1" l="1"/>
  <c r="R14" i="1" s="1"/>
  <c r="Q17" i="1"/>
  <c r="R17" i="1" s="1"/>
  <c r="P7" i="1"/>
  <c r="O25" i="1"/>
  <c r="O26" i="1" s="1"/>
  <c r="O27" i="1" s="1"/>
  <c r="Q7" i="1" l="1"/>
  <c r="P25" i="1"/>
  <c r="P26" i="1" s="1"/>
  <c r="P27" i="1" s="1"/>
  <c r="R7" i="1" l="1"/>
  <c r="R25" i="1" s="1"/>
  <c r="R26" i="1" s="1"/>
  <c r="Q25" i="1"/>
  <c r="Q26" i="1" s="1"/>
  <c r="Q27" i="1" s="1"/>
  <c r="R30" i="1" l="1"/>
  <c r="R27" i="1"/>
  <c r="R31" i="1" l="1"/>
  <c r="R34" i="1" s="1"/>
  <c r="R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Dorota Misztal-Poleszczuk</author>
  </authors>
  <commentList>
    <comment ref="R29" authorId="0" shapeId="0" xr:uid="{B33B55F3-D826-B347-8F6F-E81C92D8F6F7}">
      <text>
        <r>
          <rPr>
            <b/>
            <sz val="10"/>
            <color rgb="FF000000"/>
            <rFont val="Tahoma"/>
            <family val="2"/>
            <charset val="238"/>
          </rPr>
          <t>Terminal Value calculated with Gordon Growth Model seems to be extremly high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</text>
    </comment>
    <comment ref="U45" authorId="0" shapeId="0" xr:uid="{72606615-B3DB-B744-9053-EC5813A136FE}">
      <text>
        <r>
          <rPr>
            <b/>
            <sz val="10"/>
            <color rgb="FF000000"/>
            <rFont val="Tahoma"/>
            <family val="2"/>
            <charset val="238"/>
          </rPr>
          <t xml:space="preserve">It might be a better idea to use this method to establish terminal value
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tc={4A7201D8-067A-1643-9BCE-EE01862D9D76}</author>
    <author>tc={E581D401-CCF8-8744-9958-BB171046B8DB}</author>
    <author>tc={6DD8B20B-51A2-384F-AB30-7307ADCD3252}</author>
  </authors>
  <commentList>
    <comment ref="C8" authorId="0" shapeId="0" xr:uid="{4A7201D8-067A-1643-9BCE-EE01862D9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That’s yield on issued bonds</t>
      </text>
    </comment>
    <comment ref="C14" authorId="1" shapeId="0" xr:uid="{E581D401-CCF8-8744-9958-BB171046B8DB}">
      <text>
        <t>[Threaded comment]
Your version of Excel allows you to read this threaded comment; however, any edits to it will get removed if the file is opened in a newer version of Excel. Learn more: https://go.microsoft.com/fwlink/?linkid=870924
Comment:
    10 year US treasury bond - Yahoo Finance</t>
      </text>
    </comment>
    <comment ref="C16" authorId="2" shapeId="0" xr:uid="{6DD8B20B-51A2-384F-AB30-7307ADCD3252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Kroll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Dorota Misztal-Poleszczuk</author>
  </authors>
  <commentList>
    <comment ref="I3" authorId="0" shapeId="0" xr:uid="{78AC6506-756E-DD44-A55F-18D9630C2040}">
      <text>
        <r>
          <rPr>
            <sz val="10"/>
            <color rgb="FF000000"/>
            <rFont val="Tahoma"/>
            <family val="2"/>
            <charset val="238"/>
          </rPr>
          <t xml:space="preserve">Given Year (Year that transaction was finalized in) closing price on last day of the year
</t>
        </r>
      </text>
    </comment>
  </commentList>
</comments>
</file>

<file path=xl/sharedStrings.xml><?xml version="1.0" encoding="utf-8"?>
<sst xmlns="http://schemas.openxmlformats.org/spreadsheetml/2006/main" count="395" uniqueCount="271">
  <si>
    <t>*In (USD mn)</t>
  </si>
  <si>
    <t xml:space="preserve">MOL GROUP </t>
  </si>
  <si>
    <t>Adjusted Growth Rate 6%</t>
  </si>
  <si>
    <t>CAGR = 8,91%</t>
  </si>
  <si>
    <t xml:space="preserve">Income Statement </t>
  </si>
  <si>
    <t>Net Sales</t>
  </si>
  <si>
    <t>% growth</t>
  </si>
  <si>
    <t>EBIT</t>
  </si>
  <si>
    <t>% of sales</t>
  </si>
  <si>
    <t>Taxes</t>
  </si>
  <si>
    <t>% of EBIT</t>
  </si>
  <si>
    <t xml:space="preserve">Cash Flow Items </t>
  </si>
  <si>
    <t>D&amp;A</t>
  </si>
  <si>
    <t>Capex</t>
  </si>
  <si>
    <t>Change in NWC</t>
  </si>
  <si>
    <t>DCF</t>
  </si>
  <si>
    <t>EBIAT</t>
  </si>
  <si>
    <t>Unlevered FCF</t>
  </si>
  <si>
    <t>Present Value of FCF</t>
  </si>
  <si>
    <t xml:space="preserve">Terminal Value </t>
  </si>
  <si>
    <t>WACC</t>
  </si>
  <si>
    <t>Present Value of TV</t>
  </si>
  <si>
    <t>TGR</t>
  </si>
  <si>
    <t>Enterprise Value</t>
  </si>
  <si>
    <t>+Cash</t>
  </si>
  <si>
    <t>-Debt</t>
  </si>
  <si>
    <t>Equity Value</t>
  </si>
  <si>
    <t xml:space="preserve">Market Cap </t>
  </si>
  <si>
    <t>Shares</t>
  </si>
  <si>
    <t>Share Price</t>
  </si>
  <si>
    <t>DCF steps</t>
  </si>
  <si>
    <t xml:space="preserve">Project Future Free Cash Flow </t>
  </si>
  <si>
    <t xml:space="preserve">Free Cash Flow = EBIT * (1- Tax rate) + Depreciation &amp; Amortization - CAPEX - Change in Working Capital </t>
  </si>
  <si>
    <t>Calculate weighted average cost of capital WACC</t>
  </si>
  <si>
    <t xml:space="preserve">Calculate Terminal Value </t>
  </si>
  <si>
    <t>Discount back to present value</t>
  </si>
  <si>
    <t>Calculate implied share price</t>
  </si>
  <si>
    <t>Model Assumptions</t>
  </si>
  <si>
    <t xml:space="preserve">1. Time-horizon taken for our analysis is 5 years, MOL is a well-established, mature comp with a stable CF </t>
  </si>
  <si>
    <t xml:space="preserve">CAGR </t>
  </si>
  <si>
    <t>Adjusted Growth Rate</t>
  </si>
  <si>
    <t>Total current assets</t>
  </si>
  <si>
    <t xml:space="preserve">TERMINAL VALUE </t>
  </si>
  <si>
    <t>WACC = (%EQUITY * COST OF EQUITY) + (%DEBT * COST OF DEBT * (1 - TAX RATE))</t>
  </si>
  <si>
    <t xml:space="preserve">Perpetuity Growth Method </t>
  </si>
  <si>
    <t>Cost of Equity = Risk Free Rate + (Beta * (Expected Market Return - Risk Free Rate))</t>
  </si>
  <si>
    <t>(LAST YEAR FCF * (1-TGR))/(WACC - TGR)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</si>
  <si>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</si>
  <si>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</si>
  <si>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</si>
  <si>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</si>
  <si>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</si>
  <si>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</si>
  <si>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</si>
  <si>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</si>
  <si>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</si>
  <si>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</si>
  <si>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* All prices converted to USD (mn)</t>
  </si>
  <si>
    <t>EBITDA = NET INCOME + INTEREST + TAXES + D&amp;A</t>
  </si>
  <si>
    <t>Valuation Multiples</t>
  </si>
  <si>
    <t>*12/31/2022</t>
  </si>
  <si>
    <t>Company</t>
  </si>
  <si>
    <t>Country</t>
  </si>
  <si>
    <t>Shares Outstanding</t>
  </si>
  <si>
    <t>Net Debt</t>
  </si>
  <si>
    <t>Revenue</t>
  </si>
  <si>
    <t>EBITDA</t>
  </si>
  <si>
    <t>Net Income</t>
  </si>
  <si>
    <t>EV/Revenue</t>
  </si>
  <si>
    <t>EV/EBITDA</t>
  </si>
  <si>
    <t>P/E</t>
  </si>
  <si>
    <t>MOL Group</t>
  </si>
  <si>
    <t>Hungary</t>
  </si>
  <si>
    <t>OMV Petrom</t>
  </si>
  <si>
    <t>Romania</t>
  </si>
  <si>
    <t>Industrija Nafte</t>
  </si>
  <si>
    <t>Croatia</t>
  </si>
  <si>
    <t>NIS Gazprom Neft</t>
  </si>
  <si>
    <t>Serbia</t>
  </si>
  <si>
    <t>PKN Orlen</t>
  </si>
  <si>
    <t>Poland</t>
  </si>
  <si>
    <t xml:space="preserve">Repsol </t>
  </si>
  <si>
    <t>Spain</t>
  </si>
  <si>
    <t>High</t>
  </si>
  <si>
    <t>75th percentile</t>
  </si>
  <si>
    <t>Average</t>
  </si>
  <si>
    <t>Median</t>
  </si>
  <si>
    <t>25th percentile</t>
  </si>
  <si>
    <t>Low</t>
  </si>
  <si>
    <t>MOL GROUP VALUATION</t>
  </si>
  <si>
    <t>Implied Enterprise Value</t>
  </si>
  <si>
    <t>Implied Market Value</t>
  </si>
  <si>
    <t>Implied Value per Share</t>
  </si>
  <si>
    <t>Annoucement Year</t>
  </si>
  <si>
    <t>Buyer</t>
  </si>
  <si>
    <t xml:space="preserve">Target </t>
  </si>
  <si>
    <t>Transaction Value</t>
  </si>
  <si>
    <t xml:space="preserve">Stake </t>
  </si>
  <si>
    <t>Total TV</t>
  </si>
  <si>
    <t xml:space="preserve">Price per share </t>
  </si>
  <si>
    <t>Oustanding Shares</t>
  </si>
  <si>
    <t>Market Cap.</t>
  </si>
  <si>
    <t>*all numbers expressed in USD mn</t>
  </si>
  <si>
    <t xml:space="preserve">Revenue </t>
  </si>
  <si>
    <t>EV/EBIT</t>
  </si>
  <si>
    <t xml:space="preserve">Shell </t>
  </si>
  <si>
    <t xml:space="preserve">BG Group </t>
  </si>
  <si>
    <t>TotalEnergies</t>
  </si>
  <si>
    <t xml:space="preserve">Maersk Oil </t>
  </si>
  <si>
    <t>Occidental Patroleum</t>
  </si>
  <si>
    <t>Anadarko Petroleum</t>
  </si>
  <si>
    <t>*final figures for appropriate transaction years</t>
  </si>
  <si>
    <t>…</t>
  </si>
  <si>
    <t>Max</t>
  </si>
  <si>
    <t xml:space="preserve">Average </t>
  </si>
  <si>
    <t>Min</t>
  </si>
  <si>
    <t xml:space="preserve">Financial Analysis </t>
  </si>
  <si>
    <t>Balance Sheet</t>
  </si>
  <si>
    <t xml:space="preserve"> Assets</t>
  </si>
  <si>
    <t>Non-current assets</t>
  </si>
  <si>
    <t>Property, plant and equipment</t>
  </si>
  <si>
    <t>Investment property</t>
  </si>
  <si>
    <t>Intangible assets</t>
  </si>
  <si>
    <t>Investments in associated companies and joint ventures</t>
  </si>
  <si>
    <t>Other non-current financial assets</t>
  </si>
  <si>
    <t>Deferred tax asset</t>
  </si>
  <si>
    <t>Other non-current assets</t>
  </si>
  <si>
    <t>Total non-current assets</t>
  </si>
  <si>
    <t>Current assets</t>
  </si>
  <si>
    <t>Inventories</t>
  </si>
  <si>
    <t>Trade and other receivables</t>
  </si>
  <si>
    <t>Securities</t>
  </si>
  <si>
    <t>Other current financial assets</t>
  </si>
  <si>
    <t>Income tax receivable</t>
  </si>
  <si>
    <t>Cash and cash equivalents</t>
  </si>
  <si>
    <t>Other current assets</t>
  </si>
  <si>
    <t>Assets classified as held for sale</t>
  </si>
  <si>
    <t>Total assets</t>
  </si>
  <si>
    <t>Equity and liabilities</t>
  </si>
  <si>
    <t>Equity</t>
  </si>
  <si>
    <t>Share capital</t>
  </si>
  <si>
    <t>Retained earnings and other reserves</t>
  </si>
  <si>
    <t>Profit / (loss) for the year attr. to owners of the parent</t>
  </si>
  <si>
    <t>Equity attributable to owners of the parent</t>
  </si>
  <si>
    <t>Non-controlling interest</t>
  </si>
  <si>
    <t>Total equity</t>
  </si>
  <si>
    <t>Non-current liabilities</t>
  </si>
  <si>
    <t>Long-term debt</t>
  </si>
  <si>
    <t>Other non-current financial liabilities</t>
  </si>
  <si>
    <t>Non-current provisions</t>
  </si>
  <si>
    <t>Deferred tax liabilities</t>
  </si>
  <si>
    <t>Other non-current liabilities</t>
  </si>
  <si>
    <t>Total non-current liabilities</t>
  </si>
  <si>
    <t>Current liabilities</t>
  </si>
  <si>
    <t>Short-term debt</t>
  </si>
  <si>
    <t>Trade and other payables</t>
  </si>
  <si>
    <t>Other current financial liabilities</t>
  </si>
  <si>
    <t>Current provisions</t>
  </si>
  <si>
    <t>Income tax payable</t>
  </si>
  <si>
    <t>Liabilities classified as held for sale</t>
  </si>
  <si>
    <t>Other current liabilities</t>
  </si>
  <si>
    <t>Total current liabilities</t>
  </si>
  <si>
    <t>Total equity and liabilities</t>
  </si>
  <si>
    <t>FY 2023</t>
  </si>
  <si>
    <t>FY 2022</t>
  </si>
  <si>
    <t>Income Statement</t>
  </si>
  <si>
    <t>Nominal Difference</t>
  </si>
  <si>
    <t>Relative Difference</t>
  </si>
  <si>
    <t>Net sales</t>
  </si>
  <si>
    <t>Other operating income</t>
  </si>
  <si>
    <t>Total operating income</t>
  </si>
  <si>
    <t xml:space="preserve">Raw material costs  </t>
  </si>
  <si>
    <t>Value of material-type services used</t>
  </si>
  <si>
    <t xml:space="preserve">Cost of goods purchased for resale </t>
  </si>
  <si>
    <t>Raw material and consumables used</t>
  </si>
  <si>
    <t>Employee benefits expense</t>
  </si>
  <si>
    <t>Depreciation, depletion, amortisation and impairment</t>
  </si>
  <si>
    <t>Change in inventory of finished goods &amp; work in progress</t>
  </si>
  <si>
    <t>Work performed by the enterprise and capitalized</t>
  </si>
  <si>
    <t>Other operating expenses</t>
  </si>
  <si>
    <t>Total operating expenses</t>
  </si>
  <si>
    <t>Profit / (loss) from operation</t>
  </si>
  <si>
    <t>Interest income</t>
  </si>
  <si>
    <t>Dividend income</t>
  </si>
  <si>
    <t>Foreign exchange gains</t>
  </si>
  <si>
    <t>Other finance income</t>
  </si>
  <si>
    <t>Finance income</t>
  </si>
  <si>
    <t>Interest expense</t>
  </si>
  <si>
    <t>Foreign exchange losses</t>
  </si>
  <si>
    <t>Unwinding of discount on provisions</t>
  </si>
  <si>
    <t>Other finance expenses</t>
  </si>
  <si>
    <t>Finance expense</t>
  </si>
  <si>
    <t>Total finance gain / (expense), net</t>
  </si>
  <si>
    <t>Share of after-tax results of associates and joint ventures</t>
  </si>
  <si>
    <t xml:space="preserve">Profit / (loss) before tax </t>
  </si>
  <si>
    <t>FY2023</t>
  </si>
  <si>
    <t>FY2021</t>
  </si>
  <si>
    <t>*in USD mn</t>
  </si>
  <si>
    <t>FY23/22</t>
  </si>
  <si>
    <t>FY22/21</t>
  </si>
  <si>
    <t>Nominal Values</t>
  </si>
  <si>
    <t>Percentage Change</t>
  </si>
  <si>
    <t>FY 2022 - 2021: The increase in Total Operating Income by over six billion and the rise in Total Operating Expenses by approximately five and a half billion resulted in an EBIT over half larger than the previous year.</t>
  </si>
  <si>
    <t>FY 2023 - 2022: A nearly forty percent decrease in EBIT was primarily due to a drop in profit from operating activities.</t>
  </si>
  <si>
    <t>Comments:</t>
  </si>
  <si>
    <t>Financial Analysis - Vertical Analysis</t>
  </si>
  <si>
    <t>Financial Analysis - Horizontal Analysis</t>
  </si>
  <si>
    <t>Income Tax Expense</t>
  </si>
  <si>
    <t>Profit/(loss)</t>
  </si>
  <si>
    <t>Profit / (loss)</t>
  </si>
  <si>
    <t>Raw Materials: raw material costs as a percentage of net sales decreased from 49% in FY2021 to 41% in FY2023, which could suggest improved cost management or a shift in the sales mix toward higher-margin products</t>
  </si>
  <si>
    <t>Cost of goods purchased for retail: A sharp increase from 20% in FY2021 to 28% in FY2023 in the cost of goods purchased for resale could reflect a strategic shift in operations, possibly moving towards a business model with a greater emphasis on trading or reselling</t>
  </si>
  <si>
    <t>Profit from operations: Despite the rise in sales from FY2021 to FY2022, the profit from operations as a percentage of net sales declined from 13% to 8% by FY2023. This significant reduction needs to be assessed in the context of increasing operating expenses and possibly tighter margins</t>
  </si>
  <si>
    <t>Net Sales / Operating Income: The notable jump in net sales from FY2021 to FY2022 indicates robust growth. However, the slight decline in FY2023 needs to be explored for market trends and reduced demand</t>
  </si>
  <si>
    <t>PP&amp;E saw a substantial increase not only percentage-wise from 48% to 52% of total assets but also nominally from 10,163 to 11,540. This could indicate significant capital investment or acquisitions</t>
  </si>
  <si>
    <t>notable decrease in cash and cash equivalents, both in percentage terms from 7% to 5% and nominally from 1,584 to 1,192. This change might suggest that the company has utilized cash for operations or investments</t>
  </si>
  <si>
    <t>Retained earnings and other reserves increased significantly from 7,194 to 9,316 which indicates a strengthening of the company's financial position and possibly retained profitability</t>
  </si>
  <si>
    <t>Long-term debt increased by approx. 900 mill, and the percentage of total liabilities and equity rose from 8% to 12%, reflecting new debt financing or a reclassification from short-term to long-term debt</t>
  </si>
  <si>
    <t>Short-term debt decreased dramatically both in percentage terms from 6% to 2% and nominally from 1,248 to 535, suggesting a debt restructuring</t>
  </si>
  <si>
    <t>PP&amp;E increased by 1,377 (14%), indicating capital investments</t>
  </si>
  <si>
    <t xml:space="preserve"> decrease of -4% in Net Sales in FY2023 after a significant increase of 34% in FY2022 suggests a recent contraction in sales which may require attention to the sales strategy</t>
  </si>
  <si>
    <t>Raw material cost substantial decrease of -14% in FY2023, following a 26% increase in FY2022, could indicate improved cost management or a change in the production process</t>
  </si>
  <si>
    <t>Other Operating Expenses: increase of 12% in FY2023 builds on a previous 30% rise in FY2022, which could be due to increased operational activities or investments in the business that could pay off in the longer term</t>
  </si>
  <si>
    <t>132% increase in Interest Income in FY2023 is substantial, indicating better management of cash or new income-generating investments.</t>
  </si>
  <si>
    <t>Slight increase in Total Assets caused by major increase in PP&amp;E and partially offset by decrease in held cash and its equivalents</t>
  </si>
  <si>
    <t>Cash and Cash Equivalents: A decrease of 392 (-25%) could be due to funding operations, debt repayment, or investment activities</t>
  </si>
  <si>
    <t>Long-term debt increased by more than half, significantly contributing to the rise in non-current liabilities, and nearly a sixty percent decrease in short-term debt resulted in a slight increase in total equity and liabilities</t>
  </si>
  <si>
    <t>Increase in Total Equity caused by major increase in  Retained Earnings</t>
  </si>
  <si>
    <t>Ratio Analysis</t>
  </si>
  <si>
    <t>Profitability Ratios:</t>
  </si>
  <si>
    <t>Operating Profit Margin: Operating Income / Net Sales</t>
  </si>
  <si>
    <t>Net Profit Margin: Net Income / Net Sales</t>
  </si>
  <si>
    <t>Return on Assets (ROA): Net Income / Total Assets</t>
  </si>
  <si>
    <t>Return on Equity (ROE): Net Income / Shareholder's Equity</t>
  </si>
  <si>
    <t>Gross Profit Margin: (Net Sales - Cost of Goods Sold) / Net Sales</t>
  </si>
  <si>
    <t>Liquidity Ratios:</t>
  </si>
  <si>
    <t>Current Ratio: Current Assets / Current Liabilities</t>
  </si>
  <si>
    <t>Quick Ratio: (Current Assets - Inventories) / Current Liabilities</t>
  </si>
  <si>
    <t>Cash Ratio: Cash and Cash Equivalents / Current Liabilities</t>
  </si>
  <si>
    <t>Leverage Ratios:</t>
  </si>
  <si>
    <t>Debt-to-Equity Ratio: Total Debt / Total Equity</t>
  </si>
  <si>
    <t>Interest Coverage Ratio: Operating Income / Interest Expense</t>
  </si>
  <si>
    <t>Debt Service Coverage Ratio (DSCR): Net Operating Income / Total Debt Service</t>
  </si>
  <si>
    <t xml:space="preserve">Ratio </t>
  </si>
  <si>
    <t>Gross Profit Margin</t>
  </si>
  <si>
    <t>Net Profit Margin</t>
  </si>
  <si>
    <t>Return on Assets (ROA)</t>
  </si>
  <si>
    <t>Return on Equity (ROE)</t>
  </si>
  <si>
    <t xml:space="preserve">Current Ratio </t>
  </si>
  <si>
    <t>Quick Ratio</t>
  </si>
  <si>
    <t>Debt to Equity Ratio</t>
  </si>
  <si>
    <t>Interest Coverage Ratio</t>
  </si>
  <si>
    <t>Comment:</t>
  </si>
  <si>
    <t>Company retains around 58,67 cents as gross profit for every dollar of sales, which is a healty margin</t>
  </si>
  <si>
    <t xml:space="preserve">Company earns 7,15 cents for every dollar of assets it ownes </t>
  </si>
  <si>
    <t>For every dollar of revenue, the company earns 6,31 cents in net income</t>
  </si>
  <si>
    <t>Company generates 13,13 cents of profit for every dollar of shareholders' equity</t>
  </si>
  <si>
    <t>The company has 1,32 dollar in current assets for every 1 dollar of current liabilities</t>
  </si>
  <si>
    <t>When removing inventories from current assets, the company has 87 cents for every dollar of current liabilities</t>
  </si>
  <si>
    <t>Company has 21,76 cents of debt for every dollar of shareholders' equity. This suggest a conservative use of leverage and stronger equity position</t>
  </si>
  <si>
    <t>This extremly high ratio indicates that the company can cover its interest obligations 21,14 timer over with its EBIT, showing a strong ability to meet financial expenses</t>
  </si>
  <si>
    <t>Ratio Analysis:</t>
  </si>
  <si>
    <t>MOL GROUP</t>
  </si>
  <si>
    <t>Predicted EV</t>
  </si>
  <si>
    <t>The fair valuation range for MOL Group based on precedent transactions suggests an EV between $13,251 million, derived from the EV/EBIT multiple, and $35,763 million, derived from the EV/EBITDA multiple. Given industry norms and the strategic value of MOL Group, a weighted approach or a sensitivity analysis incorporating current market conditions should be applied to fine-tune this range for decision-making purposes</t>
  </si>
  <si>
    <t>For MOL Group's valuation using comparable companies, the implied enterprise value ranges from $14,179 million (P/E based) to $18,523 million (EV/EBITDA based). Deducting the net debt of $8,220 million results in a range of implied market values from approximately $5,959 million to $10,303 million. Correspondingly, the implied value per share varies from $7.27 (P/E based) to $12.57 (EV/EBITDA based)</t>
  </si>
  <si>
    <t>Precedent Transactions</t>
  </si>
  <si>
    <t>Another way to calculate TV is with the use of EBIT multiplier. I am taking Median EV/EBIT (6,84) in order to calculate Terminal Value</t>
  </si>
  <si>
    <t xml:space="preserve">Projected Ebit </t>
  </si>
  <si>
    <t>Secotr Median EV/EBIT</t>
  </si>
  <si>
    <t>TV Exit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</si>
</sst>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PLN&quot;_ ;_ * \(#,##0.00\)\ &quot;PLN&quot;_ ;_ * &quot;-&quot;??_)\ &quot;PLN&quot;_ ;_ @_ "/>
    <numFmt numFmtId="164" formatCode="0.0%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9"/>
      <name val="Arial"/>
      <family val="2"/>
      <charset val="238"/>
    </font>
    <font>
      <sz val="10"/>
      <color rgb="FF000000"/>
      <name val="Tahoma"/>
      <family val="2"/>
      <charset val="238"/>
    </font>
    <font>
      <b/>
      <sz val="10"/>
      <color rgb="FF000000"/>
      <name val="Tahoma"/>
      <family val="2"/>
      <charset val="238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3" fontId="0" fillId="0" borderId="0" xfId="1" applyNumberFormat="1" applyFont="1"/>
    <xf numFmtId="164" fontId="0" fillId="0" borderId="0" xfId="2" applyNumberFormat="1" applyFont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10" fontId="0" fillId="0" borderId="0" xfId="0" applyNumberFormat="1"/>
    <xf numFmtId="10" fontId="2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2" fillId="2" borderId="0" xfId="0" applyFont="1" applyFill="1"/>
    <xf numFmtId="0" fontId="0" fillId="2" borderId="0" xfId="0" applyFill="1"/>
    <xf numFmtId="3" fontId="5" fillId="0" borderId="0" xfId="1" applyNumberFormat="1" applyFont="1"/>
    <xf numFmtId="3" fontId="5" fillId="0" borderId="1" xfId="1" applyNumberFormat="1" applyFont="1" applyBorder="1"/>
    <xf numFmtId="164" fontId="5" fillId="0" borderId="0" xfId="2" applyNumberFormat="1" applyFont="1"/>
    <xf numFmtId="164" fontId="5" fillId="0" borderId="1" xfId="2" applyNumberFormat="1" applyFont="1" applyBorder="1"/>
    <xf numFmtId="0" fontId="5" fillId="0" borderId="0" xfId="0" applyFont="1"/>
    <xf numFmtId="0" fontId="5" fillId="0" borderId="1" xfId="0" applyFont="1" applyBorder="1"/>
    <xf numFmtId="3" fontId="0" fillId="0" borderId="0" xfId="0" applyNumberFormat="1"/>
    <xf numFmtId="3" fontId="0" fillId="0" borderId="1" xfId="0" applyNumberFormat="1" applyBorder="1"/>
    <xf numFmtId="2" fontId="0" fillId="0" borderId="0" xfId="0" applyNumberFormat="1"/>
    <xf numFmtId="3" fontId="4" fillId="0" borderId="0" xfId="1" applyNumberFormat="1" applyFont="1"/>
    <xf numFmtId="9" fontId="4" fillId="0" borderId="0" xfId="0" applyNumberFormat="1" applyFont="1"/>
    <xf numFmtId="3" fontId="4" fillId="0" borderId="0" xfId="0" applyNumberFormat="1" applyFont="1"/>
    <xf numFmtId="10" fontId="4" fillId="0" borderId="0" xfId="0" applyNumberFormat="1" applyFont="1"/>
    <xf numFmtId="9" fontId="4" fillId="0" borderId="0" xfId="2" applyFont="1"/>
    <xf numFmtId="3" fontId="2" fillId="0" borderId="0" xfId="0" applyNumberFormat="1" applyFont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0" fontId="0" fillId="0" borderId="0" xfId="0" quotePrefix="1"/>
    <xf numFmtId="0" fontId="0" fillId="0" borderId="4" xfId="0" quotePrefix="1" applyBorder="1"/>
    <xf numFmtId="2" fontId="0" fillId="0" borderId="4" xfId="0" applyNumberFormat="1" applyBorder="1"/>
    <xf numFmtId="164" fontId="2" fillId="0" borderId="0" xfId="0" applyNumberFormat="1" applyFont="1"/>
    <xf numFmtId="10" fontId="0" fillId="0" borderId="0" xfId="2" applyNumberFormat="1" applyFont="1"/>
    <xf numFmtId="165" fontId="4" fillId="0" borderId="0" xfId="0" applyNumberFormat="1" applyFont="1"/>
    <xf numFmtId="165" fontId="0" fillId="2" borderId="0" xfId="0" applyNumberFormat="1" applyFill="1"/>
    <xf numFmtId="3" fontId="7" fillId="2" borderId="0" xfId="0" applyNumberFormat="1" applyFont="1" applyFill="1" applyAlignment="1" applyProtection="1">
      <alignment horizontal="right" vertical="center" shrinkToFit="1"/>
      <protection locked="0"/>
    </xf>
    <xf numFmtId="165" fontId="2" fillId="2" borderId="0" xfId="0" applyNumberFormat="1" applyFont="1" applyFill="1"/>
    <xf numFmtId="2" fontId="2" fillId="0" borderId="2" xfId="0" applyNumberFormat="1" applyFont="1" applyBorder="1"/>
    <xf numFmtId="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0" fillId="0" borderId="0" xfId="0" applyNumberFormat="1"/>
    <xf numFmtId="9" fontId="0" fillId="0" borderId="0" xfId="2" applyFont="1"/>
    <xf numFmtId="9" fontId="2" fillId="0" borderId="0" xfId="2" applyFont="1"/>
    <xf numFmtId="3" fontId="0" fillId="3" borderId="0" xfId="0" applyNumberFormat="1" applyFill="1"/>
    <xf numFmtId="9" fontId="0" fillId="3" borderId="0" xfId="2" applyFont="1" applyFill="1"/>
    <xf numFmtId="9" fontId="0" fillId="0" borderId="0" xfId="2" applyFont="1" applyFill="1"/>
    <xf numFmtId="0" fontId="2" fillId="4" borderId="0" xfId="0" applyFont="1" applyFill="1"/>
    <xf numFmtId="3" fontId="2" fillId="4" borderId="0" xfId="0" applyNumberFormat="1" applyFont="1" applyFill="1"/>
    <xf numFmtId="9" fontId="2" fillId="4" borderId="0" xfId="2" applyFont="1" applyFill="1"/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0" fillId="0" borderId="0" xfId="0" applyAlignment="1">
      <alignment wrapText="1"/>
    </xf>
    <xf numFmtId="9" fontId="2" fillId="3" borderId="0" xfId="2" applyFont="1" applyFill="1"/>
    <xf numFmtId="9" fontId="2" fillId="0" borderId="0" xfId="2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3" fontId="0" fillId="4" borderId="0" xfId="0" applyNumberFormat="1" applyFill="1"/>
    <xf numFmtId="9" fontId="0" fillId="4" borderId="0" xfId="2" applyFont="1" applyFill="1"/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4" borderId="0" xfId="0" applyFont="1" applyFill="1" applyAlignment="1">
      <alignment vertical="center" wrapText="1"/>
    </xf>
    <xf numFmtId="1" fontId="2" fillId="4" borderId="0" xfId="0" applyNumberFormat="1" applyFont="1" applyFill="1"/>
    <xf numFmtId="0" fontId="3" fillId="0" borderId="0" xfId="0" applyFont="1"/>
    <xf numFmtId="0" fontId="10" fillId="0" borderId="0" xfId="0" applyFont="1"/>
    <xf numFmtId="0" fontId="3" fillId="4" borderId="0" xfId="0" applyFont="1" applyFill="1"/>
    <xf numFmtId="4" fontId="0" fillId="4" borderId="0" xfId="0" applyNumberFormat="1" applyFill="1"/>
    <xf numFmtId="0" fontId="4" fillId="2" borderId="0" xfId="0" applyFont="1" applyFill="1"/>
    <xf numFmtId="165" fontId="4" fillId="2" borderId="0" xfId="0" applyNumberFormat="1" applyFont="1" applyFill="1"/>
    <xf numFmtId="0" fontId="11" fillId="4" borderId="0" xfId="0" applyFont="1" applyFill="1"/>
    <xf numFmtId="4" fontId="2" fillId="4" borderId="0" xfId="0" applyNumberFormat="1" applyFont="1" applyFill="1"/>
    <xf numFmtId="0" fontId="4" fillId="4" borderId="0" xfId="0" applyFont="1" applyFill="1"/>
    <xf numFmtId="0" fontId="12" fillId="4" borderId="0" xfId="0" applyFont="1" applyFill="1"/>
    <xf numFmtId="4" fontId="4" fillId="4" borderId="0" xfId="0" applyNumberFormat="1" applyFont="1" applyFill="1"/>
    <xf numFmtId="10" fontId="0" fillId="4" borderId="0" xfId="0" applyNumberFormat="1" applyFill="1"/>
    <xf numFmtId="0" fontId="0" fillId="4" borderId="0" xfId="2" applyNumberFormat="1" applyFont="1" applyFill="1"/>
    <xf numFmtId="10" fontId="0" fillId="4" borderId="0" xfId="2" applyNumberFormat="1" applyFont="1" applyFill="1"/>
    <xf numFmtId="0" fontId="6" fillId="0" borderId="0" xfId="0" applyFont="1"/>
    <xf numFmtId="3" fontId="5" fillId="4" borderId="0" xfId="1" applyNumberFormat="1" applyFont="1" applyFill="1"/>
    <xf numFmtId="0" fontId="0" fillId="4" borderId="4" xfId="0" applyFill="1" applyBorder="1"/>
    <xf numFmtId="4" fontId="5" fillId="4" borderId="4" xfId="1" applyNumberFormat="1" applyFont="1" applyFill="1" applyBorder="1"/>
    <xf numFmtId="164" fontId="5" fillId="4" borderId="0" xfId="2" applyNumberFormat="1" applyFont="1" applyFill="1" applyBorder="1"/>
    <xf numFmtId="0" fontId="5" fillId="4" borderId="0" xfId="0" applyFont="1" applyFill="1"/>
    <xf numFmtId="164" fontId="5" fillId="4" borderId="0" xfId="2" applyNumberFormat="1" applyFont="1" applyFill="1"/>
    <xf numFmtId="0" fontId="2" fillId="0" borderId="4" xfId="0" applyFont="1" applyBorder="1" applyAlignment="1">
      <alignment horizontal="center"/>
    </xf>
    <xf numFmtId="10" fontId="5" fillId="0" borderId="0" xfId="0" applyNumberFormat="1" applyFont="1"/>
    <xf numFmtId="0" fontId="5" fillId="0" borderId="0" xfId="2" applyNumberFormat="1" applyFont="1"/>
    <xf numFmtId="10" fontId="5" fillId="0" borderId="0" xfId="2" applyNumberFormat="1" applyFont="1"/>
    <xf numFmtId="0" fontId="2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ł Poleszczuk" id="{C0ADDBE2-199C-204A-8493-01A5226D413C}" userId="S::mp131797@student.sgh.waw.pl::2528ac60-91b4-4b0e-937a-2cdad3073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3-22T21:37:36.99" personId="{C0ADDBE2-199C-204A-8493-01A5226D413C}" id="{4A7201D8-067A-1643-9BCE-EE01862D9D76}">
    <text>That’s yield on issued bonds</text>
  </threadedComment>
  <threadedComment ref="C14" dT="2024-03-22T21:29:13.72" personId="{C0ADDBE2-199C-204A-8493-01A5226D413C}" id="{E581D401-CCF8-8744-9958-BB171046B8DB}">
    <text>10 year US treasury bond - Yahoo Finance</text>
  </threadedComment>
  <threadedComment ref="C16" dT="2024-03-22T21:33:36.13" personId="{C0ADDBE2-199C-204A-8493-01A5226D413C}" id="{6DD8B20B-51A2-384F-AB30-7307ADCD3252}">
    <text>Source: Kroll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8EFE-C211-1245-8BD7-BB5E204F4EA2}">
  <sheetPr>
    <tabColor rgb="FF92D050"/>
  </sheetPr>
  <dimension ref="A1:X45"/>
  <sheetViews>
    <sheetView showGridLines="0" tabSelected="1" zoomScale="89" zoomScaleNormal="90" workbookViewId="0">
      <selection activeCell="H42" sqref="H42"/>
    </sheetView>
  </sheetViews>
  <sheetFormatPr baseColWidth="10" defaultColWidth="11" defaultRowHeight="16" x14ac:dyDescent="0.2"/>
  <cols>
    <col min="1" max="1" width="2.6640625" customWidth="1"/>
    <col min="2" max="2" width="18" bestFit="1" customWidth="1"/>
    <col min="7" max="10" width="14.83203125" bestFit="1" customWidth="1"/>
    <col min="11" max="11" width="10.83203125" customWidth="1"/>
    <col min="19" max="19" width="38" customWidth="1"/>
    <col min="20" max="20" width="20" bestFit="1" customWidth="1"/>
    <col min="21" max="21" width="8" bestFit="1" customWidth="1"/>
  </cols>
  <sheetData>
    <row r="1" spans="1:18" x14ac:dyDescent="0.2">
      <c r="B1" t="s">
        <v>0</v>
      </c>
      <c r="D1" s="1" t="s">
        <v>1</v>
      </c>
      <c r="K1" s="1" t="s">
        <v>2</v>
      </c>
      <c r="L1" s="10"/>
      <c r="N1" t="s">
        <v>3</v>
      </c>
    </row>
    <row r="2" spans="1:18" x14ac:dyDescent="0.2">
      <c r="N2">
        <v>1</v>
      </c>
      <c r="O2">
        <v>2</v>
      </c>
      <c r="P2">
        <v>3</v>
      </c>
      <c r="Q2">
        <v>4</v>
      </c>
      <c r="R2">
        <v>5</v>
      </c>
    </row>
    <row r="3" spans="1:18" x14ac:dyDescent="0.2">
      <c r="A3" s="1"/>
      <c r="B3" s="1" t="s">
        <v>4</v>
      </c>
      <c r="C3" s="1"/>
      <c r="D3" s="1"/>
      <c r="E3" s="1"/>
      <c r="F3" s="1"/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3">
        <v>2023</v>
      </c>
      <c r="N3" s="52">
        <v>2024</v>
      </c>
      <c r="O3" s="52">
        <v>2025</v>
      </c>
      <c r="P3" s="52">
        <v>2026</v>
      </c>
      <c r="Q3" s="52">
        <v>2027</v>
      </c>
      <c r="R3" s="52">
        <v>2028</v>
      </c>
    </row>
    <row r="4" spans="1:18" x14ac:dyDescent="0.2">
      <c r="B4" t="s">
        <v>5</v>
      </c>
      <c r="G4" s="15">
        <v>15113.710712132201</v>
      </c>
      <c r="H4" s="15">
        <v>19054.384058355601</v>
      </c>
      <c r="I4" s="15">
        <v>18099.602393658799</v>
      </c>
      <c r="J4" s="15">
        <v>13071.241473129399</v>
      </c>
      <c r="K4" s="15">
        <v>19611.958676509399</v>
      </c>
      <c r="L4" s="15">
        <v>26331</v>
      </c>
      <c r="M4" s="16">
        <v>25217</v>
      </c>
      <c r="N4" s="87">
        <f>M4*(1+ 0.06)</f>
        <v>26730.02</v>
      </c>
      <c r="O4" s="87">
        <f t="shared" ref="O4:R4" si="0">N4*(1+ 0.06)</f>
        <v>28333.821200000002</v>
      </c>
      <c r="P4" s="87">
        <f t="shared" si="0"/>
        <v>30033.850472000006</v>
      </c>
      <c r="Q4" s="87">
        <f t="shared" si="0"/>
        <v>31835.881500320007</v>
      </c>
      <c r="R4" s="87">
        <f t="shared" si="0"/>
        <v>33746.034390339206</v>
      </c>
    </row>
    <row r="5" spans="1:18" x14ac:dyDescent="0.2">
      <c r="B5" t="s">
        <v>6</v>
      </c>
      <c r="G5" s="17"/>
      <c r="H5" s="17">
        <f>(H4/G4)-1</f>
        <v>0.26073499892121865</v>
      </c>
      <c r="I5" s="17">
        <f t="shared" ref="I5:L5" si="1">(I4/H4)-1</f>
        <v>-5.0108240800264436E-2</v>
      </c>
      <c r="J5" s="17">
        <f t="shared" si="1"/>
        <v>-0.27781609845148236</v>
      </c>
      <c r="K5" s="17">
        <f t="shared" si="1"/>
        <v>0.50038989921697774</v>
      </c>
      <c r="L5" s="17">
        <f t="shared" si="1"/>
        <v>0.34259919849507248</v>
      </c>
      <c r="M5" s="18">
        <f>(M4/L4)-1</f>
        <v>-4.2307546238274263E-2</v>
      </c>
      <c r="N5" s="90">
        <f>(N4/M4)-1</f>
        <v>6.0000000000000053E-2</v>
      </c>
      <c r="O5" s="90">
        <f t="shared" ref="O5:R5" si="2">(O4/N4)-1</f>
        <v>6.0000000000000053E-2</v>
      </c>
      <c r="P5" s="90">
        <f t="shared" si="2"/>
        <v>6.0000000000000053E-2</v>
      </c>
      <c r="Q5" s="90">
        <f t="shared" si="2"/>
        <v>6.0000000000000053E-2</v>
      </c>
      <c r="R5" s="90">
        <f t="shared" si="2"/>
        <v>6.0000000000000053E-2</v>
      </c>
    </row>
    <row r="6" spans="1:18" x14ac:dyDescent="0.2">
      <c r="G6" s="19"/>
      <c r="H6" s="19"/>
      <c r="I6" s="19"/>
      <c r="J6" s="19"/>
      <c r="K6" s="19"/>
      <c r="L6" s="19"/>
      <c r="M6" s="20"/>
      <c r="N6" s="91"/>
      <c r="O6" s="91"/>
      <c r="P6" s="91"/>
      <c r="Q6" s="91"/>
      <c r="R6" s="91"/>
    </row>
    <row r="7" spans="1:18" x14ac:dyDescent="0.2">
      <c r="B7" t="s">
        <v>7</v>
      </c>
      <c r="G7" s="15">
        <v>1321.8685569816701</v>
      </c>
      <c r="H7" s="15">
        <v>1225.7685658164301</v>
      </c>
      <c r="I7" s="15">
        <v>949.80425309909504</v>
      </c>
      <c r="J7" s="15">
        <v>-146.54803887849101</v>
      </c>
      <c r="K7" s="15">
        <v>1954.8621144821</v>
      </c>
      <c r="L7" s="15">
        <v>3409.5941586533454</v>
      </c>
      <c r="M7" s="16">
        <v>1957.4488878002289</v>
      </c>
      <c r="N7" s="87">
        <f>(1+N8)*M7</f>
        <v>2097.2240346458461</v>
      </c>
      <c r="O7" s="87">
        <f t="shared" ref="O7:R7" si="3">(1+O8)*N7</f>
        <v>2242.1700161531976</v>
      </c>
      <c r="P7" s="87">
        <f t="shared" si="3"/>
        <v>2398.6658104460489</v>
      </c>
      <c r="Q7" s="87">
        <f t="shared" si="3"/>
        <v>2572.0194780373986</v>
      </c>
      <c r="R7" s="87">
        <f t="shared" si="3"/>
        <v>2788.5756016436908</v>
      </c>
    </row>
    <row r="8" spans="1:18" x14ac:dyDescent="0.2">
      <c r="B8" t="s">
        <v>8</v>
      </c>
      <c r="G8" s="17">
        <f>(G7/G4)</f>
        <v>8.7461549460554983E-2</v>
      </c>
      <c r="H8" s="17">
        <f>(H7/H4)</f>
        <v>6.433000206474343E-2</v>
      </c>
      <c r="I8" s="17">
        <f t="shared" ref="I8:M8" si="4">(I7/I4)</f>
        <v>5.2476525861797893E-2</v>
      </c>
      <c r="J8" s="17">
        <f>(J7/J4)</f>
        <v>-1.1211485854633652E-2</v>
      </c>
      <c r="K8" s="17">
        <f t="shared" si="4"/>
        <v>9.9677046373933764E-2</v>
      </c>
      <c r="L8" s="17">
        <f t="shared" si="4"/>
        <v>0.1294897329631744</v>
      </c>
      <c r="M8" s="18">
        <f t="shared" si="4"/>
        <v>7.7624177650007092E-2</v>
      </c>
      <c r="N8" s="92">
        <f>AVERAGE(G8:M8)</f>
        <v>7.1406792645653985E-2</v>
      </c>
      <c r="O8" s="92">
        <f t="shared" ref="O8:R8" si="5">AVERAGE(H8:N8)</f>
        <v>6.9113255957810996E-2</v>
      </c>
      <c r="P8" s="92">
        <f t="shared" si="5"/>
        <v>6.9796577942534924E-2</v>
      </c>
      <c r="Q8" s="92">
        <f t="shared" si="5"/>
        <v>7.227087109692594E-2</v>
      </c>
      <c r="R8" s="92">
        <f t="shared" si="5"/>
        <v>8.4196922090005871E-2</v>
      </c>
    </row>
    <row r="9" spans="1:18" x14ac:dyDescent="0.2">
      <c r="G9" s="19"/>
      <c r="H9" s="19"/>
      <c r="I9" s="19"/>
      <c r="J9" s="19"/>
      <c r="K9" s="19"/>
      <c r="L9" s="19"/>
      <c r="M9" s="20"/>
      <c r="N9" s="91"/>
      <c r="O9" s="91"/>
      <c r="P9" s="91"/>
      <c r="Q9" s="91"/>
      <c r="R9" s="91"/>
    </row>
    <row r="10" spans="1:18" x14ac:dyDescent="0.2">
      <c r="B10" t="s">
        <v>9</v>
      </c>
      <c r="G10" s="15">
        <v>175.10737940175201</v>
      </c>
      <c r="H10" s="15">
        <v>97.733945231111505</v>
      </c>
      <c r="I10" s="15">
        <v>163.419703780248</v>
      </c>
      <c r="J10" s="15">
        <v>32.050653831866398</v>
      </c>
      <c r="K10" s="15">
        <v>128.77529088905001</v>
      </c>
      <c r="L10" s="15">
        <v>1222.7773042149931</v>
      </c>
      <c r="M10" s="16">
        <v>345</v>
      </c>
      <c r="N10" s="87">
        <f>(1+N11)*M10</f>
        <v>382.76799092025271</v>
      </c>
      <c r="O10" s="87">
        <f t="shared" ref="O10:R10" si="6">(1+O11)*N10</f>
        <v>423.41302557380385</v>
      </c>
      <c r="P10" s="87">
        <f t="shared" si="6"/>
        <v>469.97419886607207</v>
      </c>
      <c r="Q10" s="87">
        <f t="shared" si="6"/>
        <v>517.48687070674919</v>
      </c>
      <c r="R10" s="87">
        <f t="shared" si="6"/>
        <v>593.44468816473056</v>
      </c>
    </row>
    <row r="11" spans="1:18" x14ac:dyDescent="0.2">
      <c r="B11" t="s">
        <v>10</v>
      </c>
      <c r="G11" s="17">
        <f>G10/G7</f>
        <v>0.1324695851769021</v>
      </c>
      <c r="H11" s="17">
        <f t="shared" ref="H11:M11" si="7">H10/H7</f>
        <v>7.9732788029211091E-2</v>
      </c>
      <c r="I11" s="17">
        <f>I10/I7</f>
        <v>0.17205619289135579</v>
      </c>
      <c r="J11" s="17">
        <f t="shared" si="7"/>
        <v>-0.21870407872493544</v>
      </c>
      <c r="K11" s="17">
        <f t="shared" si="7"/>
        <v>6.5874360107063795E-2</v>
      </c>
      <c r="L11" s="17">
        <f t="shared" si="7"/>
        <v>0.35862840189107481</v>
      </c>
      <c r="M11" s="18">
        <f t="shared" si="7"/>
        <v>0.17624981277938206</v>
      </c>
      <c r="N11" s="92">
        <f>AVERAGE(G11:M11)</f>
        <v>0.10947243745000776</v>
      </c>
      <c r="O11" s="92">
        <f t="shared" ref="O11:R11" si="8">AVERAGE(H11:N11)</f>
        <v>0.10618713063187998</v>
      </c>
      <c r="P11" s="92">
        <f t="shared" si="8"/>
        <v>0.10996632243226125</v>
      </c>
      <c r="Q11" s="92">
        <f t="shared" si="8"/>
        <v>0.10109634093810489</v>
      </c>
      <c r="R11" s="92">
        <f t="shared" si="8"/>
        <v>0.14678211517568207</v>
      </c>
    </row>
    <row r="12" spans="1:18" x14ac:dyDescent="0.2">
      <c r="M12" s="2"/>
      <c r="N12" s="60"/>
      <c r="O12" s="60"/>
      <c r="P12" s="60"/>
      <c r="Q12" s="60"/>
      <c r="R12" s="60"/>
    </row>
    <row r="13" spans="1:18" x14ac:dyDescent="0.2">
      <c r="B13" s="1" t="s">
        <v>11</v>
      </c>
      <c r="G13" s="1">
        <v>2017</v>
      </c>
      <c r="H13" s="1">
        <v>2018</v>
      </c>
      <c r="I13" s="1">
        <v>2019</v>
      </c>
      <c r="J13" s="1">
        <v>2020</v>
      </c>
      <c r="K13" s="1">
        <v>2021</v>
      </c>
      <c r="L13" s="1">
        <v>2022</v>
      </c>
      <c r="M13" s="3">
        <v>2023</v>
      </c>
      <c r="N13" s="52">
        <v>2024</v>
      </c>
      <c r="O13" s="52">
        <v>2025</v>
      </c>
      <c r="P13" s="52">
        <v>2026</v>
      </c>
      <c r="Q13" s="52">
        <v>2027</v>
      </c>
      <c r="R13" s="52">
        <v>2028</v>
      </c>
    </row>
    <row r="14" spans="1:18" x14ac:dyDescent="0.2">
      <c r="B14" t="s">
        <v>12</v>
      </c>
      <c r="G14" s="15">
        <v>1166.35408886613</v>
      </c>
      <c r="H14" s="15">
        <v>1514.22298222516</v>
      </c>
      <c r="I14" s="15">
        <v>1342.4486450388899</v>
      </c>
      <c r="J14" s="15">
        <v>1677.1439457830199</v>
      </c>
      <c r="K14" s="15">
        <v>1670.18496145944</v>
      </c>
      <c r="L14" s="15">
        <v>1212.9384745002501</v>
      </c>
      <c r="M14" s="16">
        <v>1336.6710801467</v>
      </c>
      <c r="N14" s="87">
        <f>(1+N15)*M14</f>
        <v>1440.425730437988</v>
      </c>
      <c r="O14" s="87">
        <f t="shared" ref="O14:R14" si="9">(1+O15)*N14</f>
        <v>1552.3265391456712</v>
      </c>
      <c r="P14" s="87">
        <f t="shared" si="9"/>
        <v>1672.5251649125939</v>
      </c>
      <c r="Q14" s="87">
        <f t="shared" si="9"/>
        <v>1802.8101326444034</v>
      </c>
      <c r="R14" s="87">
        <f t="shared" si="9"/>
        <v>1930.2609241580826</v>
      </c>
    </row>
    <row r="15" spans="1:18" x14ac:dyDescent="0.2">
      <c r="B15" t="s">
        <v>8</v>
      </c>
      <c r="G15" s="17">
        <f>G14/G4</f>
        <v>7.7171920984954734E-2</v>
      </c>
      <c r="H15" s="17">
        <f t="shared" ref="H15:M15" si="10">H14/H4</f>
        <v>7.9468482297183105E-2</v>
      </c>
      <c r="I15" s="17">
        <f t="shared" si="10"/>
        <v>7.4170062736251999E-2</v>
      </c>
      <c r="J15" s="17">
        <f t="shared" si="10"/>
        <v>0.1283079307524638</v>
      </c>
      <c r="K15" s="17">
        <f t="shared" si="10"/>
        <v>8.5161558261895393E-2</v>
      </c>
      <c r="L15" s="17">
        <f t="shared" si="10"/>
        <v>4.6065036439947214E-2</v>
      </c>
      <c r="M15" s="18">
        <f t="shared" si="10"/>
        <v>5.3006744662200102E-2</v>
      </c>
      <c r="N15" s="92">
        <f>AVERAGE(G15:M15)</f>
        <v>7.762167659069949E-2</v>
      </c>
      <c r="O15" s="92">
        <f t="shared" ref="O15:R15" si="11">AVERAGE(H15:N15)</f>
        <v>7.7685927391520165E-2</v>
      </c>
      <c r="P15" s="92">
        <f t="shared" si="11"/>
        <v>7.7431276690711162E-2</v>
      </c>
      <c r="Q15" s="92">
        <f t="shared" si="11"/>
        <v>7.7897164398491037E-2</v>
      </c>
      <c r="R15" s="92">
        <f t="shared" si="11"/>
        <v>7.0695626347923507E-2</v>
      </c>
    </row>
    <row r="16" spans="1:18" x14ac:dyDescent="0.2">
      <c r="G16" s="19"/>
      <c r="H16" s="19"/>
      <c r="I16" s="19"/>
      <c r="J16" s="19"/>
      <c r="K16" s="19"/>
      <c r="L16" s="19"/>
      <c r="M16" s="20"/>
      <c r="N16" s="91"/>
      <c r="O16" s="91"/>
      <c r="P16" s="91"/>
      <c r="Q16" s="91"/>
      <c r="R16" s="91"/>
    </row>
    <row r="17" spans="1:21" x14ac:dyDescent="0.2">
      <c r="B17" t="s">
        <v>13</v>
      </c>
      <c r="G17" s="15">
        <v>-1048.87826524617</v>
      </c>
      <c r="H17" s="15">
        <v>-1386.5954736851099</v>
      </c>
      <c r="I17" s="15">
        <v>-2041.4125831512099</v>
      </c>
      <c r="J17" s="15">
        <v>-1439.81529936589</v>
      </c>
      <c r="K17" s="15">
        <v>-1634.3597369081799</v>
      </c>
      <c r="L17" s="15">
        <v>-1645.42992262545</v>
      </c>
      <c r="M17" s="16">
        <v>-1427.83538422121</v>
      </c>
      <c r="N17" s="87">
        <f>(1+N18)*M17</f>
        <v>-1312.0673818576581</v>
      </c>
      <c r="O17" s="87">
        <f t="shared" ref="O17:R17" si="12">(1+O18)*N17</f>
        <v>-1203.4964512570293</v>
      </c>
      <c r="P17" s="87">
        <f t="shared" si="12"/>
        <v>-1102.1941225087562</v>
      </c>
      <c r="Q17" s="87">
        <f t="shared" si="12"/>
        <v>-1013.9242603765413</v>
      </c>
      <c r="R17" s="87">
        <f t="shared" si="12"/>
        <v>-937.07846173012854</v>
      </c>
    </row>
    <row r="18" spans="1:21" x14ac:dyDescent="0.2">
      <c r="B18" t="s">
        <v>8</v>
      </c>
      <c r="G18" s="17">
        <f>G17/G4</f>
        <v>-6.9399122771630531E-2</v>
      </c>
      <c r="H18" s="17">
        <f t="shared" ref="H18:M18" si="13">H17/H4</f>
        <v>-7.2770417004220572E-2</v>
      </c>
      <c r="I18" s="17">
        <f t="shared" si="13"/>
        <v>-0.11278770321863089</v>
      </c>
      <c r="J18" s="17">
        <f t="shared" si="13"/>
        <v>-0.11015138097828915</v>
      </c>
      <c r="K18" s="17">
        <f t="shared" si="13"/>
        <v>-8.3334855221052745E-2</v>
      </c>
      <c r="L18" s="17">
        <f t="shared" si="13"/>
        <v>-6.2490217713928452E-2</v>
      </c>
      <c r="M18" s="18">
        <f t="shared" si="13"/>
        <v>-5.6621936956069714E-2</v>
      </c>
      <c r="N18" s="92">
        <f>AVERAGE(G18:M18)</f>
        <v>-8.10793762662603E-2</v>
      </c>
      <c r="O18" s="92">
        <f t="shared" ref="O18:R18" si="14">AVERAGE(H18:N18)</f>
        <v>-8.2747983908350253E-2</v>
      </c>
      <c r="P18" s="92">
        <f t="shared" si="14"/>
        <v>-8.4173350608940198E-2</v>
      </c>
      <c r="Q18" s="92">
        <f t="shared" si="14"/>
        <v>-8.0085585950412957E-2</v>
      </c>
      <c r="R18" s="92">
        <f t="shared" si="14"/>
        <v>-7.5790472375002096E-2</v>
      </c>
    </row>
    <row r="19" spans="1:21" x14ac:dyDescent="0.2">
      <c r="G19" s="19"/>
      <c r="H19" s="19"/>
      <c r="I19" s="19"/>
      <c r="J19" s="19"/>
      <c r="K19" s="19"/>
      <c r="L19" s="19"/>
      <c r="M19" s="20"/>
      <c r="N19" s="91"/>
      <c r="O19" s="91"/>
      <c r="P19" s="91"/>
      <c r="Q19" s="91"/>
      <c r="R19" s="91"/>
    </row>
    <row r="20" spans="1:21" x14ac:dyDescent="0.2">
      <c r="B20" t="s">
        <v>14</v>
      </c>
      <c r="G20" s="15">
        <v>-278.83189776428401</v>
      </c>
      <c r="H20" s="15">
        <v>-411.37047744525199</v>
      </c>
      <c r="I20" s="15">
        <v>-17</v>
      </c>
      <c r="J20" s="15">
        <v>66</v>
      </c>
      <c r="K20" s="15">
        <v>-901</v>
      </c>
      <c r="L20" s="15">
        <v>-1448</v>
      </c>
      <c r="M20" s="16">
        <v>296</v>
      </c>
      <c r="N20" s="87">
        <f>(1+N21)*M20</f>
        <v>290.70905613243269</v>
      </c>
      <c r="O20" s="87">
        <f t="shared" ref="O20:R20" si="15">(1+O21)*N20</f>
        <v>285.53653028769281</v>
      </c>
      <c r="P20" s="87">
        <f t="shared" si="15"/>
        <v>280.61090049317949</v>
      </c>
      <c r="Q20" s="87">
        <f t="shared" si="15"/>
        <v>275.11636888551715</v>
      </c>
      <c r="R20" s="87">
        <f t="shared" si="15"/>
        <v>268.76141248350064</v>
      </c>
    </row>
    <row r="21" spans="1:21" x14ac:dyDescent="0.2">
      <c r="B21" t="s">
        <v>8</v>
      </c>
      <c r="G21" s="17">
        <f>G20/G4</f>
        <v>-1.8448937066160583E-2</v>
      </c>
      <c r="H21" s="17">
        <f t="shared" ref="H21:L21" si="16">H20/H4</f>
        <v>-2.1589282350213811E-2</v>
      </c>
      <c r="I21" s="17">
        <f t="shared" si="16"/>
        <v>-9.3924715196815349E-4</v>
      </c>
      <c r="J21" s="17">
        <f t="shared" si="16"/>
        <v>5.0492526005029015E-3</v>
      </c>
      <c r="K21" s="17">
        <f t="shared" si="16"/>
        <v>-4.594135725358172E-2</v>
      </c>
      <c r="L21" s="17">
        <f t="shared" si="16"/>
        <v>-5.4992214500018989E-2</v>
      </c>
      <c r="M21" s="18">
        <f>M20/M4</f>
        <v>1.1738113177618274E-2</v>
      </c>
      <c r="N21" s="92">
        <f>AVERAGE(G21:M21)</f>
        <v>-1.7874810363403153E-2</v>
      </c>
      <c r="O21" s="92">
        <f t="shared" ref="O21:R21" si="17">AVERAGE(H21:N21)</f>
        <v>-1.7792792263009234E-2</v>
      </c>
      <c r="P21" s="92">
        <f t="shared" si="17"/>
        <v>-1.7250436536265724E-2</v>
      </c>
      <c r="Q21" s="92">
        <f>AVERAGE(J21:P21)</f>
        <v>-1.9580606448308235E-2</v>
      </c>
      <c r="R21" s="92">
        <f t="shared" si="17"/>
        <v>-2.3099157740995541E-2</v>
      </c>
    </row>
    <row r="22" spans="1:21" x14ac:dyDescent="0.2">
      <c r="M22" s="2"/>
      <c r="N22" s="60"/>
      <c r="O22" s="60"/>
      <c r="P22" s="60"/>
      <c r="Q22" s="60"/>
      <c r="R22" s="60"/>
    </row>
    <row r="23" spans="1:21" x14ac:dyDescent="0.2">
      <c r="A23" s="1"/>
      <c r="B23" s="6" t="s">
        <v>15</v>
      </c>
      <c r="C23" s="6"/>
      <c r="D23" s="6"/>
      <c r="E23" s="6"/>
      <c r="F23" s="6"/>
      <c r="G23" s="6">
        <v>2017</v>
      </c>
      <c r="H23" s="6">
        <v>2018</v>
      </c>
      <c r="I23" s="6">
        <v>2019</v>
      </c>
      <c r="J23" s="6">
        <v>2020</v>
      </c>
      <c r="K23" s="6">
        <v>2021</v>
      </c>
      <c r="L23" s="6">
        <v>2022</v>
      </c>
      <c r="M23" s="7">
        <v>2023</v>
      </c>
      <c r="N23" s="6">
        <v>2024</v>
      </c>
      <c r="O23" s="6">
        <v>2025</v>
      </c>
      <c r="P23" s="6">
        <v>2026</v>
      </c>
      <c r="Q23" s="6">
        <v>2027</v>
      </c>
      <c r="R23" s="6">
        <v>2028</v>
      </c>
    </row>
    <row r="24" spans="1:21" x14ac:dyDescent="0.2">
      <c r="M24" s="2"/>
    </row>
    <row r="25" spans="1:21" x14ac:dyDescent="0.2">
      <c r="B25" t="s">
        <v>16</v>
      </c>
      <c r="G25" s="21"/>
      <c r="H25" s="21"/>
      <c r="I25" s="21"/>
      <c r="J25" s="21"/>
      <c r="K25" s="21"/>
      <c r="L25" s="21"/>
      <c r="M25" s="22"/>
      <c r="N25" s="21">
        <f t="shared" ref="N25:R25" si="18">N7-N10</f>
        <v>1714.4560437255934</v>
      </c>
      <c r="O25" s="21">
        <f t="shared" si="18"/>
        <v>1818.7569905793937</v>
      </c>
      <c r="P25" s="21">
        <f t="shared" si="18"/>
        <v>1928.6916115799768</v>
      </c>
      <c r="Q25" s="21">
        <f t="shared" si="18"/>
        <v>2054.5326073306496</v>
      </c>
      <c r="R25" s="21">
        <f t="shared" si="18"/>
        <v>2195.1309134789603</v>
      </c>
    </row>
    <row r="26" spans="1:21" x14ac:dyDescent="0.2">
      <c r="B26" t="s">
        <v>17</v>
      </c>
      <c r="G26" s="21"/>
      <c r="H26" s="21"/>
      <c r="I26" s="21"/>
      <c r="J26" s="21"/>
      <c r="K26" s="21"/>
      <c r="L26" s="21"/>
      <c r="M26" s="22"/>
      <c r="N26" s="21">
        <f t="shared" ref="N26:R26" si="19">N25+N14-N17-N20</f>
        <v>4176.2400998888061</v>
      </c>
      <c r="O26" s="21">
        <f t="shared" si="19"/>
        <v>4289.0434506944021</v>
      </c>
      <c r="P26" s="21">
        <f t="shared" si="19"/>
        <v>4422.7999985081469</v>
      </c>
      <c r="Q26" s="21">
        <f t="shared" si="19"/>
        <v>4596.1506314660774</v>
      </c>
      <c r="R26" s="21">
        <f t="shared" si="19"/>
        <v>4793.7088868836709</v>
      </c>
    </row>
    <row r="27" spans="1:21" s="1" customFormat="1" x14ac:dyDescent="0.2">
      <c r="B27" s="1" t="s">
        <v>18</v>
      </c>
      <c r="M27" s="3"/>
      <c r="N27" s="29">
        <f>N26/(1+'WACC &amp; TV'!$C$20)^DCF!N2</f>
        <v>4006.3880132140962</v>
      </c>
      <c r="O27" s="29">
        <f>O26/(1+'WACC &amp; TV'!$C$20)^DCF!O2</f>
        <v>3947.258270318875</v>
      </c>
      <c r="P27" s="29">
        <f>P26/(1+'WACC &amp; TV'!$C$20)^DCF!P2</f>
        <v>3904.8103599640085</v>
      </c>
      <c r="Q27" s="29">
        <f>Q26/(1+'WACC &amp; TV'!$C$20)^DCF!Q2</f>
        <v>3892.821125134119</v>
      </c>
      <c r="R27" s="29">
        <f>R26/(1+'WACC &amp; TV'!$C$20)^DCF!R2</f>
        <v>3895.0173821165049</v>
      </c>
      <c r="S27" s="29"/>
    </row>
    <row r="28" spans="1:21" x14ac:dyDescent="0.2">
      <c r="M28" s="2"/>
    </row>
    <row r="29" spans="1:21" x14ac:dyDescent="0.2">
      <c r="B29" t="s">
        <v>19</v>
      </c>
      <c r="M29" s="2"/>
      <c r="R29" s="21">
        <f>(DCF!R26*(1-0.01))/('WACC &amp; TV'!C20-'WACC &amp; TV'!J6)</f>
        <v>146495.61583070294</v>
      </c>
      <c r="U29" s="37"/>
    </row>
    <row r="30" spans="1:21" x14ac:dyDescent="0.2">
      <c r="B30" s="30" t="s">
        <v>21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/>
      <c r="N30" s="30"/>
      <c r="O30" s="30"/>
      <c r="P30" s="30"/>
      <c r="Q30" s="30"/>
      <c r="R30" s="32">
        <f>R29/(1+'WACC &amp; TV'!$C$20)^DCF!R2</f>
        <v>119031.62739516949</v>
      </c>
      <c r="U30" s="12"/>
    </row>
    <row r="31" spans="1:21" x14ac:dyDescent="0.2">
      <c r="B31" t="s">
        <v>23</v>
      </c>
      <c r="M31" s="2"/>
      <c r="R31" s="21">
        <f>SUM(N27:R27)+R30</f>
        <v>138677.9225459171</v>
      </c>
    </row>
    <row r="32" spans="1:21" x14ac:dyDescent="0.2">
      <c r="B32" s="33" t="s">
        <v>24</v>
      </c>
      <c r="M32" s="2"/>
      <c r="R32" s="21">
        <f>1192.05980337722+388</f>
        <v>1580.0598033772201</v>
      </c>
    </row>
    <row r="33" spans="2:24" x14ac:dyDescent="0.2">
      <c r="B33" s="34" t="s">
        <v>25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  <c r="N33" s="30"/>
      <c r="O33" s="30"/>
      <c r="P33" s="30"/>
      <c r="Q33" s="30"/>
      <c r="R33" s="32">
        <f>535+2636</f>
        <v>3171</v>
      </c>
    </row>
    <row r="34" spans="2:24" x14ac:dyDescent="0.2">
      <c r="B34" t="s">
        <v>26</v>
      </c>
      <c r="M34" s="2"/>
      <c r="P34" t="s">
        <v>27</v>
      </c>
      <c r="R34" s="21">
        <f>R31+R32-R33</f>
        <v>137086.98234929433</v>
      </c>
      <c r="T34" s="5"/>
      <c r="U34" s="5"/>
      <c r="V34" s="5"/>
      <c r="W34" s="5"/>
      <c r="X34" s="5"/>
    </row>
    <row r="35" spans="2:24" x14ac:dyDescent="0.2">
      <c r="B35" s="30" t="s">
        <v>28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1"/>
      <c r="N35" s="30"/>
      <c r="O35" s="30"/>
      <c r="P35" s="30"/>
      <c r="Q35" s="30"/>
      <c r="R35" s="35">
        <v>819.42540199999996</v>
      </c>
    </row>
    <row r="36" spans="2:24" x14ac:dyDescent="0.2">
      <c r="B36" s="1" t="s">
        <v>29</v>
      </c>
      <c r="R36">
        <f>R34/R35</f>
        <v>167.29647630486116</v>
      </c>
      <c r="V36" s="11"/>
    </row>
    <row r="38" spans="2:24" x14ac:dyDescent="0.2">
      <c r="S38" s="72"/>
      <c r="T38" s="72"/>
      <c r="U38" s="72"/>
    </row>
    <row r="39" spans="2:24" x14ac:dyDescent="0.2">
      <c r="S39" s="72"/>
      <c r="T39" s="86"/>
      <c r="U39" s="72"/>
    </row>
    <row r="40" spans="2:24" x14ac:dyDescent="0.2">
      <c r="S40" s="72"/>
      <c r="T40" s="86"/>
      <c r="U40" s="72"/>
    </row>
    <row r="41" spans="2:24" x14ac:dyDescent="0.2">
      <c r="S41" s="72"/>
      <c r="T41" s="72"/>
      <c r="U41" s="72"/>
    </row>
    <row r="42" spans="2:24" ht="51" x14ac:dyDescent="0.2">
      <c r="S42" s="57" t="s">
        <v>267</v>
      </c>
    </row>
    <row r="43" spans="2:24" x14ac:dyDescent="0.2">
      <c r="T43" s="60" t="s">
        <v>268</v>
      </c>
      <c r="U43" s="87">
        <v>2788.5756016436908</v>
      </c>
    </row>
    <row r="44" spans="2:24" x14ac:dyDescent="0.2">
      <c r="T44" s="88" t="s">
        <v>269</v>
      </c>
      <c r="U44" s="89">
        <v>6.84</v>
      </c>
    </row>
    <row r="45" spans="2:24" x14ac:dyDescent="0.2">
      <c r="T45" s="60" t="s">
        <v>270</v>
      </c>
      <c r="U45" s="87">
        <f>U43*U44</f>
        <v>19073.857115242845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7DE3-6D3E-AD49-9417-64C97952CCE6}">
  <dimension ref="B2:I26"/>
  <sheetViews>
    <sheetView workbookViewId="0">
      <selection activeCell="D13" sqref="D13"/>
    </sheetView>
  </sheetViews>
  <sheetFormatPr baseColWidth="10" defaultColWidth="11" defaultRowHeight="16" x14ac:dyDescent="0.2"/>
  <cols>
    <col min="2" max="2" width="19.1640625" bestFit="1" customWidth="1"/>
  </cols>
  <sheetData>
    <row r="2" spans="2:9" x14ac:dyDescent="0.2">
      <c r="B2" s="1" t="s">
        <v>30</v>
      </c>
    </row>
    <row r="3" spans="2:9" x14ac:dyDescent="0.2">
      <c r="B3">
        <v>1</v>
      </c>
      <c r="C3" t="s">
        <v>31</v>
      </c>
      <c r="H3" s="1"/>
    </row>
    <row r="4" spans="2:9" x14ac:dyDescent="0.2">
      <c r="I4" t="s">
        <v>32</v>
      </c>
    </row>
    <row r="5" spans="2:9" x14ac:dyDescent="0.2">
      <c r="B5">
        <v>2</v>
      </c>
      <c r="C5" t="s">
        <v>33</v>
      </c>
    </row>
    <row r="7" spans="2:9" x14ac:dyDescent="0.2">
      <c r="B7">
        <v>3</v>
      </c>
      <c r="C7" t="s">
        <v>34</v>
      </c>
    </row>
    <row r="9" spans="2:9" x14ac:dyDescent="0.2">
      <c r="B9">
        <v>4</v>
      </c>
      <c r="C9" t="s">
        <v>35</v>
      </c>
    </row>
    <row r="11" spans="2:9" x14ac:dyDescent="0.2">
      <c r="B11">
        <v>5</v>
      </c>
      <c r="C11" t="s">
        <v>36</v>
      </c>
    </row>
    <row r="18" spans="2:3" x14ac:dyDescent="0.2">
      <c r="B18" s="1" t="s">
        <v>37</v>
      </c>
    </row>
    <row r="19" spans="2:3" x14ac:dyDescent="0.2">
      <c r="C19" t="s">
        <v>38</v>
      </c>
    </row>
    <row r="25" spans="2:3" x14ac:dyDescent="0.2">
      <c r="B25" s="1" t="s">
        <v>39</v>
      </c>
      <c r="C25" s="9">
        <v>8.9099999999999999E-2</v>
      </c>
    </row>
    <row r="26" spans="2:3" x14ac:dyDescent="0.2">
      <c r="B26" s="1" t="s">
        <v>40</v>
      </c>
      <c r="C26" s="12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7BB4-80A4-424E-97E5-0A1BF94DC258}">
  <dimension ref="B1:J20"/>
  <sheetViews>
    <sheetView showGridLines="0" zoomScale="187" workbookViewId="0">
      <selection activeCell="I20" sqref="I20"/>
    </sheetView>
  </sheetViews>
  <sheetFormatPr baseColWidth="10" defaultColWidth="11" defaultRowHeight="16" x14ac:dyDescent="0.2"/>
  <cols>
    <col min="1" max="1" width="0.83203125" customWidth="1"/>
    <col min="2" max="2" width="19" customWidth="1"/>
    <col min="3" max="3" width="11.6640625" bestFit="1" customWidth="1"/>
    <col min="9" max="9" width="9.1640625" customWidth="1"/>
  </cols>
  <sheetData>
    <row r="1" spans="2:10" ht="5" customHeight="1" x14ac:dyDescent="0.2"/>
    <row r="2" spans="2:10" x14ac:dyDescent="0.2">
      <c r="B2" s="1" t="s">
        <v>20</v>
      </c>
      <c r="I2" s="1" t="s">
        <v>42</v>
      </c>
    </row>
    <row r="3" spans="2:10" x14ac:dyDescent="0.2">
      <c r="B3" t="s">
        <v>43</v>
      </c>
      <c r="I3" t="s">
        <v>44</v>
      </c>
    </row>
    <row r="4" spans="2:10" x14ac:dyDescent="0.2">
      <c r="B4" t="s">
        <v>45</v>
      </c>
      <c r="I4" t="s">
        <v>46</v>
      </c>
    </row>
    <row r="6" spans="2:10" x14ac:dyDescent="0.2">
      <c r="B6" t="s">
        <v>47</v>
      </c>
      <c r="C6" s="24">
        <f>2635.89972044801+535</f>
        <v>3170.8997204480102</v>
      </c>
      <c r="I6" s="1" t="s">
        <v>22</v>
      </c>
      <c r="J6" s="36">
        <v>0.01</v>
      </c>
    </row>
    <row r="7" spans="2:10" x14ac:dyDescent="0.2">
      <c r="B7" t="s">
        <v>48</v>
      </c>
      <c r="C7" s="28">
        <f>C6/C18</f>
        <v>0.32123715266596714</v>
      </c>
    </row>
    <row r="8" spans="2:10" x14ac:dyDescent="0.2">
      <c r="B8" t="s">
        <v>49</v>
      </c>
      <c r="C8" s="25">
        <v>0.02</v>
      </c>
    </row>
    <row r="9" spans="2:10" x14ac:dyDescent="0.2">
      <c r="B9" t="s">
        <v>50</v>
      </c>
      <c r="C9" s="25">
        <v>0.09</v>
      </c>
    </row>
    <row r="10" spans="2:10" x14ac:dyDescent="0.2">
      <c r="C10" s="8"/>
    </row>
    <row r="11" spans="2:10" x14ac:dyDescent="0.2">
      <c r="B11" t="s">
        <v>26</v>
      </c>
      <c r="C11" s="26">
        <v>6700</v>
      </c>
    </row>
    <row r="12" spans="2:10" x14ac:dyDescent="0.2">
      <c r="B12" t="s">
        <v>51</v>
      </c>
      <c r="C12" s="28">
        <f>C11/C18</f>
        <v>0.6787628473340328</v>
      </c>
    </row>
    <row r="13" spans="2:10" x14ac:dyDescent="0.2">
      <c r="B13" t="s">
        <v>52</v>
      </c>
      <c r="C13" s="27">
        <f>C14+(C15*(C16-C14))</f>
        <v>5.3846199999999997E-2</v>
      </c>
    </row>
    <row r="14" spans="2:10" x14ac:dyDescent="0.2">
      <c r="B14" t="s">
        <v>53</v>
      </c>
      <c r="C14" s="27">
        <v>4.2180000000000002E-2</v>
      </c>
    </row>
    <row r="15" spans="2:10" x14ac:dyDescent="0.2">
      <c r="B15" t="s">
        <v>54</v>
      </c>
      <c r="C15" s="8">
        <v>0.91</v>
      </c>
    </row>
    <row r="16" spans="2:10" x14ac:dyDescent="0.2">
      <c r="B16" t="s">
        <v>55</v>
      </c>
      <c r="C16" s="27">
        <v>5.5E-2</v>
      </c>
    </row>
    <row r="18" spans="2:3" x14ac:dyDescent="0.2">
      <c r="B18" t="s">
        <v>56</v>
      </c>
      <c r="C18" s="21">
        <f>C6+C11</f>
        <v>9870.8997204480111</v>
      </c>
    </row>
    <row r="20" spans="2:3" x14ac:dyDescent="0.2">
      <c r="B20" s="1" t="s">
        <v>20</v>
      </c>
      <c r="C20" s="9">
        <f>(C12*C13)+(C7*C8*(1-C9))</f>
        <v>4.2395316208638401E-2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A13C-7821-074B-ACA8-515415753531}">
  <sheetPr>
    <tabColor theme="5" tint="0.59999389629810485"/>
  </sheetPr>
  <dimension ref="B1:Q28"/>
  <sheetViews>
    <sheetView showGridLines="0" zoomScale="118" workbookViewId="0">
      <selection activeCell="N22" sqref="N22"/>
    </sheetView>
  </sheetViews>
  <sheetFormatPr baseColWidth="10" defaultColWidth="11" defaultRowHeight="16" x14ac:dyDescent="0.2"/>
  <cols>
    <col min="1" max="1" width="2.83203125" customWidth="1"/>
    <col min="2" max="3" width="16" customWidth="1"/>
    <col min="5" max="5" width="17" bestFit="1" customWidth="1"/>
    <col min="6" max="6" width="19.83203125" bestFit="1" customWidth="1"/>
    <col min="8" max="8" width="14.33203125" bestFit="1" customWidth="1"/>
    <col min="10" max="10" width="11.1640625" bestFit="1" customWidth="1"/>
    <col min="14" max="14" width="12.6640625" customWidth="1"/>
    <col min="15" max="16" width="12.6640625" bestFit="1" customWidth="1"/>
    <col min="17" max="17" width="56.83203125" customWidth="1"/>
  </cols>
  <sheetData>
    <row r="1" spans="2:16" x14ac:dyDescent="0.2">
      <c r="C1" t="s">
        <v>57</v>
      </c>
      <c r="K1" t="s">
        <v>58</v>
      </c>
    </row>
    <row r="2" spans="2:16" x14ac:dyDescent="0.2">
      <c r="B2" s="1" t="s">
        <v>59</v>
      </c>
      <c r="C2" s="1"/>
    </row>
    <row r="3" spans="2:16" ht="17" customHeight="1" x14ac:dyDescent="0.2">
      <c r="L3" t="s">
        <v>60</v>
      </c>
    </row>
    <row r="4" spans="2:16" s="1" customFormat="1" x14ac:dyDescent="0.2">
      <c r="B4" s="1" t="s">
        <v>61</v>
      </c>
      <c r="C4" s="1" t="s">
        <v>62</v>
      </c>
      <c r="D4" s="6" t="s">
        <v>29</v>
      </c>
      <c r="E4" s="6" t="s">
        <v>63</v>
      </c>
      <c r="F4" s="6" t="s">
        <v>26</v>
      </c>
      <c r="G4" s="6" t="s">
        <v>64</v>
      </c>
      <c r="H4" s="6" t="s">
        <v>23</v>
      </c>
      <c r="J4" s="6" t="s">
        <v>65</v>
      </c>
      <c r="K4" s="6" t="s">
        <v>66</v>
      </c>
      <c r="L4" s="6" t="s">
        <v>67</v>
      </c>
      <c r="N4" s="6" t="s">
        <v>68</v>
      </c>
      <c r="O4" s="6" t="s">
        <v>69</v>
      </c>
      <c r="P4" s="6" t="s">
        <v>70</v>
      </c>
    </row>
    <row r="5" spans="2:16" s="8" customFormat="1" x14ac:dyDescent="0.2">
      <c r="B5" s="8" t="s">
        <v>71</v>
      </c>
      <c r="C5" s="8" t="s">
        <v>72</v>
      </c>
      <c r="D5" s="8">
        <v>7.96</v>
      </c>
      <c r="E5" s="23">
        <v>819.42540199999996</v>
      </c>
      <c r="F5" s="4">
        <f t="shared" ref="F5:F10" si="0">D5*E5</f>
        <v>6522.6261999199996</v>
      </c>
      <c r="G5" s="8">
        <v>8220.34</v>
      </c>
      <c r="H5" s="21">
        <f>F5+G5</f>
        <v>14742.96619992</v>
      </c>
      <c r="J5" s="4">
        <v>26838</v>
      </c>
      <c r="K5" s="4">
        <v>4807</v>
      </c>
      <c r="L5" s="4">
        <v>2316</v>
      </c>
      <c r="N5" s="38">
        <f>$H5/$J5</f>
        <v>0.54933177583724568</v>
      </c>
      <c r="O5" s="38">
        <f>$H5/$K5</f>
        <v>3.0669786145038485</v>
      </c>
      <c r="P5" s="38">
        <f>F5/L5</f>
        <v>2.8163325560967185</v>
      </c>
    </row>
    <row r="6" spans="2:16" x14ac:dyDescent="0.2">
      <c r="B6" t="s">
        <v>73</v>
      </c>
      <c r="C6" t="s">
        <v>74</v>
      </c>
      <c r="D6">
        <v>0.14000000000000001</v>
      </c>
      <c r="E6" s="23">
        <v>62311.462282</v>
      </c>
      <c r="F6" s="4">
        <f t="shared" si="0"/>
        <v>8723.6047194800012</v>
      </c>
      <c r="G6" s="8">
        <v>767.35</v>
      </c>
      <c r="H6" s="21">
        <f t="shared" ref="H6:H10" si="1">F6+G6</f>
        <v>9490.9547194800016</v>
      </c>
      <c r="J6" s="4">
        <v>12153</v>
      </c>
      <c r="K6" s="4">
        <v>2463</v>
      </c>
      <c r="L6" s="4">
        <v>2239</v>
      </c>
      <c r="N6" s="38">
        <f t="shared" ref="N6:N10" si="2">$H6/$J6</f>
        <v>0.78095570801283642</v>
      </c>
      <c r="O6" s="38">
        <f t="shared" ref="O6:O10" si="3">$H6/$K6</f>
        <v>3.8534123911814868</v>
      </c>
      <c r="P6" s="38">
        <f>F6/L6</f>
        <v>3.8962057702009831</v>
      </c>
    </row>
    <row r="7" spans="2:16" x14ac:dyDescent="0.2">
      <c r="B7" s="8" t="s">
        <v>75</v>
      </c>
      <c r="C7" s="8" t="s">
        <v>76</v>
      </c>
      <c r="D7">
        <v>527.71</v>
      </c>
      <c r="E7" s="23">
        <v>10</v>
      </c>
      <c r="F7" s="4">
        <f t="shared" si="0"/>
        <v>5277.1</v>
      </c>
      <c r="G7" s="8">
        <v>1938.08</v>
      </c>
      <c r="H7" s="21">
        <f t="shared" si="1"/>
        <v>7215.18</v>
      </c>
      <c r="J7" s="4">
        <v>38007</v>
      </c>
      <c r="K7" s="4">
        <v>5224</v>
      </c>
      <c r="L7" s="4">
        <v>2051</v>
      </c>
      <c r="N7" s="38">
        <f t="shared" si="2"/>
        <v>0.18983818770226538</v>
      </c>
      <c r="O7" s="38">
        <f t="shared" si="3"/>
        <v>1.3811600306278715</v>
      </c>
      <c r="P7" s="38">
        <f t="shared" ref="P7:P10" si="4">F7/L7</f>
        <v>2.5729400292540228</v>
      </c>
    </row>
    <row r="8" spans="2:16" x14ac:dyDescent="0.2">
      <c r="B8" s="8" t="s">
        <v>77</v>
      </c>
      <c r="C8" s="8" t="s">
        <v>78</v>
      </c>
      <c r="D8">
        <v>7.69</v>
      </c>
      <c r="E8" s="23">
        <v>163.06039999999999</v>
      </c>
      <c r="F8" s="4">
        <f t="shared" si="0"/>
        <v>1253.9344759999999</v>
      </c>
      <c r="G8" s="8">
        <v>751.70187999999996</v>
      </c>
      <c r="H8" s="21">
        <f t="shared" si="1"/>
        <v>2005.636356</v>
      </c>
      <c r="J8" s="4">
        <v>4736</v>
      </c>
      <c r="K8" s="4">
        <v>996</v>
      </c>
      <c r="L8" s="4">
        <v>851</v>
      </c>
      <c r="N8" s="38">
        <f t="shared" si="2"/>
        <v>0.42348740624999998</v>
      </c>
      <c r="O8" s="38">
        <f>$H8/$K8</f>
        <v>2.0136911204819277</v>
      </c>
      <c r="P8" s="38">
        <f t="shared" si="4"/>
        <v>1.4734835205640422</v>
      </c>
    </row>
    <row r="9" spans="2:16" x14ac:dyDescent="0.2">
      <c r="B9" s="8" t="s">
        <v>79</v>
      </c>
      <c r="C9" s="8" t="s">
        <v>80</v>
      </c>
      <c r="D9">
        <v>15.71</v>
      </c>
      <c r="E9" s="23">
        <v>1160.007149</v>
      </c>
      <c r="F9" s="4">
        <f t="shared" si="0"/>
        <v>18223.712310790001</v>
      </c>
      <c r="G9" s="8">
        <v>25232</v>
      </c>
      <c r="H9" s="21">
        <f t="shared" si="1"/>
        <v>43455.712310789997</v>
      </c>
      <c r="J9" s="4">
        <v>69667</v>
      </c>
      <c r="K9" s="4">
        <v>10496</v>
      </c>
      <c r="L9" s="4">
        <v>8837</v>
      </c>
      <c r="N9" s="38">
        <f t="shared" si="2"/>
        <v>0.62376322090501957</v>
      </c>
      <c r="O9" s="38">
        <f>$H9/$K9</f>
        <v>4.1402164930249619</v>
      </c>
      <c r="P9" s="38">
        <f t="shared" si="4"/>
        <v>2.0622057610942628</v>
      </c>
    </row>
    <row r="10" spans="2:16" x14ac:dyDescent="0.2">
      <c r="B10" s="8" t="s">
        <v>81</v>
      </c>
      <c r="C10" s="8" t="s">
        <v>82</v>
      </c>
      <c r="D10">
        <v>16.59</v>
      </c>
      <c r="E10" s="23">
        <v>1216.817356</v>
      </c>
      <c r="F10" s="4">
        <f t="shared" si="0"/>
        <v>20186.99993604</v>
      </c>
      <c r="G10" s="8">
        <v>25928</v>
      </c>
      <c r="H10" s="21">
        <f t="shared" si="1"/>
        <v>46114.999936039996</v>
      </c>
      <c r="J10" s="4">
        <v>75000</v>
      </c>
      <c r="K10" s="4">
        <v>7182</v>
      </c>
      <c r="L10" s="4">
        <v>4601</v>
      </c>
      <c r="N10" s="38">
        <f t="shared" si="2"/>
        <v>0.61486666581386662</v>
      </c>
      <c r="O10" s="38">
        <f t="shared" si="3"/>
        <v>6.4209133856920069</v>
      </c>
      <c r="P10" s="38">
        <f t="shared" si="4"/>
        <v>4.3875244373049336</v>
      </c>
    </row>
    <row r="13" spans="2:16" x14ac:dyDescent="0.2">
      <c r="B13" s="14" t="s">
        <v>83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9">
        <f>MAX(N6:N10)</f>
        <v>0.78095570801283642</v>
      </c>
      <c r="O13" s="39">
        <f t="shared" ref="O13:P13" si="5">MAX(O6:O10)</f>
        <v>6.4209133856920069</v>
      </c>
      <c r="P13" s="39">
        <f t="shared" si="5"/>
        <v>4.3875244373049336</v>
      </c>
    </row>
    <row r="14" spans="2:16" x14ac:dyDescent="0.2">
      <c r="B14" s="14" t="s">
        <v>84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39">
        <f>QUARTILE(N6:N10,3)</f>
        <v>0.62376322090501957</v>
      </c>
      <c r="O14" s="39">
        <f t="shared" ref="O14:P14" si="6">QUARTILE(O6:O10,3)</f>
        <v>4.1402164930249619</v>
      </c>
      <c r="P14" s="39">
        <f t="shared" si="6"/>
        <v>3.8962057702009831</v>
      </c>
    </row>
    <row r="15" spans="2:16" s="8" customFormat="1" x14ac:dyDescent="0.2">
      <c r="B15" s="76" t="s">
        <v>85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>
        <f>AVERAGE(N6:N10)</f>
        <v>0.52658223773679746</v>
      </c>
      <c r="O15" s="77">
        <f t="shared" ref="O15:P15" si="7">AVERAGE(O6:O10)</f>
        <v>3.5618786842016505</v>
      </c>
      <c r="P15" s="77">
        <f t="shared" si="7"/>
        <v>2.878471903683649</v>
      </c>
    </row>
    <row r="16" spans="2:16" x14ac:dyDescent="0.2">
      <c r="B16" s="13" t="s">
        <v>86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41">
        <f>QUARTILE(N6:N10,2)</f>
        <v>0.61486666581386662</v>
      </c>
      <c r="O16" s="41">
        <f t="shared" ref="O16:P16" si="8">QUARTILE(O6:O10,2)</f>
        <v>3.8534123911814868</v>
      </c>
      <c r="P16" s="41">
        <f t="shared" si="8"/>
        <v>2.5729400292540228</v>
      </c>
    </row>
    <row r="17" spans="2:17" x14ac:dyDescent="0.2">
      <c r="B17" s="14" t="s">
        <v>87</v>
      </c>
      <c r="C17" s="14"/>
      <c r="D17" s="14"/>
      <c r="E17" s="14"/>
      <c r="F17" s="14"/>
      <c r="G17" s="14"/>
      <c r="H17" s="14"/>
      <c r="I17" s="14"/>
      <c r="J17" s="40"/>
      <c r="K17" s="14"/>
      <c r="L17" s="14"/>
      <c r="M17" s="14"/>
      <c r="N17" s="39">
        <f>QUARTILE(N6:N10,1)</f>
        <v>0.42348740624999998</v>
      </c>
      <c r="O17" s="39">
        <f t="shared" ref="O17:P17" si="9">QUARTILE(O6:O10,1)</f>
        <v>2.0136911204819277</v>
      </c>
      <c r="P17" s="39">
        <f t="shared" si="9"/>
        <v>2.0622057610942628</v>
      </c>
    </row>
    <row r="18" spans="2:17" x14ac:dyDescent="0.2">
      <c r="B18" s="14" t="s">
        <v>88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39">
        <f>MIN(N6:N10)</f>
        <v>0.18983818770226538</v>
      </c>
      <c r="O18" s="39">
        <f t="shared" ref="O18:P18" si="10">MIN(O6:O10)</f>
        <v>1.3811600306278715</v>
      </c>
      <c r="P18" s="39">
        <f t="shared" si="10"/>
        <v>1.4734835205640422</v>
      </c>
    </row>
    <row r="20" spans="2:17" x14ac:dyDescent="0.2">
      <c r="L20" s="21"/>
    </row>
    <row r="21" spans="2:17" x14ac:dyDescent="0.2">
      <c r="B21" s="1" t="s">
        <v>89</v>
      </c>
      <c r="N21" s="6" t="s">
        <v>68</v>
      </c>
      <c r="O21" s="6" t="s">
        <v>69</v>
      </c>
      <c r="P21" s="6" t="s">
        <v>70</v>
      </c>
    </row>
    <row r="22" spans="2:17" x14ac:dyDescent="0.2">
      <c r="B22" t="s">
        <v>90</v>
      </c>
      <c r="N22" s="23">
        <f>N16*J5</f>
        <v>16501.791577112552</v>
      </c>
      <c r="O22" s="23">
        <f>O16*K5</f>
        <v>18523.353364409406</v>
      </c>
      <c r="P22" s="23">
        <f>P23+P24</f>
        <v>14179.269107752316</v>
      </c>
    </row>
    <row r="23" spans="2:17" x14ac:dyDescent="0.2">
      <c r="B23" t="s">
        <v>64</v>
      </c>
      <c r="N23" s="23">
        <f>$G$5</f>
        <v>8220.34</v>
      </c>
      <c r="O23" s="23">
        <f>$G$5</f>
        <v>8220.34</v>
      </c>
      <c r="P23" s="23">
        <f>$G$5</f>
        <v>8220.34</v>
      </c>
    </row>
    <row r="24" spans="2:17" x14ac:dyDescent="0.2">
      <c r="B24" t="s">
        <v>91</v>
      </c>
      <c r="N24" s="23">
        <f>N22-N23</f>
        <v>8281.4515771125516</v>
      </c>
      <c r="O24" s="23">
        <f>O22-O23</f>
        <v>10303.013364409406</v>
      </c>
      <c r="P24" s="23">
        <f>P16*L5</f>
        <v>5958.9291077523167</v>
      </c>
    </row>
    <row r="25" spans="2:17" x14ac:dyDescent="0.2">
      <c r="B25" t="s">
        <v>63</v>
      </c>
      <c r="N25" s="23">
        <f>$E$5</f>
        <v>819.42540199999996</v>
      </c>
      <c r="O25" s="23">
        <f>$E$5</f>
        <v>819.42540199999996</v>
      </c>
      <c r="P25" s="23">
        <f>$E$5</f>
        <v>819.42540199999996</v>
      </c>
    </row>
    <row r="26" spans="2:17" s="1" customFormat="1" x14ac:dyDescent="0.2">
      <c r="B26" s="6" t="s">
        <v>92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2">
        <f>N24/N25</f>
        <v>10.106413051022979</v>
      </c>
      <c r="O26" s="42">
        <f>O24/O25</f>
        <v>12.573461036553766</v>
      </c>
      <c r="P26" s="42">
        <f>P24/P25</f>
        <v>7.2720824778047541</v>
      </c>
    </row>
    <row r="28" spans="2:17" ht="98" customHeight="1" x14ac:dyDescent="0.2">
      <c r="Q28" s="57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FBC3-2420-254A-B1BD-768D21CF3730}">
  <sheetPr>
    <tabColor theme="8" tint="0.79998168889431442"/>
  </sheetPr>
  <dimension ref="B1:V25"/>
  <sheetViews>
    <sheetView workbookViewId="0">
      <selection activeCell="S19" sqref="S19:U20"/>
    </sheetView>
  </sheetViews>
  <sheetFormatPr baseColWidth="10" defaultRowHeight="16" x14ac:dyDescent="0.2"/>
  <cols>
    <col min="1" max="1" width="1.33203125" customWidth="1"/>
    <col min="2" max="2" width="16.1640625" customWidth="1"/>
    <col min="3" max="3" width="18.33203125" customWidth="1"/>
    <col min="4" max="4" width="17.1640625" customWidth="1"/>
    <col min="5" max="5" width="15.33203125" customWidth="1"/>
    <col min="9" max="9" width="13" customWidth="1"/>
    <col min="10" max="10" width="16.1640625" customWidth="1"/>
    <col min="17" max="17" width="14.33203125" customWidth="1"/>
    <col min="22" max="22" width="74.5" customWidth="1"/>
  </cols>
  <sheetData>
    <row r="1" spans="2:21" x14ac:dyDescent="0.2">
      <c r="B1" t="s">
        <v>102</v>
      </c>
      <c r="K1" s="1" t="s">
        <v>266</v>
      </c>
    </row>
    <row r="2" spans="2:21" x14ac:dyDescent="0.2">
      <c r="N2" t="s">
        <v>111</v>
      </c>
    </row>
    <row r="3" spans="2:21" s="44" customFormat="1" x14ac:dyDescent="0.2">
      <c r="B3" s="45" t="s">
        <v>93</v>
      </c>
      <c r="C3" s="45" t="s">
        <v>94</v>
      </c>
      <c r="D3" s="45" t="s">
        <v>95</v>
      </c>
      <c r="E3" s="45" t="s">
        <v>96</v>
      </c>
      <c r="F3" s="45" t="s">
        <v>97</v>
      </c>
      <c r="G3" s="45" t="s">
        <v>98</v>
      </c>
      <c r="H3" s="45"/>
      <c r="I3" s="45" t="s">
        <v>99</v>
      </c>
      <c r="J3" s="45" t="s">
        <v>100</v>
      </c>
      <c r="K3" s="45" t="s">
        <v>101</v>
      </c>
      <c r="L3" s="45"/>
      <c r="M3" s="45" t="s">
        <v>103</v>
      </c>
      <c r="N3" s="45" t="s">
        <v>66</v>
      </c>
      <c r="O3" s="45" t="s">
        <v>7</v>
      </c>
      <c r="P3" s="45" t="s">
        <v>64</v>
      </c>
      <c r="Q3" s="45" t="s">
        <v>23</v>
      </c>
      <c r="R3" s="45"/>
      <c r="S3" s="45" t="s">
        <v>68</v>
      </c>
      <c r="T3" s="45" t="s">
        <v>69</v>
      </c>
      <c r="U3" s="45" t="s">
        <v>104</v>
      </c>
    </row>
    <row r="4" spans="2:21" x14ac:dyDescent="0.2">
      <c r="B4">
        <v>2015</v>
      </c>
      <c r="C4" t="s">
        <v>105</v>
      </c>
      <c r="D4" t="s">
        <v>106</v>
      </c>
      <c r="E4" s="43">
        <v>70000</v>
      </c>
      <c r="F4" s="12">
        <v>1</v>
      </c>
      <c r="G4" s="43">
        <f>E4*F4</f>
        <v>70000</v>
      </c>
      <c r="H4" s="43"/>
      <c r="I4" s="43">
        <v>3.41</v>
      </c>
      <c r="J4" s="43">
        <v>3416.39</v>
      </c>
      <c r="K4" s="43">
        <f>I4*J4</f>
        <v>11649.8899</v>
      </c>
      <c r="L4" s="43"/>
      <c r="M4" s="43">
        <v>16419</v>
      </c>
      <c r="N4" s="43">
        <v>5633</v>
      </c>
      <c r="O4" s="43">
        <v>3173</v>
      </c>
      <c r="P4" s="43">
        <v>10068</v>
      </c>
      <c r="Q4" s="43">
        <f>K4+P4</f>
        <v>21717.889900000002</v>
      </c>
      <c r="R4" s="43"/>
      <c r="S4" s="43">
        <f>Q4/M4</f>
        <v>1.3227291491564652</v>
      </c>
      <c r="T4" s="43">
        <f>Q4/N4</f>
        <v>3.8554748624178949</v>
      </c>
      <c r="U4" s="43">
        <f>Q4/O4</f>
        <v>6.8445918373778767</v>
      </c>
    </row>
    <row r="5" spans="2:21" x14ac:dyDescent="0.2">
      <c r="B5">
        <v>2017</v>
      </c>
      <c r="C5" t="s">
        <v>107</v>
      </c>
      <c r="D5" t="s">
        <v>108</v>
      </c>
      <c r="E5" s="43">
        <v>7450</v>
      </c>
      <c r="F5" s="12">
        <v>1</v>
      </c>
      <c r="G5" s="43">
        <f>E5*F5</f>
        <v>7450</v>
      </c>
      <c r="H5" s="43"/>
      <c r="I5" s="43">
        <v>1369.3</v>
      </c>
      <c r="J5" s="43">
        <v>20.059999999999999</v>
      </c>
      <c r="K5" s="43">
        <f>I5*J5</f>
        <v>27468.157999999996</v>
      </c>
      <c r="L5" s="43"/>
      <c r="M5" s="43">
        <v>30945</v>
      </c>
      <c r="N5" s="43">
        <v>3532</v>
      </c>
      <c r="O5" s="43">
        <v>-904</v>
      </c>
      <c r="P5" s="43">
        <v>12705</v>
      </c>
      <c r="Q5" s="43">
        <f>K5+P5</f>
        <v>40173.157999999996</v>
      </c>
      <c r="R5" s="43"/>
      <c r="S5" s="43">
        <f>Q5/M5</f>
        <v>1.298211601227985</v>
      </c>
      <c r="T5" s="43">
        <f>Q5/N5</f>
        <v>11.374053793884483</v>
      </c>
      <c r="U5" s="43">
        <f>Q5/O5</f>
        <v>-44.439334070796455</v>
      </c>
    </row>
    <row r="6" spans="2:21" x14ac:dyDescent="0.2">
      <c r="B6">
        <v>2019</v>
      </c>
      <c r="C6" t="s">
        <v>109</v>
      </c>
      <c r="D6" t="s">
        <v>110</v>
      </c>
      <c r="E6" s="43">
        <v>38000</v>
      </c>
      <c r="F6" s="12">
        <v>1</v>
      </c>
      <c r="G6" s="43">
        <f>E6*F6</f>
        <v>38000</v>
      </c>
      <c r="H6" s="43"/>
      <c r="I6" s="43">
        <v>72.819999999999993</v>
      </c>
      <c r="J6" s="43">
        <v>499.57</v>
      </c>
      <c r="K6" s="43">
        <f>I6*J6</f>
        <v>36378.687399999995</v>
      </c>
      <c r="L6" s="43"/>
      <c r="M6" s="43">
        <v>13070</v>
      </c>
      <c r="N6" s="43">
        <v>7421</v>
      </c>
      <c r="O6" s="43">
        <v>2432</v>
      </c>
      <c r="P6" s="43">
        <v>18833</v>
      </c>
      <c r="Q6" s="43">
        <f>K6+P6</f>
        <v>55211.687399999995</v>
      </c>
      <c r="R6" s="43"/>
      <c r="S6" s="43">
        <f>Q6/M6</f>
        <v>4.2243066105585303</v>
      </c>
      <c r="T6" s="43">
        <f>Q6/N6</f>
        <v>7.4399255356420957</v>
      </c>
      <c r="U6" s="43">
        <f>Q6/O6</f>
        <v>22.702174095394735</v>
      </c>
    </row>
    <row r="7" spans="2:21" x14ac:dyDescent="0.2">
      <c r="B7" t="s">
        <v>112</v>
      </c>
    </row>
    <row r="10" spans="2:21" x14ac:dyDescent="0.2">
      <c r="B10" s="60" t="s">
        <v>113</v>
      </c>
      <c r="C10" s="60"/>
      <c r="D10" s="60"/>
      <c r="E10" s="74"/>
      <c r="F10" s="74"/>
      <c r="G10" s="74"/>
      <c r="H10" s="74"/>
      <c r="I10" s="74"/>
      <c r="J10" s="74"/>
      <c r="K10" s="60"/>
      <c r="L10" s="60"/>
      <c r="M10" s="60"/>
      <c r="N10" s="60"/>
      <c r="O10" s="60"/>
      <c r="P10" s="60"/>
      <c r="Q10" s="60"/>
      <c r="R10" s="60"/>
      <c r="S10" s="75">
        <f>MAX(S4:S6)</f>
        <v>4.2243066105585303</v>
      </c>
      <c r="T10" s="75">
        <f t="shared" ref="T10:U10" si="0">MAX(T4:T6)</f>
        <v>11.374053793884483</v>
      </c>
      <c r="U10" s="75">
        <f t="shared" si="0"/>
        <v>22.702174095394735</v>
      </c>
    </row>
    <row r="11" spans="2:21" s="8" customFormat="1" x14ac:dyDescent="0.2">
      <c r="B11" s="80" t="s">
        <v>114</v>
      </c>
      <c r="C11" s="80"/>
      <c r="D11" s="80"/>
      <c r="E11" s="81"/>
      <c r="F11" s="81"/>
      <c r="G11" s="81"/>
      <c r="H11" s="81"/>
      <c r="I11" s="81"/>
      <c r="J11" s="81"/>
      <c r="K11" s="80"/>
      <c r="L11" s="80"/>
      <c r="M11" s="80"/>
      <c r="N11" s="80"/>
      <c r="O11" s="80"/>
      <c r="P11" s="80"/>
      <c r="Q11" s="80"/>
      <c r="R11" s="80"/>
      <c r="S11" s="82">
        <f>AVERAGE(S4:S6)</f>
        <v>2.281749120314327</v>
      </c>
      <c r="T11" s="82">
        <f t="shared" ref="T11:U11" si="1">AVERAGE(T4:T6)</f>
        <v>7.5564847306481582</v>
      </c>
      <c r="U11" s="82">
        <f t="shared" si="1"/>
        <v>-4.9641893793412812</v>
      </c>
    </row>
    <row r="12" spans="2:21" s="1" customFormat="1" x14ac:dyDescent="0.2">
      <c r="B12" s="52" t="s">
        <v>86</v>
      </c>
      <c r="C12" s="52"/>
      <c r="D12" s="52"/>
      <c r="E12" s="78"/>
      <c r="F12" s="78"/>
      <c r="G12" s="78"/>
      <c r="H12" s="78"/>
      <c r="I12" s="78"/>
      <c r="J12" s="78"/>
      <c r="K12" s="52"/>
      <c r="L12" s="52"/>
      <c r="M12" s="52"/>
      <c r="N12" s="52"/>
      <c r="O12" s="52"/>
      <c r="P12" s="52"/>
      <c r="Q12" s="52"/>
      <c r="R12" s="52"/>
      <c r="S12" s="79">
        <f>MEDIAN(S4:S6)</f>
        <v>1.3227291491564652</v>
      </c>
      <c r="T12" s="79">
        <f t="shared" ref="T12:U12" si="2">MEDIAN(T4:T6)</f>
        <v>7.4399255356420957</v>
      </c>
      <c r="U12" s="79">
        <f t="shared" si="2"/>
        <v>6.8445918373778767</v>
      </c>
    </row>
    <row r="13" spans="2:21" x14ac:dyDescent="0.2">
      <c r="B13" s="60" t="s">
        <v>115</v>
      </c>
      <c r="C13" s="60"/>
      <c r="D13" s="60"/>
      <c r="E13" s="74"/>
      <c r="F13" s="74"/>
      <c r="G13" s="74"/>
      <c r="H13" s="74"/>
      <c r="I13" s="74"/>
      <c r="J13" s="74"/>
      <c r="K13" s="60"/>
      <c r="L13" s="60"/>
      <c r="M13" s="60"/>
      <c r="N13" s="60"/>
      <c r="O13" s="60"/>
      <c r="P13" s="60"/>
      <c r="Q13" s="60"/>
      <c r="R13" s="60"/>
      <c r="S13" s="75">
        <f>MIN(S4:S6)</f>
        <v>1.298211601227985</v>
      </c>
      <c r="T13" s="75">
        <f t="shared" ref="T13:U13" si="3">MIN(T4:T6)</f>
        <v>3.8554748624178949</v>
      </c>
      <c r="U13" s="75">
        <f t="shared" si="3"/>
        <v>-44.439334070796455</v>
      </c>
    </row>
    <row r="14" spans="2:21" x14ac:dyDescent="0.2">
      <c r="E14" s="72"/>
      <c r="F14" s="72"/>
      <c r="G14" s="72"/>
      <c r="H14" s="72"/>
      <c r="I14" s="72"/>
      <c r="J14" s="72"/>
    </row>
    <row r="15" spans="2:21" x14ac:dyDescent="0.2">
      <c r="E15" s="72"/>
      <c r="F15" s="72"/>
      <c r="G15" s="72"/>
      <c r="H15" s="72"/>
      <c r="I15" s="72"/>
      <c r="J15" s="72"/>
    </row>
    <row r="16" spans="2:21" x14ac:dyDescent="0.2">
      <c r="B16" s="1" t="s">
        <v>262</v>
      </c>
      <c r="E16" s="72"/>
      <c r="F16" s="73"/>
      <c r="G16" s="72"/>
      <c r="H16" s="72"/>
      <c r="I16" s="8">
        <v>7.96</v>
      </c>
      <c r="J16" s="23">
        <v>819.42540199999996</v>
      </c>
      <c r="K16" s="4">
        <f t="shared" ref="K16" si="4">I16*J16</f>
        <v>6522.6261999199996</v>
      </c>
      <c r="M16" s="4">
        <v>26838</v>
      </c>
      <c r="N16" s="4">
        <v>4807</v>
      </c>
      <c r="O16">
        <v>1936</v>
      </c>
      <c r="P16" s="8">
        <v>8220.34</v>
      </c>
      <c r="Q16" s="29"/>
    </row>
    <row r="17" spans="5:22" x14ac:dyDescent="0.2">
      <c r="E17" s="72"/>
      <c r="F17" s="72"/>
      <c r="G17" s="72"/>
      <c r="H17" s="72"/>
      <c r="I17" s="72"/>
      <c r="J17" s="72"/>
    </row>
    <row r="18" spans="5:22" x14ac:dyDescent="0.2">
      <c r="E18" s="72"/>
      <c r="F18" s="72"/>
      <c r="G18" s="72"/>
      <c r="H18" s="72"/>
      <c r="I18" s="72"/>
      <c r="J18" s="72"/>
    </row>
    <row r="19" spans="5:22" x14ac:dyDescent="0.2">
      <c r="E19" s="72"/>
      <c r="F19" s="72"/>
      <c r="G19" s="72"/>
      <c r="H19" s="72"/>
      <c r="I19" s="72"/>
      <c r="J19" s="72"/>
      <c r="S19" s="97" t="s">
        <v>263</v>
      </c>
      <c r="T19" s="97"/>
      <c r="U19" s="97"/>
    </row>
    <row r="20" spans="5:22" x14ac:dyDescent="0.2">
      <c r="E20" s="72"/>
      <c r="F20" s="72"/>
      <c r="G20" s="72"/>
      <c r="H20" s="72"/>
      <c r="I20" s="72"/>
      <c r="J20" s="72"/>
      <c r="S20" s="82">
        <f>S12*M16</f>
        <v>35499.404905061216</v>
      </c>
      <c r="T20" s="82">
        <f>T12 *N16</f>
        <v>35763.722049831551</v>
      </c>
      <c r="U20" s="82">
        <f>U12*O16</f>
        <v>13251.129797163569</v>
      </c>
    </row>
    <row r="21" spans="5:22" x14ac:dyDescent="0.2">
      <c r="E21" s="72"/>
      <c r="F21" s="72"/>
      <c r="G21" s="72"/>
      <c r="H21" s="72"/>
      <c r="I21" s="72"/>
      <c r="J21" s="72"/>
    </row>
    <row r="22" spans="5:22" ht="85" x14ac:dyDescent="0.2">
      <c r="E22" s="72"/>
      <c r="F22" s="72"/>
      <c r="G22" s="72"/>
      <c r="H22" s="72"/>
      <c r="I22" s="72"/>
      <c r="J22" s="72"/>
      <c r="V22" s="57" t="s">
        <v>264</v>
      </c>
    </row>
    <row r="23" spans="5:22" x14ac:dyDescent="0.2">
      <c r="E23" s="72"/>
      <c r="F23" s="72"/>
      <c r="G23" s="72"/>
      <c r="H23" s="72"/>
      <c r="I23" s="72"/>
      <c r="J23" s="72"/>
    </row>
    <row r="24" spans="5:22" x14ac:dyDescent="0.2">
      <c r="E24" s="72"/>
      <c r="F24" s="72"/>
      <c r="G24" s="72"/>
      <c r="H24" s="72"/>
      <c r="I24" s="72"/>
      <c r="J24" s="72"/>
    </row>
    <row r="25" spans="5:22" x14ac:dyDescent="0.2">
      <c r="E25" s="72"/>
      <c r="F25" s="72"/>
      <c r="G25" s="72"/>
      <c r="H25" s="72"/>
      <c r="I25" s="72"/>
      <c r="J25" s="72"/>
    </row>
  </sheetData>
  <mergeCells count="1">
    <mergeCell ref="S19:U19"/>
  </mergeCells>
  <pageMargins left="0.7" right="0.7" top="0.75" bottom="0.75" header="0.3" footer="0.3"/>
  <ignoredErrors>
    <ignoredError sqref="T20" formula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56F6-C983-4243-8726-06633FBF2070}">
  <sheetPr>
    <tabColor theme="4" tint="0.79998168889431442"/>
  </sheetPr>
  <dimension ref="B1:J57"/>
  <sheetViews>
    <sheetView zoomScale="110" workbookViewId="0">
      <selection activeCell="C4" sqref="C4"/>
    </sheetView>
  </sheetViews>
  <sheetFormatPr baseColWidth="10" defaultRowHeight="16" x14ac:dyDescent="0.2"/>
  <cols>
    <col min="1" max="1" width="2.33203125" customWidth="1"/>
    <col min="2" max="2" width="46.83203125" bestFit="1" customWidth="1"/>
    <col min="4" max="5" width="12.1640625" bestFit="1" customWidth="1"/>
    <col min="6" max="6" width="17.5" bestFit="1" customWidth="1"/>
    <col min="7" max="7" width="17.1640625" bestFit="1" customWidth="1"/>
    <col min="9" max="9" width="58.6640625" customWidth="1"/>
  </cols>
  <sheetData>
    <row r="1" spans="2:10" x14ac:dyDescent="0.2">
      <c r="B1" t="s">
        <v>197</v>
      </c>
    </row>
    <row r="2" spans="2:10" x14ac:dyDescent="0.2">
      <c r="B2" s="1" t="s">
        <v>206</v>
      </c>
    </row>
    <row r="4" spans="2:10" x14ac:dyDescent="0.2">
      <c r="B4" s="1" t="s">
        <v>117</v>
      </c>
      <c r="J4" s="1"/>
    </row>
    <row r="6" spans="2:10" x14ac:dyDescent="0.2">
      <c r="B6" s="1" t="s">
        <v>118</v>
      </c>
      <c r="C6" s="1"/>
      <c r="D6" s="63" t="s">
        <v>163</v>
      </c>
      <c r="E6" s="63" t="s">
        <v>164</v>
      </c>
      <c r="F6" s="63" t="s">
        <v>166</v>
      </c>
      <c r="G6" s="63" t="s">
        <v>167</v>
      </c>
      <c r="I6" s="1" t="s">
        <v>204</v>
      </c>
    </row>
    <row r="7" spans="2:10" x14ac:dyDescent="0.2">
      <c r="B7" t="s">
        <v>119</v>
      </c>
    </row>
    <row r="8" spans="2:10" x14ac:dyDescent="0.2">
      <c r="B8" t="s">
        <v>120</v>
      </c>
      <c r="D8" s="21">
        <v>11539.663605216199</v>
      </c>
      <c r="E8" s="21">
        <v>10162.582715979201</v>
      </c>
      <c r="F8" s="49">
        <f>D8-E8</f>
        <v>1377.0808892369987</v>
      </c>
      <c r="G8" s="50">
        <f>F8/E8</f>
        <v>0.13550501164155218</v>
      </c>
    </row>
    <row r="9" spans="2:10" x14ac:dyDescent="0.2">
      <c r="B9" t="s">
        <v>121</v>
      </c>
      <c r="D9" s="21">
        <v>46.065077620944798</v>
      </c>
      <c r="E9" s="21">
        <v>25.177881513522301</v>
      </c>
      <c r="F9" s="21">
        <f t="shared" ref="F9:F57" si="0">D9-E9</f>
        <v>20.887196107422497</v>
      </c>
      <c r="G9" s="47">
        <f t="shared" ref="G9:G57" si="1">F9/E9</f>
        <v>0.82958512995641021</v>
      </c>
    </row>
    <row r="10" spans="2:10" x14ac:dyDescent="0.2">
      <c r="B10" t="s">
        <v>122</v>
      </c>
      <c r="D10" s="21">
        <v>1517.0557798868726</v>
      </c>
      <c r="E10" s="21">
        <v>1470.9012288942799</v>
      </c>
      <c r="F10" s="21">
        <f t="shared" si="0"/>
        <v>46.154550992592704</v>
      </c>
      <c r="G10" s="47">
        <f t="shared" si="1"/>
        <v>3.1378416229408179E-2</v>
      </c>
    </row>
    <row r="11" spans="2:10" x14ac:dyDescent="0.2">
      <c r="B11" t="s">
        <v>123</v>
      </c>
      <c r="D11" s="21">
        <v>589.38528461494104</v>
      </c>
      <c r="E11" s="21">
        <v>507.89270129099202</v>
      </c>
      <c r="F11" s="21">
        <f t="shared" si="0"/>
        <v>81.49258332394902</v>
      </c>
      <c r="G11" s="47">
        <f t="shared" si="1"/>
        <v>0.16045236152598039</v>
      </c>
    </row>
    <row r="12" spans="2:10" x14ac:dyDescent="0.2">
      <c r="B12" t="s">
        <v>124</v>
      </c>
      <c r="D12" s="21">
        <v>900.83179935056103</v>
      </c>
      <c r="E12" s="21">
        <v>905.79929887937794</v>
      </c>
      <c r="F12" s="21">
        <f t="shared" si="0"/>
        <v>-4.9674995288169157</v>
      </c>
      <c r="G12" s="47">
        <f t="shared" si="1"/>
        <v>-5.4841061755761195E-3</v>
      </c>
    </row>
    <row r="13" spans="2:10" x14ac:dyDescent="0.2">
      <c r="B13" t="s">
        <v>125</v>
      </c>
      <c r="D13" s="21">
        <v>390.03245995554897</v>
      </c>
      <c r="E13" s="21">
        <v>292.53476943143198</v>
      </c>
      <c r="F13" s="21">
        <f t="shared" si="0"/>
        <v>97.49769052411699</v>
      </c>
      <c r="G13" s="47">
        <f t="shared" si="1"/>
        <v>0.33328582005350216</v>
      </c>
    </row>
    <row r="14" spans="2:10" x14ac:dyDescent="0.2">
      <c r="B14" t="s">
        <v>126</v>
      </c>
      <c r="D14" s="21">
        <v>207.814774237964</v>
      </c>
      <c r="E14" s="21">
        <v>226.732339991483</v>
      </c>
      <c r="F14" s="21">
        <f t="shared" si="0"/>
        <v>-18.917565753519</v>
      </c>
      <c r="G14" s="47">
        <f t="shared" si="1"/>
        <v>-8.3435674655982561E-2</v>
      </c>
    </row>
    <row r="15" spans="2:10" s="1" customFormat="1" x14ac:dyDescent="0.2">
      <c r="B15" s="1" t="s">
        <v>127</v>
      </c>
      <c r="D15" s="29">
        <v>15190.84878088303</v>
      </c>
      <c r="E15" s="29">
        <v>13592.620935980285</v>
      </c>
      <c r="F15" s="29">
        <f t="shared" si="0"/>
        <v>1598.2278449027453</v>
      </c>
      <c r="G15" s="48">
        <f t="shared" si="1"/>
        <v>0.11758054994913922</v>
      </c>
    </row>
    <row r="16" spans="2:10" ht="24" customHeight="1" x14ac:dyDescent="0.2">
      <c r="B16" s="60"/>
      <c r="C16" s="60"/>
      <c r="D16" s="65"/>
      <c r="E16" s="65"/>
      <c r="F16" s="65"/>
      <c r="G16" s="66"/>
      <c r="H16" s="60"/>
      <c r="I16" s="68" t="s">
        <v>219</v>
      </c>
    </row>
    <row r="17" spans="2:9" x14ac:dyDescent="0.2">
      <c r="B17" t="s">
        <v>128</v>
      </c>
      <c r="D17" s="21"/>
      <c r="E17" s="21"/>
      <c r="F17" s="21"/>
      <c r="G17" s="47"/>
    </row>
    <row r="18" spans="2:9" x14ac:dyDescent="0.2">
      <c r="B18" t="s">
        <v>129</v>
      </c>
      <c r="D18" s="21">
        <v>2397.4512502514176</v>
      </c>
      <c r="E18" s="21">
        <v>2653.9732441839101</v>
      </c>
      <c r="F18" s="21">
        <f t="shared" si="0"/>
        <v>-256.52199393249248</v>
      </c>
      <c r="G18" s="47">
        <f t="shared" si="1"/>
        <v>-9.6655832719735019E-2</v>
      </c>
    </row>
    <row r="19" spans="2:9" x14ac:dyDescent="0.2">
      <c r="B19" t="s">
        <v>130</v>
      </c>
      <c r="D19" s="21">
        <v>2768.39235136243</v>
      </c>
      <c r="E19" s="21">
        <v>2479.5324430792498</v>
      </c>
      <c r="F19" s="21">
        <f t="shared" si="0"/>
        <v>288.85990828318018</v>
      </c>
      <c r="G19" s="47">
        <f t="shared" si="1"/>
        <v>0.11649773290502081</v>
      </c>
    </row>
    <row r="20" spans="2:9" x14ac:dyDescent="0.2">
      <c r="B20" t="s">
        <v>131</v>
      </c>
      <c r="D20" s="21">
        <v>10.8631361361273</v>
      </c>
      <c r="E20" s="21">
        <v>19.4191037212521</v>
      </c>
      <c r="F20" s="21">
        <f t="shared" si="0"/>
        <v>-8.5559675851247992</v>
      </c>
      <c r="G20" s="47">
        <f t="shared" si="1"/>
        <v>-0.44059539039184503</v>
      </c>
    </row>
    <row r="21" spans="2:9" x14ac:dyDescent="0.2">
      <c r="B21" t="s">
        <v>132</v>
      </c>
      <c r="D21" s="21">
        <v>186.590875865946</v>
      </c>
      <c r="E21" s="21">
        <v>473.70945705654202</v>
      </c>
      <c r="F21" s="21">
        <f t="shared" si="0"/>
        <v>-287.11858119059605</v>
      </c>
      <c r="G21" s="47">
        <f t="shared" si="1"/>
        <v>-0.6061069225314738</v>
      </c>
    </row>
    <row r="22" spans="2:9" x14ac:dyDescent="0.2">
      <c r="B22" t="s">
        <v>133</v>
      </c>
      <c r="D22" s="21">
        <v>72.732350098141296</v>
      </c>
      <c r="E22" s="21">
        <v>32.579100162372299</v>
      </c>
      <c r="F22" s="21">
        <f t="shared" si="0"/>
        <v>40.153249935768997</v>
      </c>
      <c r="G22" s="47">
        <f t="shared" si="1"/>
        <v>1.2324849285476758</v>
      </c>
    </row>
    <row r="23" spans="2:9" x14ac:dyDescent="0.2">
      <c r="B23" t="s">
        <v>134</v>
      </c>
      <c r="D23" s="21">
        <v>1192.0598033772201</v>
      </c>
      <c r="E23" s="21">
        <v>1584.4443013442401</v>
      </c>
      <c r="F23" s="49">
        <f t="shared" si="0"/>
        <v>-392.38449796702002</v>
      </c>
      <c r="G23" s="50">
        <f t="shared" si="1"/>
        <v>-0.24764802248594137</v>
      </c>
    </row>
    <row r="24" spans="2:9" x14ac:dyDescent="0.2">
      <c r="B24" t="s">
        <v>135</v>
      </c>
      <c r="D24" s="21">
        <v>387.94514285587002</v>
      </c>
      <c r="E24" s="21">
        <v>257.03547203473101</v>
      </c>
      <c r="F24" s="21">
        <f t="shared" si="0"/>
        <v>130.909670821139</v>
      </c>
      <c r="G24" s="47">
        <f t="shared" si="1"/>
        <v>0.50930585488780433</v>
      </c>
    </row>
    <row r="25" spans="2:9" x14ac:dyDescent="0.2">
      <c r="B25" t="s">
        <v>136</v>
      </c>
      <c r="D25" s="21">
        <v>28.207415742985901</v>
      </c>
      <c r="E25" s="21">
        <v>115.425324792376</v>
      </c>
      <c r="F25" s="21">
        <f t="shared" si="0"/>
        <v>-87.217909049390101</v>
      </c>
      <c r="G25" s="47">
        <f t="shared" si="1"/>
        <v>-0.75562195043657321</v>
      </c>
    </row>
    <row r="26" spans="2:9" s="1" customFormat="1" x14ac:dyDescent="0.2">
      <c r="B26" s="1" t="s">
        <v>41</v>
      </c>
      <c r="D26" s="29">
        <v>7044.2423256901393</v>
      </c>
      <c r="E26" s="29">
        <v>7616.1184463746731</v>
      </c>
      <c r="F26" s="29">
        <f t="shared" si="0"/>
        <v>-571.87612068453382</v>
      </c>
      <c r="G26" s="48">
        <f t="shared" si="1"/>
        <v>-7.5087608564799957E-2</v>
      </c>
    </row>
    <row r="27" spans="2:9" x14ac:dyDescent="0.2">
      <c r="D27" s="21"/>
      <c r="E27" s="21"/>
      <c r="F27" s="21"/>
      <c r="G27" s="47"/>
    </row>
    <row r="28" spans="2:9" s="1" customFormat="1" ht="39" customHeight="1" x14ac:dyDescent="0.2">
      <c r="B28" s="52" t="s">
        <v>137</v>
      </c>
      <c r="C28" s="52"/>
      <c r="D28" s="53">
        <v>22235.091106573171</v>
      </c>
      <c r="E28" s="53">
        <v>21208.739382354957</v>
      </c>
      <c r="F28" s="53">
        <f t="shared" si="0"/>
        <v>1026.3517242182133</v>
      </c>
      <c r="G28" s="54">
        <f t="shared" si="1"/>
        <v>4.8392867945376686E-2</v>
      </c>
      <c r="H28" s="52"/>
      <c r="I28" s="68" t="s">
        <v>224</v>
      </c>
    </row>
    <row r="29" spans="2:9" ht="36" customHeight="1" x14ac:dyDescent="0.2">
      <c r="B29" s="60"/>
      <c r="C29" s="60"/>
      <c r="D29" s="65"/>
      <c r="E29" s="65"/>
      <c r="F29" s="65"/>
      <c r="G29" s="66"/>
      <c r="H29" s="60"/>
      <c r="I29" s="68" t="s">
        <v>225</v>
      </c>
    </row>
    <row r="30" spans="2:9" s="1" customFormat="1" x14ac:dyDescent="0.2">
      <c r="B30" s="1" t="s">
        <v>138</v>
      </c>
      <c r="D30" s="29"/>
      <c r="E30" s="29"/>
      <c r="F30" s="29"/>
      <c r="G30" s="48"/>
      <c r="I30" s="69"/>
    </row>
    <row r="31" spans="2:9" x14ac:dyDescent="0.2">
      <c r="B31" t="s">
        <v>139</v>
      </c>
      <c r="D31" s="21"/>
      <c r="E31" s="21"/>
      <c r="F31" s="21"/>
      <c r="G31" s="47"/>
      <c r="I31" s="69"/>
    </row>
    <row r="32" spans="2:9" x14ac:dyDescent="0.2">
      <c r="B32" t="s">
        <v>140</v>
      </c>
      <c r="D32" s="21">
        <v>228.58886463456699</v>
      </c>
      <c r="E32" s="21">
        <v>210.32105552332001</v>
      </c>
      <c r="F32" s="21">
        <f t="shared" si="0"/>
        <v>18.267809111246976</v>
      </c>
      <c r="G32" s="47">
        <f t="shared" si="1"/>
        <v>8.6856777443385713E-2</v>
      </c>
      <c r="I32" s="69"/>
    </row>
    <row r="33" spans="2:9" x14ac:dyDescent="0.2">
      <c r="B33" t="s">
        <v>141</v>
      </c>
      <c r="D33" s="21">
        <v>9316.2706982767504</v>
      </c>
      <c r="E33" s="21">
        <v>7194</v>
      </c>
      <c r="F33" s="49">
        <f t="shared" si="0"/>
        <v>2122.2706982767504</v>
      </c>
      <c r="G33" s="50">
        <f t="shared" si="1"/>
        <v>0.29500565725281491</v>
      </c>
      <c r="I33" s="69"/>
    </row>
    <row r="34" spans="2:9" x14ac:dyDescent="0.2">
      <c r="B34" t="s">
        <v>142</v>
      </c>
      <c r="D34" s="21">
        <v>1529.6098198764801</v>
      </c>
      <c r="E34" s="21">
        <v>2267</v>
      </c>
      <c r="F34" s="21">
        <f t="shared" si="0"/>
        <v>-737.39018012351994</v>
      </c>
      <c r="G34" s="47">
        <f t="shared" si="1"/>
        <v>-0.32527136308933391</v>
      </c>
      <c r="I34" s="69"/>
    </row>
    <row r="35" spans="2:9" x14ac:dyDescent="0.2">
      <c r="B35" t="s">
        <v>143</v>
      </c>
      <c r="D35" s="21">
        <v>11075.469382787798</v>
      </c>
      <c r="E35" s="21">
        <v>9671.4384024491483</v>
      </c>
      <c r="F35" s="21">
        <f t="shared" si="0"/>
        <v>1404.0309803386499</v>
      </c>
      <c r="G35" s="51">
        <f t="shared" si="1"/>
        <v>0.14517292277672986</v>
      </c>
      <c r="I35" s="69"/>
    </row>
    <row r="36" spans="2:9" x14ac:dyDescent="0.2">
      <c r="B36" t="s">
        <v>144</v>
      </c>
      <c r="D36" s="21">
        <v>1041.0827425672501</v>
      </c>
      <c r="E36" s="21">
        <v>1009.22532797061</v>
      </c>
      <c r="F36" s="21">
        <f t="shared" si="0"/>
        <v>31.857414596640069</v>
      </c>
      <c r="G36" s="47">
        <f t="shared" si="1"/>
        <v>3.1566205993561629E-2</v>
      </c>
      <c r="I36" s="69"/>
    </row>
    <row r="37" spans="2:9" s="1" customFormat="1" x14ac:dyDescent="0.2">
      <c r="B37" s="1" t="s">
        <v>145</v>
      </c>
      <c r="D37" s="29">
        <v>12115.552125355</v>
      </c>
      <c r="E37" s="29">
        <v>10679.663730419757</v>
      </c>
      <c r="F37" s="29">
        <f t="shared" si="0"/>
        <v>1435.8883949352421</v>
      </c>
      <c r="G37" s="48">
        <f t="shared" si="1"/>
        <v>0.13445071223031901</v>
      </c>
      <c r="I37" s="69"/>
    </row>
    <row r="38" spans="2:9" x14ac:dyDescent="0.2">
      <c r="D38" s="21"/>
      <c r="E38" s="21"/>
      <c r="F38" s="21"/>
      <c r="G38" s="47"/>
      <c r="I38" s="69"/>
    </row>
    <row r="39" spans="2:9" x14ac:dyDescent="0.2">
      <c r="B39" t="s">
        <v>146</v>
      </c>
      <c r="D39" s="21"/>
      <c r="E39" s="21"/>
      <c r="F39" s="21"/>
      <c r="G39" s="47"/>
      <c r="I39" s="69"/>
    </row>
    <row r="40" spans="2:9" x14ac:dyDescent="0.2">
      <c r="B40" t="s">
        <v>147</v>
      </c>
      <c r="D40" s="21">
        <v>2635.8997204480102</v>
      </c>
      <c r="E40" s="21">
        <v>1731.29428319318</v>
      </c>
      <c r="F40" s="49">
        <f t="shared" si="0"/>
        <v>904.60543725483012</v>
      </c>
      <c r="G40" s="50">
        <f t="shared" si="1"/>
        <v>0.52250241107848272</v>
      </c>
      <c r="I40" s="69"/>
    </row>
    <row r="41" spans="2:9" x14ac:dyDescent="0.2">
      <c r="B41" t="s">
        <v>148</v>
      </c>
      <c r="D41" s="21">
        <v>14.8429395450874</v>
      </c>
      <c r="E41" s="21">
        <v>55.022117243398803</v>
      </c>
      <c r="F41" s="21">
        <f t="shared" si="0"/>
        <v>-40.179177698311406</v>
      </c>
      <c r="G41" s="47">
        <f t="shared" si="1"/>
        <v>-0.73023685222021961</v>
      </c>
      <c r="I41" s="69"/>
    </row>
    <row r="42" spans="2:9" x14ac:dyDescent="0.2">
      <c r="B42" t="s">
        <v>149</v>
      </c>
      <c r="D42" s="21">
        <v>1608.40392942214</v>
      </c>
      <c r="E42" s="21">
        <v>1555.7039036839899</v>
      </c>
      <c r="F42" s="21">
        <f t="shared" si="0"/>
        <v>52.700025738150089</v>
      </c>
      <c r="G42" s="47">
        <f t="shared" si="1"/>
        <v>3.3875357395037456E-2</v>
      </c>
      <c r="I42" s="69"/>
    </row>
    <row r="43" spans="2:9" x14ac:dyDescent="0.2">
      <c r="B43" t="s">
        <v>150</v>
      </c>
      <c r="D43" s="21">
        <v>424.508463182659</v>
      </c>
      <c r="E43" s="21">
        <v>341.99831979078101</v>
      </c>
      <c r="F43" s="21">
        <f t="shared" si="0"/>
        <v>82.510143391877989</v>
      </c>
      <c r="G43" s="47">
        <f t="shared" si="1"/>
        <v>0.2412589144951178</v>
      </c>
      <c r="I43" s="69"/>
    </row>
    <row r="44" spans="2:9" x14ac:dyDescent="0.2">
      <c r="B44" t="s">
        <v>151</v>
      </c>
      <c r="D44" s="21">
        <v>116.29671497229</v>
      </c>
      <c r="E44" s="21">
        <v>104.500561826555</v>
      </c>
      <c r="F44" s="21">
        <f t="shared" si="0"/>
        <v>11.796153145735005</v>
      </c>
      <c r="G44" s="47">
        <f t="shared" si="1"/>
        <v>0.11288124139766532</v>
      </c>
      <c r="I44" s="69"/>
    </row>
    <row r="45" spans="2:9" s="1" customFormat="1" x14ac:dyDescent="0.2">
      <c r="B45" s="1" t="s">
        <v>152</v>
      </c>
      <c r="D45" s="29">
        <v>4799.95176757019</v>
      </c>
      <c r="E45" s="29">
        <v>3788.5191857379045</v>
      </c>
      <c r="F45" s="29">
        <f t="shared" si="0"/>
        <v>1011.4325818322855</v>
      </c>
      <c r="G45" s="48">
        <f t="shared" si="1"/>
        <v>0.26697306579306257</v>
      </c>
      <c r="I45" s="69"/>
    </row>
    <row r="46" spans="2:9" x14ac:dyDescent="0.2">
      <c r="D46" s="21"/>
      <c r="E46" s="21"/>
      <c r="F46" s="21"/>
      <c r="G46" s="47"/>
      <c r="I46" s="69"/>
    </row>
    <row r="47" spans="2:9" x14ac:dyDescent="0.2">
      <c r="B47" t="s">
        <v>153</v>
      </c>
      <c r="D47" s="21"/>
      <c r="E47" s="21"/>
      <c r="F47" s="21"/>
      <c r="G47" s="47"/>
      <c r="I47" s="69"/>
    </row>
    <row r="48" spans="2:9" x14ac:dyDescent="0.2">
      <c r="B48" t="s">
        <v>154</v>
      </c>
      <c r="D48" s="21">
        <v>535.15956906535405</v>
      </c>
      <c r="E48" s="21">
        <v>1247.5662525314201</v>
      </c>
      <c r="F48" s="49">
        <f t="shared" si="0"/>
        <v>-712.40668346606606</v>
      </c>
      <c r="G48" s="50">
        <f t="shared" si="1"/>
        <v>-0.57103715495712637</v>
      </c>
      <c r="I48" s="69"/>
    </row>
    <row r="49" spans="2:9" x14ac:dyDescent="0.2">
      <c r="B49" t="s">
        <v>155</v>
      </c>
      <c r="D49" s="21">
        <v>2776.7152531751599</v>
      </c>
      <c r="E49" s="21">
        <v>2666.1887267195898</v>
      </c>
      <c r="F49" s="21">
        <f t="shared" si="0"/>
        <v>110.52652645557009</v>
      </c>
      <c r="G49" s="47">
        <f t="shared" si="1"/>
        <v>4.1454877274032693E-2</v>
      </c>
      <c r="I49" s="69"/>
    </row>
    <row r="50" spans="2:9" x14ac:dyDescent="0.2">
      <c r="B50" t="s">
        <v>156</v>
      </c>
      <c r="D50" s="21">
        <v>591.49185364277002</v>
      </c>
      <c r="E50" s="21">
        <v>616.09219064363697</v>
      </c>
      <c r="F50" s="21">
        <f t="shared" si="0"/>
        <v>-24.600337000866944</v>
      </c>
      <c r="G50" s="47">
        <f t="shared" si="1"/>
        <v>-3.9929636139628313E-2</v>
      </c>
      <c r="I50" s="69"/>
    </row>
    <row r="51" spans="2:9" x14ac:dyDescent="0.2">
      <c r="B51" t="s">
        <v>157</v>
      </c>
      <c r="D51" s="21">
        <v>331.220927436208</v>
      </c>
      <c r="E51" s="21">
        <v>306.11359658752002</v>
      </c>
      <c r="F51" s="21">
        <f t="shared" si="0"/>
        <v>25.10733084868798</v>
      </c>
      <c r="G51" s="47">
        <f t="shared" si="1"/>
        <v>8.2019652601447307E-2</v>
      </c>
      <c r="I51" s="69"/>
    </row>
    <row r="52" spans="2:9" x14ac:dyDescent="0.2">
      <c r="B52" t="s">
        <v>158</v>
      </c>
      <c r="D52" s="21">
        <v>175.59197002366801</v>
      </c>
      <c r="E52" s="21">
        <v>964.8265306218068</v>
      </c>
      <c r="F52" s="49">
        <f t="shared" si="0"/>
        <v>-789.23456059813884</v>
      </c>
      <c r="G52" s="50">
        <f t="shared" si="1"/>
        <v>-0.81800669400073056</v>
      </c>
      <c r="I52" s="69"/>
    </row>
    <row r="53" spans="2:9" x14ac:dyDescent="0.2">
      <c r="B53" t="s">
        <v>159</v>
      </c>
      <c r="D53" s="21">
        <v>5.9999999999999997E-15</v>
      </c>
      <c r="E53" s="21">
        <v>5.7528964624142196</v>
      </c>
      <c r="F53" s="21">
        <f t="shared" si="0"/>
        <v>-5.7528964624142134</v>
      </c>
      <c r="G53" s="47">
        <f t="shared" si="1"/>
        <v>-0.99999999999999889</v>
      </c>
      <c r="I53" s="69"/>
    </row>
    <row r="54" spans="2:9" x14ac:dyDescent="0.2">
      <c r="B54" t="s">
        <v>160</v>
      </c>
      <c r="D54" s="21">
        <v>909.40773405503796</v>
      </c>
      <c r="E54" s="21">
        <v>933.01626510854805</v>
      </c>
      <c r="F54" s="21">
        <f t="shared" si="0"/>
        <v>-23.608531053510092</v>
      </c>
      <c r="G54" s="47">
        <f t="shared" si="1"/>
        <v>-2.5303450686107225E-2</v>
      </c>
      <c r="I54" s="69"/>
    </row>
    <row r="55" spans="2:9" s="1" customFormat="1" x14ac:dyDescent="0.2">
      <c r="B55" s="1" t="s">
        <v>161</v>
      </c>
      <c r="D55" s="29">
        <v>5318.5873073982002</v>
      </c>
      <c r="E55" s="29">
        <v>6739.5564586749369</v>
      </c>
      <c r="F55" s="29">
        <f t="shared" si="0"/>
        <v>-1420.9691512767367</v>
      </c>
      <c r="G55" s="48">
        <f t="shared" si="1"/>
        <v>-0.21084015839762149</v>
      </c>
      <c r="I55" s="69"/>
    </row>
    <row r="56" spans="2:9" ht="55" customHeight="1" x14ac:dyDescent="0.2">
      <c r="B56" s="52"/>
      <c r="C56" s="52"/>
      <c r="D56" s="53"/>
      <c r="E56" s="53"/>
      <c r="F56" s="65"/>
      <c r="G56" s="66"/>
      <c r="H56" s="60"/>
      <c r="I56" s="68" t="s">
        <v>226</v>
      </c>
    </row>
    <row r="57" spans="2:9" s="1" customFormat="1" ht="21" customHeight="1" x14ac:dyDescent="0.2">
      <c r="B57" s="52" t="s">
        <v>162</v>
      </c>
      <c r="C57" s="52"/>
      <c r="D57" s="53">
        <v>22235.091200323401</v>
      </c>
      <c r="E57" s="53">
        <v>21208.739374832599</v>
      </c>
      <c r="F57" s="53">
        <f t="shared" si="0"/>
        <v>1026.3518254908013</v>
      </c>
      <c r="G57" s="54">
        <f t="shared" si="1"/>
        <v>4.8392872737581194E-2</v>
      </c>
      <c r="H57" s="52"/>
      <c r="I57" s="70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D47F-080B-1C4C-9F42-0FC9495B2DD5}">
  <sheetPr>
    <tabColor theme="4" tint="0.79998168889431442"/>
  </sheetPr>
  <dimension ref="A1:V57"/>
  <sheetViews>
    <sheetView workbookViewId="0">
      <selection activeCell="H35" sqref="H35"/>
    </sheetView>
  </sheetViews>
  <sheetFormatPr baseColWidth="10" defaultRowHeight="16" x14ac:dyDescent="0.2"/>
  <cols>
    <col min="1" max="1" width="2.33203125" customWidth="1"/>
    <col min="2" max="2" width="46.83203125" bestFit="1" customWidth="1"/>
    <col min="3" max="3" width="3.83203125" customWidth="1"/>
    <col min="6" max="6" width="3.83203125" customWidth="1"/>
    <col min="10" max="10" width="100" customWidth="1"/>
  </cols>
  <sheetData>
    <row r="1" spans="1:22" x14ac:dyDescent="0.2">
      <c r="B1" t="s">
        <v>197</v>
      </c>
    </row>
    <row r="2" spans="1:22" x14ac:dyDescent="0.2">
      <c r="B2" s="1" t="s">
        <v>205</v>
      </c>
    </row>
    <row r="4" spans="1:22" s="1" customFormat="1" x14ac:dyDescent="0.2">
      <c r="A4"/>
      <c r="B4" s="1" t="s">
        <v>117</v>
      </c>
      <c r="C4"/>
      <c r="F4"/>
    </row>
    <row r="6" spans="1:22" s="1" customFormat="1" x14ac:dyDescent="0.2">
      <c r="A6"/>
      <c r="B6" s="1" t="s">
        <v>118</v>
      </c>
      <c r="C6"/>
      <c r="D6" s="63" t="s">
        <v>163</v>
      </c>
      <c r="E6" s="63" t="s">
        <v>164</v>
      </c>
      <c r="F6"/>
      <c r="G6" s="63" t="s">
        <v>163</v>
      </c>
      <c r="H6" s="63" t="s">
        <v>164</v>
      </c>
      <c r="I6" s="63"/>
      <c r="J6" s="63" t="s">
        <v>204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 x14ac:dyDescent="0.2">
      <c r="B7" t="s">
        <v>119</v>
      </c>
      <c r="C7" s="1"/>
      <c r="D7" s="21"/>
      <c r="E7" s="21"/>
      <c r="F7" s="1"/>
    </row>
    <row r="8" spans="1:22" x14ac:dyDescent="0.2">
      <c r="B8" t="s">
        <v>120</v>
      </c>
      <c r="D8" s="49">
        <v>11539.663605216199</v>
      </c>
      <c r="E8" s="49">
        <v>10162.582715979201</v>
      </c>
      <c r="G8" s="50">
        <f>D8/D$28</f>
        <v>0.51898431852185334</v>
      </c>
      <c r="H8" s="50">
        <f t="shared" ref="H8:H28" si="0">E8/E$28</f>
        <v>0.47916957876497684</v>
      </c>
    </row>
    <row r="9" spans="1:22" x14ac:dyDescent="0.2">
      <c r="B9" t="s">
        <v>121</v>
      </c>
      <c r="D9" s="21">
        <v>46.065077620944798</v>
      </c>
      <c r="E9" s="21">
        <v>25.177881513522301</v>
      </c>
      <c r="G9" s="47">
        <f t="shared" ref="G9:G28" si="1">D9/D$28</f>
        <v>2.0717287552434165E-3</v>
      </c>
      <c r="H9" s="47">
        <f t="shared" si="0"/>
        <v>1.1871465370765766E-3</v>
      </c>
    </row>
    <row r="10" spans="1:22" x14ac:dyDescent="0.2">
      <c r="B10" t="s">
        <v>122</v>
      </c>
      <c r="C10" s="1"/>
      <c r="D10" s="21">
        <v>1517.0557798868726</v>
      </c>
      <c r="E10" s="21">
        <v>1470.9012288942799</v>
      </c>
      <c r="F10" s="1"/>
      <c r="G10" s="47">
        <f t="shared" si="1"/>
        <v>6.8227999274462089E-2</v>
      </c>
      <c r="H10" s="47">
        <f t="shared" si="0"/>
        <v>6.9353543479252058E-2</v>
      </c>
    </row>
    <row r="11" spans="1:22" x14ac:dyDescent="0.2">
      <c r="B11" t="s">
        <v>123</v>
      </c>
      <c r="D11" s="21">
        <v>589.38528461494104</v>
      </c>
      <c r="E11" s="21">
        <v>507.89270129099202</v>
      </c>
      <c r="G11" s="47">
        <f t="shared" si="1"/>
        <v>2.650698761655652E-2</v>
      </c>
      <c r="H11" s="47">
        <f t="shared" si="0"/>
        <v>2.3947330962704162E-2</v>
      </c>
    </row>
    <row r="12" spans="1:22" x14ac:dyDescent="0.2">
      <c r="B12" t="s">
        <v>124</v>
      </c>
      <c r="D12" s="21">
        <v>900.83179935056103</v>
      </c>
      <c r="E12" s="21">
        <v>905.79929887937794</v>
      </c>
      <c r="G12" s="47">
        <f t="shared" si="1"/>
        <v>4.0513969339404043E-2</v>
      </c>
      <c r="H12" s="47">
        <f t="shared" si="0"/>
        <v>4.2708775969635238E-2</v>
      </c>
    </row>
    <row r="13" spans="1:22" x14ac:dyDescent="0.2">
      <c r="B13" t="s">
        <v>125</v>
      </c>
      <c r="D13" s="21">
        <v>390.03245995554897</v>
      </c>
      <c r="E13" s="21">
        <v>292.53476943143198</v>
      </c>
      <c r="G13" s="47">
        <f t="shared" si="1"/>
        <v>1.7541302533284741E-2</v>
      </c>
      <c r="H13" s="47">
        <f t="shared" si="0"/>
        <v>1.379312387019156E-2</v>
      </c>
    </row>
    <row r="14" spans="1:22" x14ac:dyDescent="0.2">
      <c r="A14" s="1"/>
      <c r="B14" t="s">
        <v>126</v>
      </c>
      <c r="D14" s="21">
        <v>207.814774237964</v>
      </c>
      <c r="E14" s="21">
        <v>226.732339991483</v>
      </c>
      <c r="G14" s="47">
        <f t="shared" si="1"/>
        <v>9.3462524278359934E-3</v>
      </c>
      <c r="H14" s="47">
        <f t="shared" si="0"/>
        <v>1.0690514693207913E-2</v>
      </c>
    </row>
    <row r="15" spans="1:22" s="1" customFormat="1" x14ac:dyDescent="0.2">
      <c r="B15" s="1" t="s">
        <v>127</v>
      </c>
      <c r="D15" s="29">
        <v>15190.84878088303</v>
      </c>
      <c r="E15" s="29">
        <v>13592.620935980285</v>
      </c>
      <c r="G15" s="48">
        <f t="shared" si="1"/>
        <v>0.68319255846864013</v>
      </c>
      <c r="H15" s="48">
        <f t="shared" si="0"/>
        <v>0.64089716465132962</v>
      </c>
    </row>
    <row r="16" spans="1:22" ht="34" x14ac:dyDescent="0.2">
      <c r="B16" s="60"/>
      <c r="C16" s="60"/>
      <c r="D16" s="65"/>
      <c r="E16" s="65"/>
      <c r="F16" s="60"/>
      <c r="G16" s="66"/>
      <c r="H16" s="66"/>
      <c r="I16" s="60"/>
      <c r="J16" s="61" t="s">
        <v>214</v>
      </c>
    </row>
    <row r="17" spans="1:10" x14ac:dyDescent="0.2">
      <c r="B17" t="s">
        <v>128</v>
      </c>
      <c r="D17" s="21"/>
      <c r="E17" s="21"/>
      <c r="G17" s="47"/>
      <c r="H17" s="47"/>
    </row>
    <row r="18" spans="1:10" x14ac:dyDescent="0.2">
      <c r="B18" t="s">
        <v>129</v>
      </c>
      <c r="D18" s="21">
        <v>2397.4512502514176</v>
      </c>
      <c r="E18" s="21">
        <v>2653.9732441839101</v>
      </c>
      <c r="G18" s="47">
        <f t="shared" si="1"/>
        <v>0.10782286606159575</v>
      </c>
      <c r="H18" s="47">
        <f t="shared" si="0"/>
        <v>0.12513583180676627</v>
      </c>
    </row>
    <row r="19" spans="1:10" x14ac:dyDescent="0.2">
      <c r="B19" t="s">
        <v>130</v>
      </c>
      <c r="D19" s="21">
        <v>2768.39235136243</v>
      </c>
      <c r="E19" s="21">
        <v>2479.5324430792498</v>
      </c>
      <c r="G19" s="47">
        <f t="shared" si="1"/>
        <v>0.12450555467002489</v>
      </c>
      <c r="H19" s="47">
        <f t="shared" si="0"/>
        <v>0.11691088274403275</v>
      </c>
    </row>
    <row r="20" spans="1:10" x14ac:dyDescent="0.2">
      <c r="B20" t="s">
        <v>131</v>
      </c>
      <c r="C20" s="1"/>
      <c r="D20" s="21">
        <v>10.8631361361273</v>
      </c>
      <c r="E20" s="21">
        <v>19.4191037212521</v>
      </c>
      <c r="F20" s="1"/>
      <c r="G20" s="47">
        <f t="shared" si="1"/>
        <v>4.8855820217061873E-4</v>
      </c>
      <c r="H20" s="47">
        <f t="shared" si="0"/>
        <v>9.1561800874446217E-4</v>
      </c>
    </row>
    <row r="21" spans="1:10" x14ac:dyDescent="0.2">
      <c r="B21" t="s">
        <v>132</v>
      </c>
      <c r="C21" s="1"/>
      <c r="D21" s="21">
        <v>186.590875865946</v>
      </c>
      <c r="E21" s="21">
        <v>473.70945705654202</v>
      </c>
      <c r="F21" s="1"/>
      <c r="G21" s="47">
        <f t="shared" si="1"/>
        <v>8.3917297649743258E-3</v>
      </c>
      <c r="H21" s="47">
        <f t="shared" si="0"/>
        <v>2.2335578202759859E-2</v>
      </c>
    </row>
    <row r="22" spans="1:10" x14ac:dyDescent="0.2">
      <c r="B22" t="s">
        <v>133</v>
      </c>
      <c r="D22" s="21">
        <v>72.732350098141296</v>
      </c>
      <c r="E22" s="21">
        <v>32.579100162372299</v>
      </c>
      <c r="G22" s="47">
        <f t="shared" si="1"/>
        <v>3.271061483379308E-3</v>
      </c>
      <c r="H22" s="47">
        <f t="shared" si="0"/>
        <v>1.5361167665380972E-3</v>
      </c>
    </row>
    <row r="23" spans="1:10" x14ac:dyDescent="0.2">
      <c r="B23" t="s">
        <v>134</v>
      </c>
      <c r="D23" s="49">
        <v>1192.0598033772201</v>
      </c>
      <c r="E23" s="49">
        <v>1584.4443013442401</v>
      </c>
      <c r="G23" s="50">
        <f t="shared" si="1"/>
        <v>5.3611644659500475E-2</v>
      </c>
      <c r="H23" s="50">
        <f t="shared" si="0"/>
        <v>7.470714184278443E-2</v>
      </c>
    </row>
    <row r="24" spans="1:10" x14ac:dyDescent="0.2">
      <c r="B24" t="s">
        <v>135</v>
      </c>
      <c r="D24" s="21">
        <v>387.94514285587002</v>
      </c>
      <c r="E24" s="21">
        <v>257.03547203473101</v>
      </c>
      <c r="G24" s="47">
        <f t="shared" si="1"/>
        <v>1.7447427626738399E-2</v>
      </c>
      <c r="H24" s="47">
        <f t="shared" si="0"/>
        <v>1.2119318711067613E-2</v>
      </c>
    </row>
    <row r="25" spans="1:10" x14ac:dyDescent="0.2">
      <c r="A25" s="1"/>
      <c r="B25" t="s">
        <v>136</v>
      </c>
      <c r="D25" s="21">
        <v>28.207415742985901</v>
      </c>
      <c r="E25" s="21">
        <v>115.425324792376</v>
      </c>
      <c r="G25" s="47">
        <f t="shared" si="1"/>
        <v>1.2685990629760534E-3</v>
      </c>
      <c r="H25" s="47">
        <f t="shared" si="0"/>
        <v>5.4423472659768952E-3</v>
      </c>
    </row>
    <row r="26" spans="1:10" s="1" customFormat="1" x14ac:dyDescent="0.2">
      <c r="B26" s="1" t="s">
        <v>41</v>
      </c>
      <c r="D26" s="29">
        <v>7044.2423256901393</v>
      </c>
      <c r="E26" s="29">
        <v>7616.1184463746731</v>
      </c>
      <c r="G26" s="48">
        <f t="shared" si="1"/>
        <v>0.31680744153135987</v>
      </c>
      <c r="H26" s="48">
        <f t="shared" si="0"/>
        <v>0.35910283534867038</v>
      </c>
    </row>
    <row r="27" spans="1:10" x14ac:dyDescent="0.2">
      <c r="A27" s="1"/>
      <c r="D27" s="21"/>
      <c r="E27" s="21"/>
      <c r="G27" s="47"/>
      <c r="H27" s="47"/>
    </row>
    <row r="28" spans="1:10" s="1" customFormat="1" x14ac:dyDescent="0.2">
      <c r="B28" s="1" t="s">
        <v>137</v>
      </c>
      <c r="D28" s="29">
        <v>22235.091106573171</v>
      </c>
      <c r="E28" s="29">
        <v>21208.739382354957</v>
      </c>
      <c r="G28" s="48">
        <f t="shared" si="1"/>
        <v>1</v>
      </c>
      <c r="H28" s="48">
        <f t="shared" si="0"/>
        <v>1</v>
      </c>
    </row>
    <row r="29" spans="1:10" ht="34" x14ac:dyDescent="0.2">
      <c r="B29" s="60"/>
      <c r="C29" s="60"/>
      <c r="D29" s="65"/>
      <c r="E29" s="65"/>
      <c r="F29" s="60"/>
      <c r="G29" s="60"/>
      <c r="H29" s="60"/>
      <c r="I29" s="60"/>
      <c r="J29" s="67" t="s">
        <v>215</v>
      </c>
    </row>
    <row r="30" spans="1:10" s="1" customFormat="1" x14ac:dyDescent="0.2">
      <c r="B30" s="1" t="s">
        <v>138</v>
      </c>
      <c r="D30" s="29"/>
      <c r="E30" s="29"/>
    </row>
    <row r="31" spans="1:10" x14ac:dyDescent="0.2">
      <c r="B31" t="s">
        <v>139</v>
      </c>
      <c r="D31" s="21"/>
      <c r="E31" s="21"/>
    </row>
    <row r="32" spans="1:10" x14ac:dyDescent="0.2">
      <c r="B32" t="s">
        <v>140</v>
      </c>
      <c r="C32" s="1"/>
      <c r="D32" s="21">
        <v>228.58886463456699</v>
      </c>
      <c r="E32" s="21">
        <v>210.32105552332001</v>
      </c>
      <c r="F32" s="1"/>
      <c r="G32" s="47">
        <f>D32/D$57</f>
        <v>1.0280545403440587E-2</v>
      </c>
      <c r="H32" s="47">
        <f t="shared" ref="H32:H57" si="2">E32/E$57</f>
        <v>9.9167164915467815E-3</v>
      </c>
    </row>
    <row r="33" spans="1:10" x14ac:dyDescent="0.2">
      <c r="B33" t="s">
        <v>141</v>
      </c>
      <c r="D33" s="49">
        <v>9316.2706982767504</v>
      </c>
      <c r="E33" s="49">
        <v>7194</v>
      </c>
      <c r="G33" s="47">
        <f t="shared" ref="G33:G57" si="3">D33/D$57</f>
        <v>0.4189895428961069</v>
      </c>
      <c r="H33" s="47">
        <f t="shared" si="2"/>
        <v>0.33919979272963185</v>
      </c>
    </row>
    <row r="34" spans="1:10" x14ac:dyDescent="0.2">
      <c r="B34" t="s">
        <v>142</v>
      </c>
      <c r="C34" s="1"/>
      <c r="D34" s="21">
        <v>1529.6098198764801</v>
      </c>
      <c r="E34" s="21">
        <v>2267</v>
      </c>
      <c r="F34" s="1"/>
      <c r="G34" s="47">
        <f t="shared" si="3"/>
        <v>6.8792603821397069E-2</v>
      </c>
      <c r="H34" s="47">
        <f t="shared" si="2"/>
        <v>0.10688989854296295</v>
      </c>
    </row>
    <row r="35" spans="1:10" x14ac:dyDescent="0.2">
      <c r="B35" t="s">
        <v>143</v>
      </c>
      <c r="D35" s="21">
        <v>11075.469382787798</v>
      </c>
      <c r="E35" s="21">
        <v>9671.4384024491483</v>
      </c>
      <c r="G35" s="47">
        <f t="shared" si="3"/>
        <v>0.49810766607634649</v>
      </c>
      <c r="H35" s="47">
        <f t="shared" si="2"/>
        <v>0.45601194071561763</v>
      </c>
    </row>
    <row r="36" spans="1:10" x14ac:dyDescent="0.2">
      <c r="A36" s="1"/>
      <c r="B36" t="s">
        <v>144</v>
      </c>
      <c r="C36" s="1"/>
      <c r="D36" s="21">
        <v>1041.0827425672501</v>
      </c>
      <c r="E36" s="21">
        <v>1009.22532797061</v>
      </c>
      <c r="F36" s="1"/>
      <c r="G36" s="47">
        <f t="shared" si="3"/>
        <v>4.682160883388272E-2</v>
      </c>
      <c r="H36" s="47">
        <f t="shared" si="2"/>
        <v>4.7585351969019411E-2</v>
      </c>
    </row>
    <row r="37" spans="1:10" s="1" customFormat="1" x14ac:dyDescent="0.2">
      <c r="B37" s="1" t="s">
        <v>145</v>
      </c>
      <c r="D37" s="29">
        <v>12115.552125355</v>
      </c>
      <c r="E37" s="29">
        <v>10679.663730419757</v>
      </c>
      <c r="G37" s="48">
        <f t="shared" si="3"/>
        <v>0.5448843009548251</v>
      </c>
      <c r="H37" s="48">
        <f t="shared" si="2"/>
        <v>0.50355014231033479</v>
      </c>
    </row>
    <row r="38" spans="1:10" ht="34" x14ac:dyDescent="0.2">
      <c r="B38" s="60"/>
      <c r="C38" s="60"/>
      <c r="D38" s="65"/>
      <c r="E38" s="65"/>
      <c r="F38" s="60"/>
      <c r="G38" s="66"/>
      <c r="H38" s="66"/>
      <c r="I38" s="60"/>
      <c r="J38" s="67" t="s">
        <v>216</v>
      </c>
    </row>
    <row r="39" spans="1:10" x14ac:dyDescent="0.2">
      <c r="B39" t="s">
        <v>146</v>
      </c>
      <c r="D39" s="21"/>
      <c r="E39" s="21"/>
      <c r="G39" s="47"/>
      <c r="H39" s="47"/>
    </row>
    <row r="40" spans="1:10" x14ac:dyDescent="0.2">
      <c r="B40" t="s">
        <v>147</v>
      </c>
      <c r="D40" s="49">
        <v>2635.8997204480102</v>
      </c>
      <c r="E40" s="49">
        <v>1731.29428319318</v>
      </c>
      <c r="G40" s="47">
        <f t="shared" si="3"/>
        <v>0.11854683647124739</v>
      </c>
      <c r="H40" s="47">
        <f t="shared" si="2"/>
        <v>8.1631173479722444E-2</v>
      </c>
    </row>
    <row r="41" spans="1:10" x14ac:dyDescent="0.2">
      <c r="B41" t="s">
        <v>148</v>
      </c>
      <c r="D41" s="21">
        <v>14.8429395450874</v>
      </c>
      <c r="E41" s="21">
        <v>55.022117243398803</v>
      </c>
      <c r="G41" s="47">
        <f t="shared" si="3"/>
        <v>6.6754570113350896E-4</v>
      </c>
      <c r="H41" s="47">
        <f t="shared" si="2"/>
        <v>2.5943134229227658E-3</v>
      </c>
    </row>
    <row r="42" spans="1:10" x14ac:dyDescent="0.2">
      <c r="B42" t="s">
        <v>149</v>
      </c>
      <c r="D42" s="21">
        <v>1608.40392942214</v>
      </c>
      <c r="E42" s="21">
        <v>1555.7039036839899</v>
      </c>
      <c r="G42" s="47">
        <f t="shared" si="3"/>
        <v>7.2336286590034146E-2</v>
      </c>
      <c r="H42" s="47">
        <f t="shared" si="2"/>
        <v>7.3352021362008413E-2</v>
      </c>
    </row>
    <row r="43" spans="1:10" x14ac:dyDescent="0.2">
      <c r="B43" t="s">
        <v>150</v>
      </c>
      <c r="D43" s="21">
        <v>424.508463182659</v>
      </c>
      <c r="E43" s="21">
        <v>341.99831979078101</v>
      </c>
      <c r="G43" s="47">
        <f t="shared" si="3"/>
        <v>1.9091824690896014E-2</v>
      </c>
      <c r="H43" s="47">
        <f t="shared" si="2"/>
        <v>1.6125348788840043E-2</v>
      </c>
    </row>
    <row r="44" spans="1:10" x14ac:dyDescent="0.2">
      <c r="A44" s="1"/>
      <c r="B44" t="s">
        <v>151</v>
      </c>
      <c r="D44" s="21">
        <v>116.29671497229</v>
      </c>
      <c r="E44" s="21">
        <v>104.500561826555</v>
      </c>
      <c r="G44" s="47">
        <f t="shared" si="3"/>
        <v>5.2303232725485075E-3</v>
      </c>
      <c r="H44" s="47">
        <f t="shared" si="2"/>
        <v>4.9272406049065244E-3</v>
      </c>
    </row>
    <row r="45" spans="1:10" s="1" customFormat="1" x14ac:dyDescent="0.2">
      <c r="B45" s="1" t="s">
        <v>152</v>
      </c>
      <c r="D45" s="29">
        <v>4799.95176757019</v>
      </c>
      <c r="E45" s="29">
        <v>3788.5191857379045</v>
      </c>
      <c r="G45" s="48">
        <f t="shared" si="3"/>
        <v>0.21587281672585973</v>
      </c>
      <c r="H45" s="48">
        <f t="shared" si="2"/>
        <v>0.17863009765840018</v>
      </c>
    </row>
    <row r="46" spans="1:10" ht="34" x14ac:dyDescent="0.2">
      <c r="B46" s="60"/>
      <c r="C46" s="60"/>
      <c r="D46" s="65"/>
      <c r="E46" s="65"/>
      <c r="F46" s="60"/>
      <c r="G46" s="66"/>
      <c r="H46" s="66"/>
      <c r="I46" s="60"/>
      <c r="J46" s="67" t="s">
        <v>217</v>
      </c>
    </row>
    <row r="47" spans="1:10" x14ac:dyDescent="0.2">
      <c r="B47" t="s">
        <v>153</v>
      </c>
      <c r="D47" s="21"/>
      <c r="E47" s="21"/>
      <c r="G47" s="47"/>
      <c r="H47" s="47"/>
    </row>
    <row r="48" spans="1:10" x14ac:dyDescent="0.2">
      <c r="B48" t="s">
        <v>154</v>
      </c>
      <c r="D48" s="21">
        <v>535.15956906535405</v>
      </c>
      <c r="E48" s="21">
        <v>1247.5662525314201</v>
      </c>
      <c r="G48" s="50">
        <f t="shared" si="3"/>
        <v>2.4068242592032649E-2</v>
      </c>
      <c r="H48" s="50">
        <f t="shared" si="2"/>
        <v>5.8823215773580941E-2</v>
      </c>
    </row>
    <row r="49" spans="1:10" x14ac:dyDescent="0.2">
      <c r="B49" t="s">
        <v>155</v>
      </c>
      <c r="D49" s="21">
        <v>2776.7152531751599</v>
      </c>
      <c r="E49" s="21">
        <v>2666.1887267195898</v>
      </c>
      <c r="G49" s="47">
        <f t="shared" si="3"/>
        <v>0.1248798679600097</v>
      </c>
      <c r="H49" s="47">
        <f t="shared" si="2"/>
        <v>0.12571179642498831</v>
      </c>
    </row>
    <row r="50" spans="1:10" x14ac:dyDescent="0.2">
      <c r="B50" t="s">
        <v>156</v>
      </c>
      <c r="D50" s="21">
        <v>591.49185364277002</v>
      </c>
      <c r="E50" s="21">
        <v>616.09219064363697</v>
      </c>
      <c r="G50" s="47">
        <f t="shared" si="3"/>
        <v>2.6601728246303167E-2</v>
      </c>
      <c r="H50" s="47">
        <f t="shared" si="2"/>
        <v>2.9048977393476023E-2</v>
      </c>
    </row>
    <row r="51" spans="1:10" x14ac:dyDescent="0.2">
      <c r="B51" t="s">
        <v>157</v>
      </c>
      <c r="D51" s="21">
        <v>331.220927436208</v>
      </c>
      <c r="E51" s="21">
        <v>306.11359658752002</v>
      </c>
      <c r="G51" s="47">
        <f t="shared" si="3"/>
        <v>1.4896315218684173E-2</v>
      </c>
      <c r="H51" s="47">
        <f t="shared" si="2"/>
        <v>1.4433370658077416E-2</v>
      </c>
    </row>
    <row r="52" spans="1:10" x14ac:dyDescent="0.2">
      <c r="B52" t="s">
        <v>158</v>
      </c>
      <c r="D52" s="21">
        <v>175.59197002366801</v>
      </c>
      <c r="E52" s="21">
        <v>964.8265306218068</v>
      </c>
      <c r="G52" s="47">
        <f t="shared" si="3"/>
        <v>7.8970654287720699E-3</v>
      </c>
      <c r="H52" s="47">
        <f t="shared" si="2"/>
        <v>4.5491932055458255E-2</v>
      </c>
    </row>
    <row r="53" spans="1:10" x14ac:dyDescent="0.2">
      <c r="B53" t="s">
        <v>159</v>
      </c>
      <c r="D53" s="21">
        <v>5.9999999999999997E-15</v>
      </c>
      <c r="E53" s="21">
        <v>5.7528964624142196</v>
      </c>
      <c r="G53" s="47">
        <f t="shared" si="3"/>
        <v>2.6984373241125866E-19</v>
      </c>
      <c r="H53" s="47">
        <f t="shared" si="2"/>
        <v>2.7125122152431687E-4</v>
      </c>
    </row>
    <row r="54" spans="1:10" x14ac:dyDescent="0.2">
      <c r="A54" s="1"/>
      <c r="B54" t="s">
        <v>160</v>
      </c>
      <c r="D54" s="21">
        <v>909.40773405503796</v>
      </c>
      <c r="E54" s="21">
        <v>933.01626510854805</v>
      </c>
      <c r="G54" s="47">
        <f t="shared" si="3"/>
        <v>4.0899662873512793E-2</v>
      </c>
      <c r="H54" s="47">
        <f t="shared" si="2"/>
        <v>4.3992066129857489E-2</v>
      </c>
    </row>
    <row r="55" spans="1:10" x14ac:dyDescent="0.2">
      <c r="B55" t="s">
        <v>161</v>
      </c>
      <c r="D55" s="21">
        <v>5318.5873073982002</v>
      </c>
      <c r="E55" s="21">
        <v>6739.5564586749369</v>
      </c>
      <c r="G55" s="47">
        <f t="shared" si="3"/>
        <v>0.23919790836391278</v>
      </c>
      <c r="H55" s="47">
        <f t="shared" si="2"/>
        <v>0.3177726096569628</v>
      </c>
    </row>
    <row r="56" spans="1:10" ht="34" x14ac:dyDescent="0.2">
      <c r="A56" s="1"/>
      <c r="B56" s="60"/>
      <c r="C56" s="60"/>
      <c r="D56" s="65"/>
      <c r="E56" s="65"/>
      <c r="F56" s="60"/>
      <c r="G56" s="66"/>
      <c r="H56" s="66"/>
      <c r="I56" s="60"/>
      <c r="J56" s="67" t="s">
        <v>218</v>
      </c>
    </row>
    <row r="57" spans="1:10" s="1" customFormat="1" x14ac:dyDescent="0.2">
      <c r="B57" s="1" t="s">
        <v>162</v>
      </c>
      <c r="D57" s="29">
        <v>22235.091200323401</v>
      </c>
      <c r="E57" s="29">
        <v>21208.739374832599</v>
      </c>
      <c r="G57" s="48">
        <f t="shared" si="3"/>
        <v>1</v>
      </c>
      <c r="H57" s="48">
        <f t="shared" si="2"/>
        <v>1</v>
      </c>
      <c r="J57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3479-A759-6548-B04F-4ABFB3C84CEC}">
  <sheetPr>
    <tabColor theme="4" tint="0.79998168889431442"/>
  </sheetPr>
  <dimension ref="A1:N60"/>
  <sheetViews>
    <sheetView workbookViewId="0">
      <selection activeCell="B1" sqref="B1"/>
    </sheetView>
  </sheetViews>
  <sheetFormatPr baseColWidth="10" defaultRowHeight="16" x14ac:dyDescent="0.2"/>
  <cols>
    <col min="1" max="1" width="2.33203125" customWidth="1"/>
    <col min="2" max="2" width="47.5" bestFit="1" customWidth="1"/>
    <col min="3" max="3" width="3.83203125" customWidth="1"/>
    <col min="7" max="7" width="3.83203125" customWidth="1"/>
    <col min="10" max="10" width="3.83203125" customWidth="1"/>
    <col min="14" max="14" width="87.1640625" bestFit="1" customWidth="1"/>
  </cols>
  <sheetData>
    <row r="1" spans="1:14" x14ac:dyDescent="0.2">
      <c r="B1" t="s">
        <v>197</v>
      </c>
    </row>
    <row r="2" spans="1:14" x14ac:dyDescent="0.2">
      <c r="B2" s="1" t="s">
        <v>116</v>
      </c>
    </row>
    <row r="3" spans="1:14" x14ac:dyDescent="0.2">
      <c r="B3" s="1"/>
    </row>
    <row r="4" spans="1:14" ht="34" x14ac:dyDescent="0.2">
      <c r="B4" s="52" t="s">
        <v>204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 t="s">
        <v>203</v>
      </c>
    </row>
    <row r="5" spans="1:14" ht="36" customHeight="1" x14ac:dyDescent="0.2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2" t="s">
        <v>202</v>
      </c>
    </row>
    <row r="6" spans="1:14" x14ac:dyDescent="0.2">
      <c r="B6" s="1" t="s">
        <v>165</v>
      </c>
      <c r="H6" s="98" t="s">
        <v>200</v>
      </c>
      <c r="I6" s="98"/>
      <c r="K6" s="98" t="s">
        <v>201</v>
      </c>
      <c r="L6" s="98"/>
    </row>
    <row r="7" spans="1:14" s="1" customFormat="1" x14ac:dyDescent="0.2">
      <c r="A7"/>
      <c r="D7" s="55" t="s">
        <v>196</v>
      </c>
      <c r="E7" s="55" t="s">
        <v>164</v>
      </c>
      <c r="F7" s="55" t="s">
        <v>195</v>
      </c>
      <c r="H7" s="55" t="s">
        <v>198</v>
      </c>
      <c r="I7" s="55" t="s">
        <v>199</v>
      </c>
      <c r="K7" s="55" t="s">
        <v>198</v>
      </c>
      <c r="L7" s="55" t="s">
        <v>199</v>
      </c>
    </row>
    <row r="8" spans="1:14" x14ac:dyDescent="0.2">
      <c r="B8" t="s">
        <v>168</v>
      </c>
      <c r="D8" s="46">
        <v>19611.958676509399</v>
      </c>
      <c r="E8" s="46">
        <v>26331.219299966775</v>
      </c>
      <c r="F8" s="46">
        <v>25217</v>
      </c>
      <c r="H8" s="46">
        <f>F8-E8</f>
        <v>-1114.219299966775</v>
      </c>
      <c r="I8" s="46">
        <f>E8-D8</f>
        <v>6719.2606234573759</v>
      </c>
      <c r="K8" s="50">
        <f>H8/E8</f>
        <v>-4.2315522394672428E-2</v>
      </c>
      <c r="L8" s="50">
        <f>I8/D8</f>
        <v>0.34261038044637021</v>
      </c>
    </row>
    <row r="9" spans="1:14" x14ac:dyDescent="0.2">
      <c r="B9" t="s">
        <v>169</v>
      </c>
      <c r="D9" s="46">
        <v>106.438619710995</v>
      </c>
      <c r="E9" s="46">
        <v>112.50981375739497</v>
      </c>
      <c r="F9" s="46">
        <v>163</v>
      </c>
      <c r="H9" s="46">
        <f t="shared" ref="H9:H37" si="0">F9-E9</f>
        <v>50.490186242605034</v>
      </c>
      <c r="I9" s="46">
        <f t="shared" ref="I9:I37" si="1">E9-D9</f>
        <v>6.0711940463999667</v>
      </c>
      <c r="K9" s="47">
        <f t="shared" ref="K9:K37" si="2">H9/E9</f>
        <v>0.44876250841084031</v>
      </c>
      <c r="L9" s="51">
        <f t="shared" ref="L9:L37" si="3">I9/D9</f>
        <v>5.7039390992523538E-2</v>
      </c>
    </row>
    <row r="10" spans="1:14" s="1" customFormat="1" x14ac:dyDescent="0.2">
      <c r="A10"/>
      <c r="B10" s="1" t="s">
        <v>170</v>
      </c>
      <c r="D10" s="56">
        <v>19718.397296220399</v>
      </c>
      <c r="E10" s="56">
        <v>26443.72911372417</v>
      </c>
      <c r="F10" s="56">
        <v>25380</v>
      </c>
      <c r="H10" s="56">
        <f t="shared" si="0"/>
        <v>-1063.72911372417</v>
      </c>
      <c r="I10" s="56">
        <f t="shared" si="1"/>
        <v>6725.3318175037712</v>
      </c>
      <c r="K10" s="48">
        <f t="shared" si="2"/>
        <v>-4.0226138648958541E-2</v>
      </c>
      <c r="L10" s="58">
        <f t="shared" si="3"/>
        <v>0.34106888691165965</v>
      </c>
    </row>
    <row r="11" spans="1:14" s="1" customFormat="1" ht="34" x14ac:dyDescent="0.2">
      <c r="A11"/>
      <c r="B11" s="52"/>
      <c r="C11" s="52"/>
      <c r="D11" s="71"/>
      <c r="E11" s="71"/>
      <c r="F11" s="71"/>
      <c r="G11" s="52"/>
      <c r="H11" s="71"/>
      <c r="I11" s="71"/>
      <c r="J11" s="52"/>
      <c r="K11" s="54"/>
      <c r="L11" s="54"/>
      <c r="M11" s="52"/>
      <c r="N11" s="61" t="s">
        <v>220</v>
      </c>
    </row>
    <row r="12" spans="1:14" x14ac:dyDescent="0.2">
      <c r="B12" t="s">
        <v>171</v>
      </c>
      <c r="D12" s="46">
        <v>9578.5995662458608</v>
      </c>
      <c r="E12" s="46">
        <v>12100.5444621264</v>
      </c>
      <c r="F12" s="46">
        <v>10423</v>
      </c>
      <c r="H12" s="46">
        <f t="shared" si="0"/>
        <v>-1677.5444621263996</v>
      </c>
      <c r="I12" s="46">
        <f t="shared" si="1"/>
        <v>2521.9448958805388</v>
      </c>
      <c r="K12" s="50">
        <f t="shared" si="2"/>
        <v>-0.13863380010519036</v>
      </c>
      <c r="L12" s="51">
        <f t="shared" si="3"/>
        <v>0.26328952144190787</v>
      </c>
    </row>
    <row r="13" spans="1:14" x14ac:dyDescent="0.2">
      <c r="B13" t="s">
        <v>172</v>
      </c>
      <c r="D13" s="46">
        <v>1095.9360651878751</v>
      </c>
      <c r="E13" s="46">
        <v>1052.8160611430601</v>
      </c>
      <c r="F13" s="46">
        <v>1599</v>
      </c>
      <c r="H13" s="46">
        <f t="shared" si="0"/>
        <v>546.1839388569399</v>
      </c>
      <c r="I13" s="46">
        <f t="shared" si="1"/>
        <v>-43.120004044815005</v>
      </c>
      <c r="K13" s="47">
        <f t="shared" si="2"/>
        <v>0.51878382085465036</v>
      </c>
      <c r="L13" s="51">
        <f t="shared" si="3"/>
        <v>-3.9345364583309873E-2</v>
      </c>
    </row>
    <row r="14" spans="1:14" x14ac:dyDescent="0.2">
      <c r="B14" t="s">
        <v>173</v>
      </c>
      <c r="D14" s="46">
        <v>3905.2455895687799</v>
      </c>
      <c r="E14" s="46">
        <v>6783.6040303700729</v>
      </c>
      <c r="F14" s="46">
        <v>7120</v>
      </c>
      <c r="H14" s="46">
        <f t="shared" si="0"/>
        <v>336.39596962992709</v>
      </c>
      <c r="I14" s="46">
        <f t="shared" si="1"/>
        <v>2878.358440801293</v>
      </c>
      <c r="K14" s="47">
        <f t="shared" si="2"/>
        <v>4.9589564503453976E-2</v>
      </c>
      <c r="L14" s="51">
        <f t="shared" si="3"/>
        <v>0.73704927764072414</v>
      </c>
    </row>
    <row r="15" spans="1:14" x14ac:dyDescent="0.2">
      <c r="A15" s="1"/>
      <c r="B15" t="s">
        <v>174</v>
      </c>
      <c r="D15" s="46">
        <v>14579.781221002517</v>
      </c>
      <c r="E15" s="46">
        <v>19937.964553639533</v>
      </c>
      <c r="F15" s="46">
        <v>19142</v>
      </c>
      <c r="H15" s="46">
        <f t="shared" si="0"/>
        <v>-795.96455363953282</v>
      </c>
      <c r="I15" s="46">
        <f t="shared" si="1"/>
        <v>5358.1833326370161</v>
      </c>
      <c r="K15" s="47">
        <f t="shared" si="2"/>
        <v>-3.9922056812676757E-2</v>
      </c>
      <c r="L15" s="51">
        <f t="shared" si="3"/>
        <v>0.36750780079734169</v>
      </c>
    </row>
    <row r="16" spans="1:14" x14ac:dyDescent="0.2">
      <c r="A16" s="1"/>
      <c r="B16" t="s">
        <v>175</v>
      </c>
      <c r="D16" s="46">
        <v>988.30994668606195</v>
      </c>
      <c r="E16" s="46">
        <v>917.429184482251</v>
      </c>
      <c r="F16" s="46">
        <v>1091</v>
      </c>
      <c r="H16" s="46">
        <f t="shared" si="0"/>
        <v>173.570815517749</v>
      </c>
      <c r="I16" s="46">
        <f t="shared" si="1"/>
        <v>-70.880762203810946</v>
      </c>
      <c r="K16" s="47">
        <f t="shared" si="2"/>
        <v>0.18919260304074945</v>
      </c>
      <c r="L16" s="51">
        <f t="shared" si="3"/>
        <v>-7.1719163043419534E-2</v>
      </c>
    </row>
    <row r="17" spans="1:14" x14ac:dyDescent="0.2">
      <c r="B17" t="s">
        <v>176</v>
      </c>
      <c r="D17" s="46">
        <v>1670.1849614594801</v>
      </c>
      <c r="E17" s="46">
        <v>1262.8426744118699</v>
      </c>
      <c r="F17" s="46">
        <v>1337</v>
      </c>
      <c r="H17" s="46">
        <f t="shared" si="0"/>
        <v>74.157325588130107</v>
      </c>
      <c r="I17" s="46">
        <f t="shared" si="1"/>
        <v>-407.34228704761017</v>
      </c>
      <c r="K17" s="47">
        <f t="shared" si="2"/>
        <v>5.8722536932533265E-2</v>
      </c>
      <c r="L17" s="51">
        <f t="shared" si="3"/>
        <v>-0.24389052497015468</v>
      </c>
    </row>
    <row r="18" spans="1:14" x14ac:dyDescent="0.2">
      <c r="B18" t="s">
        <v>177</v>
      </c>
      <c r="D18" s="46">
        <v>-564.52354783833903</v>
      </c>
      <c r="E18" s="46">
        <v>-448.52768246918703</v>
      </c>
      <c r="F18" s="46">
        <v>291</v>
      </c>
      <c r="H18" s="46">
        <f t="shared" si="0"/>
        <v>739.52768246918708</v>
      </c>
      <c r="I18" s="46">
        <f t="shared" si="1"/>
        <v>115.995865369152</v>
      </c>
      <c r="K18" s="47">
        <f t="shared" si="2"/>
        <v>-1.648789386639455</v>
      </c>
      <c r="L18" s="51">
        <f t="shared" si="3"/>
        <v>-0.20547568974460106</v>
      </c>
    </row>
    <row r="19" spans="1:14" x14ac:dyDescent="0.2">
      <c r="B19" t="s">
        <v>178</v>
      </c>
      <c r="D19" s="46">
        <v>-290.03781314996002</v>
      </c>
      <c r="E19" s="46">
        <v>-277.22598775315498</v>
      </c>
      <c r="F19" s="46">
        <v>-292</v>
      </c>
      <c r="H19" s="46">
        <f t="shared" si="0"/>
        <v>-14.774012246845018</v>
      </c>
      <c r="I19" s="46">
        <f t="shared" si="1"/>
        <v>12.811825396805034</v>
      </c>
      <c r="K19" s="47">
        <f t="shared" si="2"/>
        <v>5.3292306275412961E-2</v>
      </c>
      <c r="L19" s="51">
        <f t="shared" si="3"/>
        <v>-4.4172948546474036E-2</v>
      </c>
    </row>
    <row r="20" spans="1:14" x14ac:dyDescent="0.2">
      <c r="B20" t="s">
        <v>179</v>
      </c>
      <c r="D20" s="46">
        <v>1314.91151949306</v>
      </c>
      <c r="E20" s="46">
        <v>1715.3411549606799</v>
      </c>
      <c r="F20" s="46">
        <v>1913</v>
      </c>
      <c r="H20" s="46">
        <f t="shared" si="0"/>
        <v>197.65884503932011</v>
      </c>
      <c r="I20" s="46">
        <f t="shared" si="1"/>
        <v>400.42963546761985</v>
      </c>
      <c r="K20" s="50">
        <f t="shared" si="2"/>
        <v>0.11523004882597303</v>
      </c>
      <c r="L20" s="50">
        <f t="shared" si="3"/>
        <v>0.3045297189441295</v>
      </c>
    </row>
    <row r="21" spans="1:14" s="1" customFormat="1" x14ac:dyDescent="0.2">
      <c r="A21"/>
      <c r="B21" s="1" t="s">
        <v>180</v>
      </c>
      <c r="D21" s="56">
        <v>17697.626287652802</v>
      </c>
      <c r="E21" s="56">
        <v>23106.823897271992</v>
      </c>
      <c r="F21" s="56">
        <v>23482</v>
      </c>
      <c r="H21" s="56">
        <f t="shared" si="0"/>
        <v>375.17610272800812</v>
      </c>
      <c r="I21" s="56">
        <f t="shared" si="1"/>
        <v>5409.1976096191902</v>
      </c>
      <c r="K21" s="48">
        <f t="shared" si="2"/>
        <v>1.6236593328272247E-2</v>
      </c>
      <c r="L21" s="58">
        <f t="shared" si="3"/>
        <v>0.30564537422699756</v>
      </c>
    </row>
    <row r="22" spans="1:14" s="1" customFormat="1" x14ac:dyDescent="0.2">
      <c r="A22"/>
      <c r="B22" s="1" t="s">
        <v>181</v>
      </c>
      <c r="D22" s="56">
        <v>2019.7710085675401</v>
      </c>
      <c r="E22" s="56">
        <v>3336.9052164521781</v>
      </c>
      <c r="F22" s="56">
        <v>1898</v>
      </c>
      <c r="H22" s="56">
        <f t="shared" si="0"/>
        <v>-1438.9052164521781</v>
      </c>
      <c r="I22" s="56">
        <f t="shared" si="1"/>
        <v>1317.134207884638</v>
      </c>
      <c r="K22" s="58">
        <f t="shared" si="2"/>
        <v>-0.43120949595986208</v>
      </c>
      <c r="L22" s="59">
        <f t="shared" si="3"/>
        <v>0.65212056332008383</v>
      </c>
    </row>
    <row r="23" spans="1:14" s="1" customFormat="1" ht="34" x14ac:dyDescent="0.2">
      <c r="A23"/>
      <c r="B23" s="52"/>
      <c r="C23" s="52"/>
      <c r="D23" s="71"/>
      <c r="E23" s="71"/>
      <c r="F23" s="71"/>
      <c r="G23" s="52"/>
      <c r="H23" s="71"/>
      <c r="I23" s="71"/>
      <c r="J23" s="52"/>
      <c r="K23" s="54"/>
      <c r="L23" s="54"/>
      <c r="M23" s="52"/>
      <c r="N23" s="61" t="s">
        <v>221</v>
      </c>
    </row>
    <row r="24" spans="1:14" s="1" customFormat="1" ht="35" customHeight="1" x14ac:dyDescent="0.2">
      <c r="A24"/>
      <c r="B24" s="52"/>
      <c r="C24" s="52"/>
      <c r="D24" s="71"/>
      <c r="E24" s="71"/>
      <c r="F24" s="71"/>
      <c r="G24" s="52"/>
      <c r="H24" s="71"/>
      <c r="I24" s="71"/>
      <c r="J24" s="52"/>
      <c r="K24" s="54"/>
      <c r="L24" s="54"/>
      <c r="M24" s="52"/>
      <c r="N24" s="61" t="s">
        <v>222</v>
      </c>
    </row>
    <row r="25" spans="1:14" x14ac:dyDescent="0.2">
      <c r="B25" t="s">
        <v>182</v>
      </c>
      <c r="D25" s="46">
        <v>11.7882803539636</v>
      </c>
      <c r="E25" s="46">
        <v>65.029420143561296</v>
      </c>
      <c r="F25" s="46">
        <v>151</v>
      </c>
      <c r="H25" s="46">
        <f t="shared" si="0"/>
        <v>85.970579856438704</v>
      </c>
      <c r="I25" s="46">
        <f t="shared" si="1"/>
        <v>53.241139789597696</v>
      </c>
      <c r="K25" s="47">
        <f t="shared" si="2"/>
        <v>1.3220259332875328</v>
      </c>
      <c r="L25" s="51">
        <f t="shared" si="3"/>
        <v>4.5164466903517706</v>
      </c>
    </row>
    <row r="26" spans="1:14" x14ac:dyDescent="0.2">
      <c r="B26" t="s">
        <v>183</v>
      </c>
      <c r="D26" s="46">
        <v>32.658913661851997</v>
      </c>
      <c r="E26" s="46">
        <v>-1.9426753953098199</v>
      </c>
      <c r="F26" s="46">
        <v>5</v>
      </c>
      <c r="H26" s="46">
        <f t="shared" si="0"/>
        <v>6.9426753953098199</v>
      </c>
      <c r="I26" s="46">
        <f t="shared" si="1"/>
        <v>-34.601589057161817</v>
      </c>
      <c r="K26" s="47">
        <f t="shared" si="2"/>
        <v>-3.5737701790383745</v>
      </c>
      <c r="L26" s="51">
        <f t="shared" si="3"/>
        <v>-1.0594837726515995</v>
      </c>
    </row>
    <row r="27" spans="1:14" x14ac:dyDescent="0.2">
      <c r="B27" t="s">
        <v>184</v>
      </c>
      <c r="D27" s="46">
        <v>308.12834386532467</v>
      </c>
      <c r="E27" s="46">
        <v>334.01363587102253</v>
      </c>
      <c r="F27" s="46">
        <v>383</v>
      </c>
      <c r="H27" s="46">
        <f t="shared" si="0"/>
        <v>48.986364128977471</v>
      </c>
      <c r="I27" s="46">
        <f t="shared" si="1"/>
        <v>25.885292005697863</v>
      </c>
      <c r="K27" s="47">
        <f t="shared" si="2"/>
        <v>0.1466597733389941</v>
      </c>
      <c r="L27" s="51">
        <f t="shared" si="3"/>
        <v>8.4008149594351142E-2</v>
      </c>
    </row>
    <row r="28" spans="1:14" x14ac:dyDescent="0.2">
      <c r="A28" s="1"/>
      <c r="B28" t="s">
        <v>185</v>
      </c>
      <c r="D28" s="46">
        <v>6.8771546861696899</v>
      </c>
      <c r="E28" s="46">
        <v>24.98627272889</v>
      </c>
      <c r="F28" s="46">
        <v>13</v>
      </c>
      <c r="H28" s="46">
        <f t="shared" si="0"/>
        <v>-11.98627272889</v>
      </c>
      <c r="I28" s="46">
        <f t="shared" si="1"/>
        <v>18.109118042720311</v>
      </c>
      <c r="K28" s="47">
        <f t="shared" si="2"/>
        <v>-0.47971431589438523</v>
      </c>
      <c r="L28" s="51">
        <f t="shared" si="3"/>
        <v>2.6332282563221496</v>
      </c>
    </row>
    <row r="29" spans="1:14" x14ac:dyDescent="0.2">
      <c r="A29" s="1"/>
      <c r="B29" t="s">
        <v>186</v>
      </c>
      <c r="D29" s="46">
        <v>360.45269256730995</v>
      </c>
      <c r="E29" s="46">
        <v>422.08665334816402</v>
      </c>
      <c r="F29" s="46">
        <v>552</v>
      </c>
      <c r="H29" s="46">
        <f t="shared" si="0"/>
        <v>129.91334665183598</v>
      </c>
      <c r="I29" s="46">
        <f t="shared" si="1"/>
        <v>61.633960780854068</v>
      </c>
      <c r="K29" s="47">
        <f t="shared" si="2"/>
        <v>0.30778833119055093</v>
      </c>
      <c r="L29" s="51">
        <f t="shared" si="3"/>
        <v>0.17099042967849298</v>
      </c>
    </row>
    <row r="30" spans="1:14" x14ac:dyDescent="0.2">
      <c r="A30" s="1"/>
      <c r="B30" t="s">
        <v>187</v>
      </c>
      <c r="D30" s="46">
        <v>54.933562593540501</v>
      </c>
      <c r="E30" s="46">
        <v>42.013396459578303</v>
      </c>
      <c r="F30" s="46">
        <v>79</v>
      </c>
      <c r="H30" s="46">
        <f t="shared" si="0"/>
        <v>36.986603540421697</v>
      </c>
      <c r="I30" s="46">
        <f t="shared" si="1"/>
        <v>-12.920166133962198</v>
      </c>
      <c r="K30" s="47">
        <f t="shared" si="2"/>
        <v>0.8803526174325621</v>
      </c>
      <c r="L30" s="51">
        <f t="shared" si="3"/>
        <v>-0.23519621746654107</v>
      </c>
    </row>
    <row r="31" spans="1:14" x14ac:dyDescent="0.2">
      <c r="A31" s="1"/>
      <c r="B31" t="s">
        <v>188</v>
      </c>
      <c r="D31" s="46">
        <v>352.16691028680509</v>
      </c>
      <c r="E31" s="46">
        <v>526.64170995469476</v>
      </c>
      <c r="F31" s="46">
        <v>349</v>
      </c>
      <c r="H31" s="46">
        <f t="shared" si="0"/>
        <v>-177.64170995469476</v>
      </c>
      <c r="I31" s="46">
        <f t="shared" si="1"/>
        <v>174.47479966788967</v>
      </c>
      <c r="K31" s="47">
        <f t="shared" si="2"/>
        <v>-0.33731036983374652</v>
      </c>
      <c r="L31" s="51">
        <f t="shared" si="3"/>
        <v>0.49543212201792958</v>
      </c>
    </row>
    <row r="32" spans="1:14" x14ac:dyDescent="0.2">
      <c r="B32" t="s">
        <v>189</v>
      </c>
      <c r="D32" s="46">
        <v>55.693827053204203</v>
      </c>
      <c r="E32" s="46">
        <v>32.437856340779902</v>
      </c>
      <c r="F32" s="46">
        <v>71</v>
      </c>
      <c r="H32" s="46">
        <f t="shared" si="0"/>
        <v>38.562143659220098</v>
      </c>
      <c r="I32" s="46">
        <f t="shared" si="1"/>
        <v>-23.2559707124243</v>
      </c>
      <c r="K32" s="47">
        <f t="shared" si="2"/>
        <v>1.1888006178367874</v>
      </c>
      <c r="L32" s="51">
        <f t="shared" si="3"/>
        <v>-0.41756819279465063</v>
      </c>
    </row>
    <row r="33" spans="1:14" x14ac:dyDescent="0.2">
      <c r="B33" t="s">
        <v>190</v>
      </c>
      <c r="D33" s="46">
        <v>30.45685108055946</v>
      </c>
      <c r="E33" s="46">
        <v>26.9465426340224</v>
      </c>
      <c r="F33" s="46">
        <v>17</v>
      </c>
      <c r="H33" s="46">
        <f t="shared" si="0"/>
        <v>-9.9465426340223999</v>
      </c>
      <c r="I33" s="46">
        <f t="shared" si="1"/>
        <v>-3.51030844653706</v>
      </c>
      <c r="K33" s="47">
        <f t="shared" si="2"/>
        <v>-0.36912129207492494</v>
      </c>
      <c r="L33" s="51">
        <f t="shared" si="3"/>
        <v>-0.11525513380395658</v>
      </c>
    </row>
    <row r="34" spans="1:14" x14ac:dyDescent="0.2">
      <c r="B34" t="s">
        <v>191</v>
      </c>
      <c r="D34" s="46">
        <v>493.25115101410927</v>
      </c>
      <c r="E34" s="46">
        <v>628.03950538907543</v>
      </c>
      <c r="F34" s="46">
        <v>516</v>
      </c>
      <c r="H34" s="46">
        <f t="shared" si="0"/>
        <v>-112.03950538907543</v>
      </c>
      <c r="I34" s="46">
        <f t="shared" si="1"/>
        <v>134.78835437496616</v>
      </c>
      <c r="K34" s="47">
        <f t="shared" si="2"/>
        <v>-0.17839563343975642</v>
      </c>
      <c r="L34" s="51">
        <f t="shared" si="3"/>
        <v>0.27326515933687218</v>
      </c>
    </row>
    <row r="35" spans="1:14" s="1" customFormat="1" x14ac:dyDescent="0.2">
      <c r="A35"/>
      <c r="B35" s="1" t="s">
        <v>192</v>
      </c>
      <c r="D35" s="56">
        <v>-132.7984584468</v>
      </c>
      <c r="E35" s="56">
        <v>-205.95285204091141</v>
      </c>
      <c r="F35" s="56">
        <v>36</v>
      </c>
      <c r="H35" s="56">
        <f t="shared" si="0"/>
        <v>241.95285204091141</v>
      </c>
      <c r="I35" s="56">
        <f t="shared" si="1"/>
        <v>-73.154393594111411</v>
      </c>
      <c r="K35" s="48">
        <f t="shared" si="2"/>
        <v>-1.1747972880358502</v>
      </c>
      <c r="L35" s="59">
        <f t="shared" si="3"/>
        <v>0.55086779206414949</v>
      </c>
    </row>
    <row r="36" spans="1:14" x14ac:dyDescent="0.2">
      <c r="B36" t="s">
        <v>193</v>
      </c>
      <c r="D36" s="46">
        <v>67.889564361357998</v>
      </c>
      <c r="E36" s="46">
        <v>-76.715469872054399</v>
      </c>
      <c r="F36" s="46">
        <v>2</v>
      </c>
      <c r="H36" s="46">
        <f t="shared" si="0"/>
        <v>78.715469872054399</v>
      </c>
      <c r="I36" s="46">
        <f t="shared" si="1"/>
        <v>-144.6050342334124</v>
      </c>
      <c r="K36" s="47">
        <f t="shared" si="2"/>
        <v>-1.0260703610801782</v>
      </c>
      <c r="L36" s="51">
        <f t="shared" si="3"/>
        <v>-2.1300038613257035</v>
      </c>
    </row>
    <row r="37" spans="1:14" s="1" customFormat="1" x14ac:dyDescent="0.2">
      <c r="A37"/>
      <c r="B37" s="1" t="s">
        <v>194</v>
      </c>
      <c r="D37" s="56">
        <v>1954.8621144821</v>
      </c>
      <c r="E37" s="56">
        <v>3054.2368945392127</v>
      </c>
      <c r="F37" s="56">
        <v>1936</v>
      </c>
      <c r="H37" s="56">
        <f t="shared" si="0"/>
        <v>-1118.2368945392127</v>
      </c>
      <c r="I37" s="56">
        <f t="shared" si="1"/>
        <v>1099.3747800571127</v>
      </c>
      <c r="K37" s="58">
        <f t="shared" si="2"/>
        <v>-0.36612644439550557</v>
      </c>
      <c r="L37" s="58">
        <f t="shared" si="3"/>
        <v>0.56237970540872095</v>
      </c>
    </row>
    <row r="38" spans="1:14" x14ac:dyDescent="0.2">
      <c r="B38" t="s">
        <v>207</v>
      </c>
      <c r="D38" s="46">
        <v>129</v>
      </c>
      <c r="E38" s="46">
        <v>1222.7773042149931</v>
      </c>
      <c r="F38" s="46">
        <v>345</v>
      </c>
    </row>
    <row r="39" spans="1:14" s="1" customFormat="1" x14ac:dyDescent="0.2">
      <c r="B39" s="1" t="s">
        <v>209</v>
      </c>
      <c r="D39" s="56">
        <f>D37-D38</f>
        <v>1825.8621144821</v>
      </c>
      <c r="E39" s="56">
        <f t="shared" ref="E39:F39" si="4">E37-E38</f>
        <v>1831.4595903242196</v>
      </c>
      <c r="F39" s="56">
        <f t="shared" si="4"/>
        <v>1591</v>
      </c>
    </row>
    <row r="40" spans="1:14" ht="34" x14ac:dyDescent="0.2">
      <c r="A40" s="1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1" t="s">
        <v>223</v>
      </c>
    </row>
    <row r="47" spans="1:14" x14ac:dyDescent="0.2">
      <c r="A47" s="1"/>
    </row>
    <row r="48" spans="1:14" x14ac:dyDescent="0.2">
      <c r="A48" s="1"/>
    </row>
    <row r="57" spans="1:1" x14ac:dyDescent="0.2">
      <c r="A57" s="1"/>
    </row>
    <row r="59" spans="1:1" x14ac:dyDescent="0.2">
      <c r="A59" s="1"/>
    </row>
    <row r="60" spans="1:1" x14ac:dyDescent="0.2">
      <c r="A60" s="1"/>
    </row>
  </sheetData>
  <mergeCells count="2">
    <mergeCell ref="H6:I6"/>
    <mergeCell ref="K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98-F75B-A243-BD0A-980CD4F756AB}">
  <sheetPr>
    <tabColor theme="4" tint="0.79998168889431442"/>
  </sheetPr>
  <dimension ref="A1:L53"/>
  <sheetViews>
    <sheetView workbookViewId="0">
      <selection activeCell="L14" sqref="L14"/>
    </sheetView>
  </sheetViews>
  <sheetFormatPr baseColWidth="10" defaultRowHeight="16" x14ac:dyDescent="0.2"/>
  <cols>
    <col min="1" max="1" width="2.33203125" customWidth="1"/>
    <col min="2" max="2" width="46.5" customWidth="1"/>
    <col min="3" max="3" width="3.83203125" customWidth="1"/>
    <col min="7" max="7" width="3.83203125" customWidth="1"/>
    <col min="12" max="12" width="83.33203125" customWidth="1"/>
  </cols>
  <sheetData>
    <row r="1" spans="1:10" x14ac:dyDescent="0.2">
      <c r="B1" t="s">
        <v>197</v>
      </c>
    </row>
    <row r="2" spans="1:10" x14ac:dyDescent="0.2">
      <c r="B2" s="1" t="s">
        <v>116</v>
      </c>
    </row>
    <row r="3" spans="1:10" x14ac:dyDescent="0.2">
      <c r="B3" s="1"/>
    </row>
    <row r="4" spans="1:10" x14ac:dyDescent="0.2">
      <c r="B4" s="1" t="s">
        <v>165</v>
      </c>
    </row>
    <row r="5" spans="1:10" x14ac:dyDescent="0.2">
      <c r="B5" s="1"/>
      <c r="C5" s="1"/>
      <c r="D5" s="55" t="s">
        <v>196</v>
      </c>
      <c r="E5" s="55" t="s">
        <v>164</v>
      </c>
      <c r="F5" s="55" t="s">
        <v>195</v>
      </c>
      <c r="G5" s="1"/>
      <c r="H5" s="55" t="s">
        <v>196</v>
      </c>
      <c r="I5" s="55" t="s">
        <v>164</v>
      </c>
      <c r="J5" s="55" t="s">
        <v>195</v>
      </c>
    </row>
    <row r="6" spans="1:10" x14ac:dyDescent="0.2">
      <c r="B6" t="s">
        <v>168</v>
      </c>
      <c r="D6" s="46">
        <v>19611.958676509399</v>
      </c>
      <c r="E6" s="46">
        <v>26331.219299966775</v>
      </c>
      <c r="F6" s="46">
        <v>25217</v>
      </c>
      <c r="H6" s="47">
        <f>D6/D$6</f>
        <v>1</v>
      </c>
      <c r="I6" s="47">
        <f>E6/E$6</f>
        <v>1</v>
      </c>
      <c r="J6" s="47">
        <f>F6/F$6</f>
        <v>1</v>
      </c>
    </row>
    <row r="7" spans="1:10" x14ac:dyDescent="0.2">
      <c r="B7" t="s">
        <v>169</v>
      </c>
      <c r="D7" s="46">
        <v>106.438619710995</v>
      </c>
      <c r="E7" s="46">
        <v>112.50981375739497</v>
      </c>
      <c r="F7" s="46">
        <v>163</v>
      </c>
      <c r="H7" s="47">
        <f t="shared" ref="H7:H32" si="0">D7/D$6</f>
        <v>5.42723047027852E-3</v>
      </c>
      <c r="I7" s="47">
        <f t="shared" ref="I7:I32" si="1">E7/E$6</f>
        <v>4.2728675978000357E-3</v>
      </c>
      <c r="J7" s="47">
        <f t="shared" ref="J7:J32" si="2">F7/F$6</f>
        <v>6.463893405242495E-3</v>
      </c>
    </row>
    <row r="8" spans="1:10" x14ac:dyDescent="0.2">
      <c r="B8" s="1" t="s">
        <v>170</v>
      </c>
      <c r="C8" s="1"/>
      <c r="D8" s="56">
        <v>19718.397296220399</v>
      </c>
      <c r="E8" s="56">
        <v>26443.72911372417</v>
      </c>
      <c r="F8" s="56">
        <v>25380</v>
      </c>
      <c r="G8" s="1"/>
      <c r="H8" s="47">
        <f t="shared" si="0"/>
        <v>1.0054272304702787</v>
      </c>
      <c r="I8" s="47">
        <f t="shared" si="1"/>
        <v>1.0042728675978001</v>
      </c>
      <c r="J8" s="47">
        <f t="shared" si="2"/>
        <v>1.0064638934052426</v>
      </c>
    </row>
    <row r="9" spans="1:10" x14ac:dyDescent="0.2">
      <c r="B9" t="s">
        <v>171</v>
      </c>
      <c r="D9" s="46">
        <v>9578.5995662458608</v>
      </c>
      <c r="E9" s="46">
        <v>12100.5444621264</v>
      </c>
      <c r="F9" s="46">
        <v>10423</v>
      </c>
      <c r="H9" s="50">
        <f t="shared" si="0"/>
        <v>0.48840606510755158</v>
      </c>
      <c r="I9" s="47">
        <f t="shared" si="1"/>
        <v>0.45955123932075825</v>
      </c>
      <c r="J9" s="50">
        <f t="shared" si="2"/>
        <v>0.41333227584565968</v>
      </c>
    </row>
    <row r="10" spans="1:10" x14ac:dyDescent="0.2">
      <c r="B10" t="s">
        <v>172</v>
      </c>
      <c r="D10" s="46">
        <v>1095.9360651878751</v>
      </c>
      <c r="E10" s="46">
        <v>1052.8160611430601</v>
      </c>
      <c r="F10" s="46">
        <v>1599</v>
      </c>
      <c r="H10" s="47">
        <f t="shared" si="0"/>
        <v>5.5881010319512536E-2</v>
      </c>
      <c r="I10" s="47">
        <f t="shared" si="1"/>
        <v>3.998356662292462E-2</v>
      </c>
      <c r="J10" s="47">
        <f t="shared" si="2"/>
        <v>6.3409604631796013E-2</v>
      </c>
    </row>
    <row r="11" spans="1:10" x14ac:dyDescent="0.2">
      <c r="B11" t="s">
        <v>173</v>
      </c>
      <c r="D11" s="46">
        <v>3905.2455895687799</v>
      </c>
      <c r="E11" s="46">
        <v>6783.6040303700729</v>
      </c>
      <c r="F11" s="46">
        <v>7120</v>
      </c>
      <c r="H11" s="50">
        <f t="shared" si="0"/>
        <v>0.19912573007031484</v>
      </c>
      <c r="I11" s="47">
        <f t="shared" si="1"/>
        <v>0.25762589848540102</v>
      </c>
      <c r="J11" s="50">
        <f t="shared" si="2"/>
        <v>0.28234920886703413</v>
      </c>
    </row>
    <row r="12" spans="1:10" x14ac:dyDescent="0.2">
      <c r="A12" s="1"/>
      <c r="B12" t="s">
        <v>174</v>
      </c>
      <c r="D12" s="46">
        <v>14579.781221002517</v>
      </c>
      <c r="E12" s="46">
        <v>19937.964553639533</v>
      </c>
      <c r="F12" s="46">
        <v>19142</v>
      </c>
      <c r="H12" s="47">
        <f t="shared" si="0"/>
        <v>0.74341280549737898</v>
      </c>
      <c r="I12" s="47">
        <f t="shared" si="1"/>
        <v>0.75719868216147102</v>
      </c>
      <c r="J12" s="47">
        <f t="shared" si="2"/>
        <v>0.75909108934448988</v>
      </c>
    </row>
    <row r="13" spans="1:10" x14ac:dyDescent="0.2">
      <c r="A13" s="1"/>
      <c r="B13" t="s">
        <v>175</v>
      </c>
      <c r="D13" s="46">
        <v>988.30994668606195</v>
      </c>
      <c r="E13" s="46">
        <v>917.429184482251</v>
      </c>
      <c r="F13" s="46">
        <v>1091</v>
      </c>
      <c r="H13" s="47">
        <f t="shared" si="0"/>
        <v>5.0393230119836485E-2</v>
      </c>
      <c r="I13" s="47">
        <f t="shared" si="1"/>
        <v>3.4841880052376026E-2</v>
      </c>
      <c r="J13" s="47">
        <f t="shared" si="2"/>
        <v>4.3264464448586268E-2</v>
      </c>
    </row>
    <row r="14" spans="1:10" x14ac:dyDescent="0.2">
      <c r="B14" t="s">
        <v>176</v>
      </c>
      <c r="D14" s="46">
        <v>1670.1849614594801</v>
      </c>
      <c r="E14" s="46">
        <v>1262.8426744118699</v>
      </c>
      <c r="F14" s="46">
        <v>1337</v>
      </c>
      <c r="H14" s="47">
        <f t="shared" si="0"/>
        <v>8.5161558261897433E-2</v>
      </c>
      <c r="I14" s="47">
        <f t="shared" si="1"/>
        <v>4.7959901135814983E-2</v>
      </c>
      <c r="J14" s="47">
        <f t="shared" si="2"/>
        <v>5.3019788238093349E-2</v>
      </c>
    </row>
    <row r="15" spans="1:10" x14ac:dyDescent="0.2">
      <c r="B15" t="s">
        <v>177</v>
      </c>
      <c r="D15" s="46">
        <v>-564.52354783833903</v>
      </c>
      <c r="E15" s="46">
        <v>-448.52768246918703</v>
      </c>
      <c r="F15" s="46">
        <v>291</v>
      </c>
      <c r="H15" s="47">
        <f t="shared" si="0"/>
        <v>-2.878465925560551E-2</v>
      </c>
      <c r="I15" s="47">
        <f t="shared" si="1"/>
        <v>-1.7034064293017868E-2</v>
      </c>
      <c r="J15" s="47">
        <f t="shared" si="2"/>
        <v>1.1539834238807153E-2</v>
      </c>
    </row>
    <row r="16" spans="1:10" x14ac:dyDescent="0.2">
      <c r="B16" t="s">
        <v>178</v>
      </c>
      <c r="D16" s="46">
        <v>-290.03781314996002</v>
      </c>
      <c r="E16" s="46">
        <v>-277.22598775315498</v>
      </c>
      <c r="F16" s="46">
        <v>-292</v>
      </c>
      <c r="H16" s="47">
        <f t="shared" si="0"/>
        <v>-1.4788824407291781E-2</v>
      </c>
      <c r="I16" s="47">
        <f t="shared" si="1"/>
        <v>-1.0528414373636878E-2</v>
      </c>
      <c r="J16" s="47">
        <f t="shared" si="2"/>
        <v>-1.1579490026569378E-2</v>
      </c>
    </row>
    <row r="17" spans="1:10" x14ac:dyDescent="0.2">
      <c r="B17" t="s">
        <v>179</v>
      </c>
      <c r="D17" s="46">
        <v>1314.91151949306</v>
      </c>
      <c r="E17" s="46">
        <v>1715.3411549606799</v>
      </c>
      <c r="F17" s="46">
        <v>1913</v>
      </c>
      <c r="H17" s="47">
        <f t="shared" si="0"/>
        <v>6.7046414954362546E-2</v>
      </c>
      <c r="I17" s="47">
        <f t="shared" si="1"/>
        <v>6.5144767335663961E-2</v>
      </c>
      <c r="J17" s="47">
        <f t="shared" si="2"/>
        <v>7.5861521989134317E-2</v>
      </c>
    </row>
    <row r="18" spans="1:10" x14ac:dyDescent="0.2">
      <c r="B18" s="1" t="s">
        <v>180</v>
      </c>
      <c r="C18" s="1"/>
      <c r="D18" s="56">
        <v>17697.626287652802</v>
      </c>
      <c r="E18" s="56">
        <v>23106.823897271992</v>
      </c>
      <c r="F18" s="56">
        <v>23482</v>
      </c>
      <c r="G18" s="1"/>
      <c r="H18" s="47">
        <f t="shared" si="0"/>
        <v>0.90238953587284854</v>
      </c>
      <c r="I18" s="47">
        <f t="shared" si="1"/>
        <v>0.87754477428628408</v>
      </c>
      <c r="J18" s="47">
        <f t="shared" si="2"/>
        <v>0.93119720823254148</v>
      </c>
    </row>
    <row r="19" spans="1:10" x14ac:dyDescent="0.2">
      <c r="B19" s="1" t="s">
        <v>181</v>
      </c>
      <c r="C19" s="1"/>
      <c r="D19" s="56">
        <v>2019.7710085675401</v>
      </c>
      <c r="E19" s="56">
        <v>3336.9052164521781</v>
      </c>
      <c r="F19" s="56">
        <v>1898</v>
      </c>
      <c r="G19" s="1"/>
      <c r="H19" s="50">
        <f t="shared" si="0"/>
        <v>0.10298670529969858</v>
      </c>
      <c r="I19" s="50">
        <f t="shared" si="1"/>
        <v>0.12672809331151591</v>
      </c>
      <c r="J19" s="50">
        <f t="shared" si="2"/>
        <v>7.5266685172700951E-2</v>
      </c>
    </row>
    <row r="20" spans="1:10" x14ac:dyDescent="0.2">
      <c r="B20" t="s">
        <v>182</v>
      </c>
      <c r="D20" s="46">
        <v>11.7882803539636</v>
      </c>
      <c r="E20" s="46">
        <v>65.029420143561296</v>
      </c>
      <c r="F20" s="46">
        <v>151</v>
      </c>
      <c r="H20" s="47">
        <f t="shared" si="0"/>
        <v>6.010761366779362E-4</v>
      </c>
      <c r="I20" s="47">
        <f t="shared" si="1"/>
        <v>2.4696699155000146E-3</v>
      </c>
      <c r="J20" s="47">
        <f t="shared" si="2"/>
        <v>5.9880239520958087E-3</v>
      </c>
    </row>
    <row r="21" spans="1:10" x14ac:dyDescent="0.2">
      <c r="B21" t="s">
        <v>183</v>
      </c>
      <c r="D21" s="46">
        <v>32.658913661851997</v>
      </c>
      <c r="E21" s="46">
        <v>-1.9426753953098199</v>
      </c>
      <c r="F21" s="46">
        <v>5</v>
      </c>
      <c r="H21" s="47">
        <f t="shared" si="0"/>
        <v>1.6652550722009139E-3</v>
      </c>
      <c r="I21" s="47">
        <f t="shared" si="1"/>
        <v>-7.3778406278066701E-5</v>
      </c>
      <c r="J21" s="47">
        <f t="shared" si="2"/>
        <v>1.9827893881111948E-4</v>
      </c>
    </row>
    <row r="22" spans="1:10" x14ac:dyDescent="0.2">
      <c r="B22" t="s">
        <v>184</v>
      </c>
      <c r="D22" s="46">
        <v>308.12834386532467</v>
      </c>
      <c r="E22" s="46">
        <v>334.01363587102253</v>
      </c>
      <c r="F22" s="46">
        <v>383</v>
      </c>
      <c r="H22" s="47">
        <f t="shared" si="0"/>
        <v>1.5711247864008165E-2</v>
      </c>
      <c r="I22" s="47">
        <f t="shared" si="1"/>
        <v>1.2685080476749665E-2</v>
      </c>
      <c r="J22" s="47">
        <f t="shared" si="2"/>
        <v>1.5188166712931753E-2</v>
      </c>
    </row>
    <row r="23" spans="1:10" x14ac:dyDescent="0.2">
      <c r="A23" s="1"/>
      <c r="B23" t="s">
        <v>185</v>
      </c>
      <c r="D23" s="46">
        <v>6.8771546861696899</v>
      </c>
      <c r="E23" s="46">
        <v>24.98627272889</v>
      </c>
      <c r="F23" s="46">
        <v>13</v>
      </c>
      <c r="H23" s="47">
        <f t="shared" si="0"/>
        <v>3.5066128781960641E-4</v>
      </c>
      <c r="I23" s="47">
        <f t="shared" si="1"/>
        <v>9.489219790487077E-4</v>
      </c>
      <c r="J23" s="47">
        <f t="shared" si="2"/>
        <v>5.1552524090891063E-4</v>
      </c>
    </row>
    <row r="24" spans="1:10" x14ac:dyDescent="0.2">
      <c r="A24" s="1"/>
      <c r="B24" t="s">
        <v>186</v>
      </c>
      <c r="D24" s="46">
        <v>360.45269256730995</v>
      </c>
      <c r="E24" s="46">
        <v>422.08665334816402</v>
      </c>
      <c r="F24" s="46">
        <v>552</v>
      </c>
      <c r="H24" s="47">
        <f t="shared" si="0"/>
        <v>1.8379229658435345E-2</v>
      </c>
      <c r="I24" s="47">
        <f t="shared" si="1"/>
        <v>1.6029893965020321E-2</v>
      </c>
      <c r="J24" s="47">
        <f t="shared" si="2"/>
        <v>2.1889994844747591E-2</v>
      </c>
    </row>
    <row r="25" spans="1:10" x14ac:dyDescent="0.2">
      <c r="A25" s="1"/>
      <c r="B25" t="s">
        <v>187</v>
      </c>
      <c r="D25" s="46">
        <v>54.933562593540501</v>
      </c>
      <c r="E25" s="46">
        <v>42.013396459578303</v>
      </c>
      <c r="F25" s="46">
        <v>79</v>
      </c>
      <c r="H25" s="47">
        <f t="shared" si="0"/>
        <v>2.8010237783816175E-3</v>
      </c>
      <c r="I25" s="47">
        <f t="shared" si="1"/>
        <v>1.5955735274147109E-3</v>
      </c>
      <c r="J25" s="47">
        <f t="shared" si="2"/>
        <v>3.1328072332156877E-3</v>
      </c>
    </row>
    <row r="26" spans="1:10" x14ac:dyDescent="0.2">
      <c r="A26" s="1"/>
      <c r="B26" t="s">
        <v>188</v>
      </c>
      <c r="D26" s="46">
        <v>352.16691028680509</v>
      </c>
      <c r="E26" s="46">
        <v>526.64170995469476</v>
      </c>
      <c r="F26" s="46">
        <v>349</v>
      </c>
      <c r="H26" s="47">
        <f t="shared" si="0"/>
        <v>1.7956743438819284E-2</v>
      </c>
      <c r="I26" s="47">
        <f t="shared" si="1"/>
        <v>2.0000657924540519E-2</v>
      </c>
      <c r="J26" s="47">
        <f t="shared" si="2"/>
        <v>1.3839869929016139E-2</v>
      </c>
    </row>
    <row r="27" spans="1:10" x14ac:dyDescent="0.2">
      <c r="B27" t="s">
        <v>189</v>
      </c>
      <c r="D27" s="46">
        <v>55.693827053204203</v>
      </c>
      <c r="E27" s="46">
        <v>32.437856340779902</v>
      </c>
      <c r="F27" s="46">
        <v>71</v>
      </c>
      <c r="H27" s="47">
        <f t="shared" si="0"/>
        <v>2.8397891292679784E-3</v>
      </c>
      <c r="I27" s="47">
        <f t="shared" si="1"/>
        <v>1.2319162273211114E-3</v>
      </c>
      <c r="J27" s="47">
        <f t="shared" si="2"/>
        <v>2.8155609311178967E-3</v>
      </c>
    </row>
    <row r="28" spans="1:10" x14ac:dyDescent="0.2">
      <c r="B28" t="s">
        <v>190</v>
      </c>
      <c r="D28" s="46">
        <v>30.45685108055946</v>
      </c>
      <c r="E28" s="46">
        <v>26.9465426340224</v>
      </c>
      <c r="F28" s="46">
        <v>17</v>
      </c>
      <c r="H28" s="47">
        <f t="shared" si="0"/>
        <v>1.5529734476261027E-3</v>
      </c>
      <c r="I28" s="47">
        <f t="shared" si="1"/>
        <v>1.0233685849122985E-3</v>
      </c>
      <c r="J28" s="47">
        <f t="shared" si="2"/>
        <v>6.7414839195780623E-4</v>
      </c>
    </row>
    <row r="29" spans="1:10" x14ac:dyDescent="0.2">
      <c r="B29" t="s">
        <v>191</v>
      </c>
      <c r="D29" s="46">
        <v>493.25115101410927</v>
      </c>
      <c r="E29" s="46">
        <v>628.03950538907543</v>
      </c>
      <c r="F29" s="46">
        <v>516</v>
      </c>
      <c r="H29" s="47">
        <f t="shared" si="0"/>
        <v>2.5150529794094986E-2</v>
      </c>
      <c r="I29" s="47">
        <f t="shared" si="1"/>
        <v>2.3851516264188643E-2</v>
      </c>
      <c r="J29" s="47">
        <f t="shared" si="2"/>
        <v>2.0462386485307529E-2</v>
      </c>
    </row>
    <row r="30" spans="1:10" x14ac:dyDescent="0.2">
      <c r="B30" s="1" t="s">
        <v>192</v>
      </c>
      <c r="C30" s="1"/>
      <c r="D30" s="56">
        <v>-132.7984584468</v>
      </c>
      <c r="E30" s="56">
        <v>-205.95285204091141</v>
      </c>
      <c r="F30" s="56">
        <v>36</v>
      </c>
      <c r="G30" s="1"/>
      <c r="H30" s="47">
        <f t="shared" si="0"/>
        <v>-6.7713001356596728E-3</v>
      </c>
      <c r="I30" s="47">
        <f t="shared" si="1"/>
        <v>-7.8216222991683224E-3</v>
      </c>
      <c r="J30" s="47">
        <f t="shared" si="2"/>
        <v>1.4276083594400603E-3</v>
      </c>
    </row>
    <row r="31" spans="1:10" x14ac:dyDescent="0.2">
      <c r="B31" t="s">
        <v>193</v>
      </c>
      <c r="D31" s="46">
        <v>67.889564361357998</v>
      </c>
      <c r="E31" s="46">
        <v>-76.715469872054399</v>
      </c>
      <c r="F31" s="46">
        <v>2</v>
      </c>
      <c r="H31" s="47">
        <f t="shared" si="0"/>
        <v>3.4616412098947584E-3</v>
      </c>
      <c r="I31" s="47">
        <f t="shared" si="1"/>
        <v>-2.9134795847509882E-3</v>
      </c>
      <c r="J31" s="47">
        <f t="shared" si="2"/>
        <v>7.9311575524447788E-5</v>
      </c>
    </row>
    <row r="32" spans="1:10" x14ac:dyDescent="0.2">
      <c r="B32" s="1" t="s">
        <v>194</v>
      </c>
      <c r="C32" s="1"/>
      <c r="D32" s="56">
        <v>1954.8621144821</v>
      </c>
      <c r="E32" s="56">
        <v>3054.2368945392127</v>
      </c>
      <c r="F32" s="56">
        <v>1936</v>
      </c>
      <c r="G32" s="1"/>
      <c r="H32" s="47">
        <f t="shared" si="0"/>
        <v>9.9677046373933764E-2</v>
      </c>
      <c r="I32" s="47">
        <f t="shared" si="1"/>
        <v>0.11599299142759661</v>
      </c>
      <c r="J32" s="47">
        <f t="shared" si="2"/>
        <v>7.6773605107665469E-2</v>
      </c>
    </row>
    <row r="33" spans="1:12" x14ac:dyDescent="0.2">
      <c r="B33" t="s">
        <v>207</v>
      </c>
      <c r="D33" s="46">
        <v>129</v>
      </c>
      <c r="E33" s="46">
        <v>1222.7773042149931</v>
      </c>
      <c r="F33" s="46">
        <v>345</v>
      </c>
      <c r="H33" s="47"/>
      <c r="I33" s="47"/>
      <c r="J33" s="47"/>
    </row>
    <row r="34" spans="1:12" s="1" customFormat="1" x14ac:dyDescent="0.2">
      <c r="B34" s="1" t="s">
        <v>208</v>
      </c>
      <c r="D34" s="56">
        <f>D32-D33</f>
        <v>1825.8621144821</v>
      </c>
      <c r="E34" s="56">
        <f t="shared" ref="E34:F34" si="3">E32-E33</f>
        <v>1831.4595903242196</v>
      </c>
      <c r="F34" s="56">
        <f t="shared" si="3"/>
        <v>1591</v>
      </c>
      <c r="H34" s="47"/>
      <c r="I34" s="47"/>
      <c r="J34" s="47"/>
      <c r="L34" s="1" t="s">
        <v>204</v>
      </c>
    </row>
    <row r="35" spans="1:12" ht="52" customHeight="1" x14ac:dyDescent="0.2">
      <c r="A35" s="1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1" t="s">
        <v>213</v>
      </c>
    </row>
    <row r="36" spans="1:12" ht="32" customHeight="1" x14ac:dyDescent="0.2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 t="s">
        <v>210</v>
      </c>
    </row>
    <row r="37" spans="1:12" ht="51" x14ac:dyDescent="0.2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1" t="s">
        <v>211</v>
      </c>
    </row>
    <row r="38" spans="1:12" x14ac:dyDescent="0.2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</row>
    <row r="39" spans="1:12" ht="51" x14ac:dyDescent="0.2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1" t="s">
        <v>212</v>
      </c>
    </row>
    <row r="40" spans="1:12" x14ac:dyDescent="0.2">
      <c r="A40" s="1"/>
    </row>
    <row r="41" spans="1:12" x14ac:dyDescent="0.2">
      <c r="A41" s="1"/>
    </row>
    <row r="50" spans="1:1" x14ac:dyDescent="0.2">
      <c r="A50" s="1"/>
    </row>
    <row r="52" spans="1:1" x14ac:dyDescent="0.2">
      <c r="A52" s="1"/>
    </row>
    <row r="53" spans="1:1" x14ac:dyDescent="0.2">
      <c r="A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7D5C-F8EA-434A-BC10-ACBD3967FCDA}">
  <dimension ref="B1:J31"/>
  <sheetViews>
    <sheetView showGridLines="0" zoomScale="105" workbookViewId="0">
      <selection activeCell="J19" sqref="J19"/>
    </sheetView>
  </sheetViews>
  <sheetFormatPr baseColWidth="10" defaultRowHeight="16" x14ac:dyDescent="0.2"/>
  <cols>
    <col min="1" max="1" width="1.5" customWidth="1"/>
    <col min="3" max="3" width="22.1640625" customWidth="1"/>
    <col min="5" max="5" width="72.33203125" customWidth="1"/>
    <col min="7" max="7" width="20.33203125" customWidth="1"/>
  </cols>
  <sheetData>
    <row r="1" spans="2:10" ht="4" customHeight="1" x14ac:dyDescent="0.2"/>
    <row r="2" spans="2:10" x14ac:dyDescent="0.2">
      <c r="B2" s="1" t="s">
        <v>228</v>
      </c>
      <c r="G2" s="93" t="s">
        <v>261</v>
      </c>
      <c r="H2" s="30"/>
      <c r="I2" s="30"/>
      <c r="J2" s="30"/>
    </row>
    <row r="3" spans="2:10" x14ac:dyDescent="0.2">
      <c r="G3" t="s">
        <v>244</v>
      </c>
      <c r="J3" s="94">
        <v>0.58660000000000001</v>
      </c>
    </row>
    <row r="4" spans="2:10" x14ac:dyDescent="0.2">
      <c r="C4" s="1" t="s">
        <v>229</v>
      </c>
      <c r="G4" t="s">
        <v>245</v>
      </c>
      <c r="J4" s="94">
        <v>6.3100000000000003E-2</v>
      </c>
    </row>
    <row r="5" spans="2:10" x14ac:dyDescent="0.2">
      <c r="C5" t="s">
        <v>234</v>
      </c>
      <c r="G5" t="s">
        <v>246</v>
      </c>
      <c r="J5" s="94">
        <v>7.1499999999999994E-2</v>
      </c>
    </row>
    <row r="6" spans="2:10" x14ac:dyDescent="0.2">
      <c r="C6" t="s">
        <v>230</v>
      </c>
      <c r="G6" t="s">
        <v>247</v>
      </c>
      <c r="J6" s="94">
        <v>0.1313</v>
      </c>
    </row>
    <row r="7" spans="2:10" x14ac:dyDescent="0.2">
      <c r="C7" t="s">
        <v>231</v>
      </c>
      <c r="G7" t="s">
        <v>248</v>
      </c>
      <c r="J7" s="95">
        <v>1.32</v>
      </c>
    </row>
    <row r="8" spans="2:10" x14ac:dyDescent="0.2">
      <c r="C8" t="s">
        <v>232</v>
      </c>
      <c r="G8" t="s">
        <v>249</v>
      </c>
      <c r="J8" s="95">
        <v>0.87</v>
      </c>
    </row>
    <row r="9" spans="2:10" x14ac:dyDescent="0.2">
      <c r="C9" t="s">
        <v>233</v>
      </c>
      <c r="G9" t="s">
        <v>250</v>
      </c>
      <c r="J9" s="96">
        <v>0.21759999999999999</v>
      </c>
    </row>
    <row r="10" spans="2:10" x14ac:dyDescent="0.2">
      <c r="G10" t="s">
        <v>251</v>
      </c>
      <c r="J10" s="95">
        <v>21.14</v>
      </c>
    </row>
    <row r="12" spans="2:10" x14ac:dyDescent="0.2">
      <c r="C12" s="1" t="s">
        <v>235</v>
      </c>
    </row>
    <row r="13" spans="2:10" x14ac:dyDescent="0.2">
      <c r="C13" t="s">
        <v>236</v>
      </c>
    </row>
    <row r="14" spans="2:10" x14ac:dyDescent="0.2">
      <c r="C14" t="s">
        <v>237</v>
      </c>
    </row>
    <row r="15" spans="2:10" x14ac:dyDescent="0.2">
      <c r="C15" t="s">
        <v>238</v>
      </c>
    </row>
    <row r="17" spans="3:5" x14ac:dyDescent="0.2">
      <c r="C17" s="1" t="s">
        <v>239</v>
      </c>
    </row>
    <row r="18" spans="3:5" x14ac:dyDescent="0.2">
      <c r="C18" t="s">
        <v>240</v>
      </c>
    </row>
    <row r="19" spans="3:5" x14ac:dyDescent="0.2">
      <c r="C19" t="s">
        <v>241</v>
      </c>
    </row>
    <row r="20" spans="3:5" x14ac:dyDescent="0.2">
      <c r="C20" t="s">
        <v>242</v>
      </c>
    </row>
    <row r="23" spans="3:5" x14ac:dyDescent="0.2">
      <c r="C23" s="52" t="s">
        <v>243</v>
      </c>
      <c r="D23" s="60"/>
      <c r="E23" s="52" t="s">
        <v>252</v>
      </c>
    </row>
    <row r="24" spans="3:5" ht="34" x14ac:dyDescent="0.2">
      <c r="C24" s="60" t="s">
        <v>244</v>
      </c>
      <c r="D24" s="83">
        <v>0.58660000000000001</v>
      </c>
      <c r="E24" s="61" t="s">
        <v>253</v>
      </c>
    </row>
    <row r="25" spans="3:5" ht="17" x14ac:dyDescent="0.2">
      <c r="C25" s="60" t="s">
        <v>245</v>
      </c>
      <c r="D25" s="83">
        <v>6.3100000000000003E-2</v>
      </c>
      <c r="E25" s="61" t="s">
        <v>255</v>
      </c>
    </row>
    <row r="26" spans="3:5" ht="17" x14ac:dyDescent="0.2">
      <c r="C26" s="60" t="s">
        <v>246</v>
      </c>
      <c r="D26" s="83">
        <v>7.1499999999999994E-2</v>
      </c>
      <c r="E26" s="61" t="s">
        <v>254</v>
      </c>
    </row>
    <row r="27" spans="3:5" ht="17" x14ac:dyDescent="0.2">
      <c r="C27" s="60" t="s">
        <v>247</v>
      </c>
      <c r="D27" s="83">
        <v>0.1313</v>
      </c>
      <c r="E27" s="61" t="s">
        <v>256</v>
      </c>
    </row>
    <row r="28" spans="3:5" ht="17" x14ac:dyDescent="0.2">
      <c r="C28" s="60" t="s">
        <v>248</v>
      </c>
      <c r="D28" s="84">
        <v>1.32</v>
      </c>
      <c r="E28" s="61" t="s">
        <v>257</v>
      </c>
    </row>
    <row r="29" spans="3:5" ht="34" x14ac:dyDescent="0.2">
      <c r="C29" s="60" t="s">
        <v>249</v>
      </c>
      <c r="D29" s="84">
        <v>0.87</v>
      </c>
      <c r="E29" s="61" t="s">
        <v>258</v>
      </c>
    </row>
    <row r="30" spans="3:5" ht="34" x14ac:dyDescent="0.2">
      <c r="C30" s="60" t="s">
        <v>250</v>
      </c>
      <c r="D30" s="85">
        <v>0.21759999999999999</v>
      </c>
      <c r="E30" s="61" t="s">
        <v>259</v>
      </c>
    </row>
    <row r="31" spans="3:5" ht="37" customHeight="1" x14ac:dyDescent="0.2">
      <c r="C31" s="60" t="s">
        <v>251</v>
      </c>
      <c r="D31" s="84">
        <v>21.14</v>
      </c>
      <c r="E31" s="61" t="s">
        <v>260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64e1b0e-c8e5-41a9-9bbb-6f7ed40eef04}" enabled="0" method="" siteId="{164e1b0e-c8e5-41a9-9bbb-6f7ed40eef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DCF</vt:lpstr>
      <vt:lpstr>WACC &amp; TV</vt:lpstr>
      <vt:lpstr>Comparables Valuation</vt:lpstr>
      <vt:lpstr>Precedent Transactions</vt:lpstr>
      <vt:lpstr>BS - Horizontal Analysis</vt:lpstr>
      <vt:lpstr>BS - Vertical Analysis</vt:lpstr>
      <vt:lpstr>IS - Horizontal Analysis</vt:lpstr>
      <vt:lpstr>IS - Vertical Analysis</vt:lpstr>
      <vt:lpstr>Ratio Analysis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Poleszczuk</dc:creator>
  <cp:keywords/>
  <dc:description/>
  <cp:lastModifiedBy>Michał Poleszczuk</cp:lastModifiedBy>
  <cp:revision/>
  <dcterms:created xsi:type="dcterms:W3CDTF">2024-03-20T14:55:05Z</dcterms:created>
  <dcterms:modified xsi:type="dcterms:W3CDTF">2024-03-25T23:17:21Z</dcterms:modified>
  <cp:category/>
  <cp:contentStatus/>
</cp:coreProperties>
</file>