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en_skoroszyt" defaultThemeVersion="124226"/>
  <xr:revisionPtr revIDLastSave="0" documentId="13_ncr:1_{38BD0966-358D-4FA1-9369-37BFF6414D4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AVER" sheetId="1" r:id="rId1"/>
    <sheet name="obliczenia" sheetId="2" r:id="rId2"/>
    <sheet name="wykres" sheetId="3" r:id="rId3"/>
  </sheets>
  <definedNames>
    <definedName name="fw">obliczenia!$H$11</definedName>
    <definedName name="jak_wyplata">obliczenia!$A$9:$A$12</definedName>
    <definedName name="kiedy_wyplata">obliczenia!$A$2:$A$7</definedName>
    <definedName name="okres">obliczenia!$M$3:$O$3</definedName>
    <definedName name="suma_ubezp">obliczenia!$L$4:$L$12</definedName>
    <definedName name="wykres1">OFFSET(wykres!$I$3,0,0,wykres!$J$1)</definedName>
    <definedName name="wykres2">OFFSET(wykres!$B$3,0,0,wykres!$C$1)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2" l="1"/>
  <c r="D19" i="2"/>
  <c r="G32" i="2" l="1"/>
  <c r="G33" i="2" s="1"/>
  <c r="G34" i="2" s="1"/>
  <c r="M31" i="2" s="1"/>
  <c r="G31" i="2"/>
  <c r="F31" i="2"/>
  <c r="G25" i="2"/>
  <c r="G24" i="2"/>
  <c r="F24" i="2"/>
  <c r="M10" i="3" s="1"/>
  <c r="I41" i="2"/>
  <c r="J41" i="2" s="1"/>
  <c r="H41" i="2"/>
  <c r="E41" i="2"/>
  <c r="G26" i="2" l="1"/>
  <c r="G27" i="2" s="1"/>
  <c r="N1" i="3" l="1"/>
  <c r="N2" i="3" l="1"/>
  <c r="M16" i="2"/>
  <c r="M15" i="2"/>
  <c r="M17" i="2" l="1"/>
  <c r="AJ10" i="1" s="1"/>
  <c r="J4" i="3"/>
  <c r="J82" i="3"/>
  <c r="J66" i="3"/>
  <c r="J50" i="3"/>
  <c r="J98" i="3"/>
  <c r="J34" i="3"/>
  <c r="J18" i="3"/>
  <c r="J95" i="3"/>
  <c r="J79" i="3"/>
  <c r="J63" i="3"/>
  <c r="J47" i="3"/>
  <c r="J31" i="3"/>
  <c r="J15" i="3"/>
  <c r="J90" i="3"/>
  <c r="J74" i="3"/>
  <c r="J58" i="3"/>
  <c r="J42" i="3"/>
  <c r="J26" i="3"/>
  <c r="J10" i="3"/>
  <c r="J3" i="3"/>
  <c r="J87" i="3"/>
  <c r="J71" i="3"/>
  <c r="J55" i="3"/>
  <c r="J39" i="3"/>
  <c r="J23" i="3"/>
  <c r="J7" i="3"/>
  <c r="J102" i="3"/>
  <c r="J94" i="3"/>
  <c r="J86" i="3"/>
  <c r="J78" i="3"/>
  <c r="J70" i="3"/>
  <c r="J62" i="3"/>
  <c r="J54" i="3"/>
  <c r="J46" i="3"/>
  <c r="J38" i="3"/>
  <c r="J30" i="3"/>
  <c r="J22" i="3"/>
  <c r="J14" i="3"/>
  <c r="J6" i="3"/>
  <c r="J99" i="3"/>
  <c r="J91" i="3"/>
  <c r="J83" i="3"/>
  <c r="J75" i="3"/>
  <c r="J67" i="3"/>
  <c r="J59" i="3"/>
  <c r="J51" i="3"/>
  <c r="J43" i="3"/>
  <c r="J35" i="3"/>
  <c r="J27" i="3"/>
  <c r="J19" i="3"/>
  <c r="J11" i="3"/>
  <c r="J101" i="3"/>
  <c r="J97" i="3"/>
  <c r="J93" i="3"/>
  <c r="J89" i="3"/>
  <c r="J85" i="3"/>
  <c r="J81" i="3"/>
  <c r="J77" i="3"/>
  <c r="J73" i="3"/>
  <c r="J69" i="3"/>
  <c r="J65" i="3"/>
  <c r="J61" i="3"/>
  <c r="J57" i="3"/>
  <c r="J53" i="3"/>
  <c r="J49" i="3"/>
  <c r="J45" i="3"/>
  <c r="J41" i="3"/>
  <c r="J37" i="3"/>
  <c r="J33" i="3"/>
  <c r="J29" i="3"/>
  <c r="J25" i="3"/>
  <c r="J21" i="3"/>
  <c r="J17" i="3"/>
  <c r="J13" i="3"/>
  <c r="J9" i="3"/>
  <c r="J5" i="3"/>
  <c r="J100" i="3"/>
  <c r="J96" i="3"/>
  <c r="J92" i="3"/>
  <c r="J88" i="3"/>
  <c r="J84" i="3"/>
  <c r="J80" i="3"/>
  <c r="J76" i="3"/>
  <c r="J72" i="3"/>
  <c r="J68" i="3"/>
  <c r="J64" i="3"/>
  <c r="J60" i="3"/>
  <c r="J56" i="3"/>
  <c r="J52" i="3"/>
  <c r="J48" i="3"/>
  <c r="J44" i="3"/>
  <c r="J40" i="3"/>
  <c r="J36" i="3"/>
  <c r="J32" i="3"/>
  <c r="J28" i="3"/>
  <c r="J24" i="3"/>
  <c r="J20" i="3"/>
  <c r="J16" i="3"/>
  <c r="J12" i="3"/>
  <c r="J8" i="3"/>
  <c r="H7" i="2" l="1"/>
  <c r="H6" i="2"/>
  <c r="H5" i="2"/>
  <c r="H4" i="2"/>
  <c r="H3" i="2"/>
  <c r="H11" i="2" l="1"/>
  <c r="D8" i="2" l="1"/>
  <c r="D10" i="2" s="1"/>
  <c r="B15" i="2"/>
  <c r="B12" i="2"/>
  <c r="B18" i="2"/>
  <c r="B17" i="2"/>
  <c r="B16" i="2"/>
  <c r="B19" i="2" s="1"/>
  <c r="E20" i="2" s="1"/>
  <c r="D2" i="2"/>
  <c r="D4" i="2" s="1"/>
  <c r="B7" i="2" l="1"/>
  <c r="D6" i="2" l="1"/>
  <c r="B11" i="2" s="1"/>
  <c r="D12" i="2"/>
  <c r="F1" i="3" s="1"/>
  <c r="B23" i="2" l="1"/>
  <c r="C1" i="3"/>
  <c r="E12" i="3" l="1"/>
  <c r="E28" i="3"/>
  <c r="E44" i="3"/>
  <c r="E7" i="3"/>
  <c r="E23" i="3"/>
  <c r="E39" i="3"/>
  <c r="E17" i="3"/>
  <c r="E29" i="3"/>
  <c r="E15" i="3"/>
  <c r="E18" i="3"/>
  <c r="E8" i="3"/>
  <c r="E24" i="3"/>
  <c r="E40" i="3"/>
  <c r="E19" i="3"/>
  <c r="E35" i="3"/>
  <c r="E51" i="3"/>
  <c r="E22" i="3"/>
  <c r="E34" i="3"/>
  <c r="E21" i="3"/>
  <c r="E9" i="3"/>
  <c r="E41" i="3"/>
  <c r="E10" i="3"/>
  <c r="E13" i="3"/>
  <c r="E30" i="3"/>
  <c r="E50" i="3"/>
  <c r="E37" i="3"/>
  <c r="E49" i="3"/>
  <c r="E26" i="3"/>
  <c r="E16" i="3"/>
  <c r="E32" i="3"/>
  <c r="E48" i="3"/>
  <c r="E11" i="3"/>
  <c r="E27" i="3"/>
  <c r="E43" i="3"/>
  <c r="E6" i="3"/>
  <c r="E38" i="3"/>
  <c r="E3" i="3"/>
  <c r="E25" i="3"/>
  <c r="E42" i="3"/>
  <c r="E45" i="3"/>
  <c r="E4" i="3"/>
  <c r="E20" i="3"/>
  <c r="E36" i="3"/>
  <c r="E52" i="3"/>
  <c r="F52" i="3" s="1"/>
  <c r="E31" i="3"/>
  <c r="E47" i="3"/>
  <c r="E14" i="3"/>
  <c r="E46" i="3"/>
  <c r="E5" i="3"/>
  <c r="E33" i="3"/>
  <c r="B22" i="2"/>
  <c r="B25" i="2" s="1"/>
  <c r="B26" i="2" l="1"/>
  <c r="AJ31" i="1" s="1"/>
  <c r="G28" i="2"/>
  <c r="M9" i="3" s="1"/>
  <c r="I92" i="3"/>
  <c r="I102" i="3"/>
  <c r="I98" i="3"/>
  <c r="I94" i="3"/>
  <c r="I99" i="3"/>
  <c r="I96" i="3"/>
  <c r="I93" i="3"/>
  <c r="I95" i="3"/>
  <c r="I100" i="3"/>
  <c r="I101" i="3"/>
  <c r="I97" i="3"/>
  <c r="F49" i="3"/>
  <c r="I89" i="3" s="1"/>
  <c r="F51" i="3"/>
  <c r="I91" i="3" s="1"/>
  <c r="F48" i="3"/>
  <c r="I88" i="3" s="1"/>
  <c r="F50" i="3"/>
  <c r="I90" i="3" s="1"/>
  <c r="AJ25" i="1"/>
  <c r="F26" i="3"/>
  <c r="I66" i="3" s="1"/>
  <c r="F21" i="3"/>
  <c r="I61" i="3" s="1"/>
  <c r="F44" i="3"/>
  <c r="I84" i="3" s="1"/>
  <c r="F41" i="3"/>
  <c r="I81" i="3" s="1"/>
  <c r="F39" i="3"/>
  <c r="I79" i="3" s="1"/>
  <c r="F27" i="3"/>
  <c r="I67" i="3" s="1"/>
  <c r="F37" i="3"/>
  <c r="I77" i="3" s="1"/>
  <c r="F34" i="3"/>
  <c r="I74" i="3" s="1"/>
  <c r="F46" i="3"/>
  <c r="I86" i="3" s="1"/>
  <c r="F24" i="3"/>
  <c r="I64" i="3" s="1"/>
  <c r="F40" i="3"/>
  <c r="I80" i="3" s="1"/>
  <c r="F45" i="3"/>
  <c r="I85" i="3" s="1"/>
  <c r="F32" i="3"/>
  <c r="I72" i="3" s="1"/>
  <c r="F20" i="3"/>
  <c r="F33" i="3"/>
  <c r="I73" i="3" s="1"/>
  <c r="F19" i="3"/>
  <c r="I59" i="3" s="1"/>
  <c r="F29" i="3"/>
  <c r="I69" i="3" s="1"/>
  <c r="F22" i="3"/>
  <c r="I62" i="3" s="1"/>
  <c r="F42" i="3"/>
  <c r="I82" i="3" s="1"/>
  <c r="F43" i="3"/>
  <c r="I83" i="3" s="1"/>
  <c r="F25" i="3"/>
  <c r="I65" i="3" s="1"/>
  <c r="F31" i="3"/>
  <c r="I71" i="3" s="1"/>
  <c r="F30" i="3"/>
  <c r="I70" i="3" s="1"/>
  <c r="F28" i="3"/>
  <c r="I68" i="3" s="1"/>
  <c r="F23" i="3"/>
  <c r="I63" i="3" s="1"/>
  <c r="F36" i="3"/>
  <c r="I76" i="3" s="1"/>
  <c r="F35" i="3"/>
  <c r="I75" i="3" s="1"/>
  <c r="F18" i="3"/>
  <c r="F38" i="3"/>
  <c r="I78" i="3" s="1"/>
  <c r="F47" i="3"/>
  <c r="I87" i="3" s="1"/>
  <c r="F6" i="3"/>
  <c r="F14" i="3"/>
  <c r="F5" i="3"/>
  <c r="F13" i="3"/>
  <c r="F12" i="3"/>
  <c r="F16" i="3"/>
  <c r="I56" i="3" s="1"/>
  <c r="F15" i="3"/>
  <c r="F4" i="3"/>
  <c r="F8" i="3"/>
  <c r="F9" i="3"/>
  <c r="F3" i="3"/>
  <c r="F10" i="3"/>
  <c r="F7" i="3"/>
  <c r="F17" i="3"/>
  <c r="F11" i="3"/>
  <c r="B3" i="3" l="1"/>
  <c r="D3" i="3" s="1"/>
  <c r="C3" i="3"/>
  <c r="B6" i="3"/>
  <c r="I53" i="3"/>
  <c r="I55" i="3"/>
  <c r="I60" i="3"/>
  <c r="I57" i="3"/>
  <c r="I54" i="3"/>
  <c r="I58" i="3"/>
  <c r="C52" i="3"/>
  <c r="I52" i="3" s="1"/>
  <c r="B43" i="3"/>
  <c r="B52" i="3"/>
  <c r="B47" i="3"/>
  <c r="B45" i="3"/>
  <c r="B49" i="3"/>
  <c r="C43" i="3"/>
  <c r="I43" i="3" s="1"/>
  <c r="C44" i="3"/>
  <c r="I44" i="3" s="1"/>
  <c r="B50" i="3"/>
  <c r="C50" i="3"/>
  <c r="I50" i="3" s="1"/>
  <c r="B51" i="3"/>
  <c r="B46" i="3"/>
  <c r="C46" i="3"/>
  <c r="I46" i="3" s="1"/>
  <c r="B44" i="3"/>
  <c r="C49" i="3"/>
  <c r="I49" i="3" s="1"/>
  <c r="C48" i="3"/>
  <c r="I48" i="3" s="1"/>
  <c r="B48" i="3"/>
  <c r="C51" i="3"/>
  <c r="I51" i="3" s="1"/>
  <c r="C45" i="3"/>
  <c r="I45" i="3" s="1"/>
  <c r="C47" i="3"/>
  <c r="I47" i="3" s="1"/>
  <c r="C38" i="3"/>
  <c r="I38" i="3" s="1"/>
  <c r="B24" i="3"/>
  <c r="B40" i="3"/>
  <c r="C25" i="3"/>
  <c r="I25" i="3" s="1"/>
  <c r="C41" i="3"/>
  <c r="I41" i="3" s="1"/>
  <c r="B27" i="3"/>
  <c r="C24" i="3"/>
  <c r="I24" i="3" s="1"/>
  <c r="B38" i="3"/>
  <c r="B41" i="3"/>
  <c r="C31" i="3"/>
  <c r="I31" i="3" s="1"/>
  <c r="B37" i="3"/>
  <c r="B33" i="3"/>
  <c r="C39" i="3"/>
  <c r="I39" i="3" s="1"/>
  <c r="C32" i="3"/>
  <c r="I32" i="3" s="1"/>
  <c r="C30" i="3"/>
  <c r="I30" i="3" s="1"/>
  <c r="B32" i="3"/>
  <c r="B34" i="3"/>
  <c r="C34" i="3"/>
  <c r="I34" i="3" s="1"/>
  <c r="C37" i="3"/>
  <c r="I37" i="3" s="1"/>
  <c r="B42" i="3"/>
  <c r="B25" i="3"/>
  <c r="C23" i="3"/>
  <c r="I23" i="3" s="1"/>
  <c r="C26" i="3"/>
  <c r="I26" i="3" s="1"/>
  <c r="C42" i="3"/>
  <c r="I42" i="3" s="1"/>
  <c r="B28" i="3"/>
  <c r="C29" i="3"/>
  <c r="I29" i="3" s="1"/>
  <c r="B31" i="3"/>
  <c r="C28" i="3"/>
  <c r="I28" i="3" s="1"/>
  <c r="B26" i="3"/>
  <c r="C40" i="3"/>
  <c r="I40" i="3" s="1"/>
  <c r="C35" i="3"/>
  <c r="I35" i="3" s="1"/>
  <c r="C33" i="3"/>
  <c r="I33" i="3" s="1"/>
  <c r="B35" i="3"/>
  <c r="C36" i="3"/>
  <c r="I36" i="3" s="1"/>
  <c r="C27" i="3"/>
  <c r="I27" i="3" s="1"/>
  <c r="B36" i="3"/>
  <c r="B23" i="3"/>
  <c r="B39" i="3"/>
  <c r="B30" i="3"/>
  <c r="B29" i="3"/>
  <c r="C22" i="3"/>
  <c r="I22" i="3" s="1"/>
  <c r="B8" i="3"/>
  <c r="C9" i="3"/>
  <c r="I9" i="3" s="1"/>
  <c r="B15" i="3"/>
  <c r="C12" i="3"/>
  <c r="I12" i="3" s="1"/>
  <c r="B21" i="3"/>
  <c r="B9" i="3"/>
  <c r="B17" i="3"/>
  <c r="C14" i="3"/>
  <c r="I14" i="3" s="1"/>
  <c r="B16" i="3"/>
  <c r="C17" i="3"/>
  <c r="I17" i="3" s="1"/>
  <c r="B10" i="3"/>
  <c r="C15" i="3"/>
  <c r="I15" i="3" s="1"/>
  <c r="C11" i="3"/>
  <c r="I11" i="3" s="1"/>
  <c r="C18" i="3"/>
  <c r="I18" i="3" s="1"/>
  <c r="B20" i="3"/>
  <c r="B11" i="3"/>
  <c r="B14" i="3"/>
  <c r="B13" i="3"/>
  <c r="C10" i="3"/>
  <c r="I10" i="3" s="1"/>
  <c r="B12" i="3"/>
  <c r="C13" i="3"/>
  <c r="I13" i="3" s="1"/>
  <c r="B19" i="3"/>
  <c r="C20" i="3"/>
  <c r="I20" i="3" s="1"/>
  <c r="B22" i="3"/>
  <c r="C19" i="3"/>
  <c r="I19" i="3" s="1"/>
  <c r="C21" i="3"/>
  <c r="I21" i="3" s="1"/>
  <c r="B18" i="3"/>
  <c r="C8" i="3"/>
  <c r="I8" i="3" s="1"/>
  <c r="C16" i="3"/>
  <c r="I16" i="3" s="1"/>
  <c r="C7" i="3"/>
  <c r="I7" i="3" s="1"/>
  <c r="C6" i="3"/>
  <c r="I6" i="3" s="1"/>
  <c r="B4" i="3"/>
  <c r="C4" i="3"/>
  <c r="I4" i="3" s="1"/>
  <c r="C5" i="3"/>
  <c r="I5" i="3" s="1"/>
  <c r="B7" i="3"/>
  <c r="I3" i="3"/>
  <c r="B5" i="3"/>
  <c r="B27" i="2"/>
  <c r="AJ27" i="1" s="1"/>
  <c r="AJ29" i="1" s="1"/>
  <c r="J1" i="3" l="1"/>
  <c r="B28" i="2"/>
</calcChain>
</file>

<file path=xl/sharedStrings.xml><?xml version="1.0" encoding="utf-8"?>
<sst xmlns="http://schemas.openxmlformats.org/spreadsheetml/2006/main" count="70" uniqueCount="57">
  <si>
    <t>Podaj swój wiek</t>
  </si>
  <si>
    <t>Jaką kwotę chcesz uzyskać w przyszłości?</t>
  </si>
  <si>
    <t>Kiedy chcesz wypłacić oszczędności?</t>
  </si>
  <si>
    <t xml:space="preserve">za 5 lat </t>
  </si>
  <si>
    <t>za 10 lat</t>
  </si>
  <si>
    <t>za 15 lat</t>
  </si>
  <si>
    <t xml:space="preserve">za 20 lat </t>
  </si>
  <si>
    <t>w wieku 65 lat</t>
  </si>
  <si>
    <t>wybierz …</t>
  </si>
  <si>
    <t>jednorazowo</t>
  </si>
  <si>
    <t>przez zakładany czas</t>
  </si>
  <si>
    <t>miesięcznie do 75 roku życia</t>
  </si>
  <si>
    <t>wybrane</t>
  </si>
  <si>
    <t>wiersz</t>
  </si>
  <si>
    <t>Zakładana stopa zwrotu budowania kapitału</t>
  </si>
  <si>
    <t>Stopa inflacji</t>
  </si>
  <si>
    <t>przez</t>
  </si>
  <si>
    <t>stopa inflacji</t>
  </si>
  <si>
    <t>stopa kapitału</t>
  </si>
  <si>
    <t>okres budowania</t>
  </si>
  <si>
    <t>miesięcznie</t>
  </si>
  <si>
    <t>wiek</t>
  </si>
  <si>
    <t>budowanie</t>
  </si>
  <si>
    <t>konsumowanie</t>
  </si>
  <si>
    <t>kwota do zebrania</t>
  </si>
  <si>
    <t>składka</t>
  </si>
  <si>
    <t>okres konsumowania</t>
  </si>
  <si>
    <t>wymagana kwota na koniec okresu</t>
  </si>
  <si>
    <t>cel</t>
  </si>
  <si>
    <t>suma wpłat</t>
  </si>
  <si>
    <t>odsetki</t>
  </si>
  <si>
    <t>rok</t>
  </si>
  <si>
    <t>zgromadzony kapitał</t>
  </si>
  <si>
    <t>wykres</t>
  </si>
  <si>
    <t>KALKULATOR EMERYTALNY</t>
  </si>
  <si>
    <t xml:space="preserve">lat miesięcznie  </t>
  </si>
  <si>
    <t>W jaki sposób chcesz wypłacić oszczędności?</t>
  </si>
  <si>
    <t>Podaj sumę ubezpieczenia</t>
  </si>
  <si>
    <t>ING Terminowe Ubezpieczenie na Życie Ochrona +</t>
  </si>
  <si>
    <t>Podaj okres płacenia składek</t>
  </si>
  <si>
    <t>suma ubezpieczenia</t>
  </si>
  <si>
    <t>10 lat</t>
  </si>
  <si>
    <t>20 lat</t>
  </si>
  <si>
    <t>30 lat</t>
  </si>
  <si>
    <t>kolumna</t>
  </si>
  <si>
    <t>skladka</t>
  </si>
  <si>
    <t>ochrona + okres</t>
  </si>
  <si>
    <t>ochrona + suma ubezp.</t>
  </si>
  <si>
    <t>zgromadzony kapitał + ubezpiecenie</t>
  </si>
  <si>
    <t xml:space="preserve">Suma wpłat: </t>
  </si>
  <si>
    <t xml:space="preserve">Kwota jaką należy zgromadzić: </t>
  </si>
  <si>
    <t xml:space="preserve">Odsetki: </t>
  </si>
  <si>
    <t xml:space="preserve">Składka do uzyskania oszczędności: </t>
  </si>
  <si>
    <t>Składka ubezpieczeniowa</t>
  </si>
  <si>
    <t>ul. Domaniewska 39 A</t>
  </si>
  <si>
    <t>02-672 Warszawa</t>
  </si>
  <si>
    <t>Tax Care Spółka Akcyjna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</si>
</sst>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zł&quot;;\-#,##0.00\ &quot;zł&quot;"/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#,##0.00\ &quot;zł&quot;"/>
    <numFmt numFmtId="165" formatCode="#,##0\ &quot;zł&quot;"/>
    <numFmt numFmtId="166" formatCode="#,##0.00000\ &quot;zł&quot;;[Red]\-#,##0.00000\ &quot;zł&quot;"/>
    <numFmt numFmtId="167" formatCode="0.00000"/>
    <numFmt numFmtId="168" formatCode="0.000000000000000000000"/>
  </numFmts>
  <fonts count="18" x14ac:knownFonts="1">
    <font>
      <sz val="11"/>
      <color theme="1"/>
      <name val="Calibri"/>
      <family val="2"/>
      <scheme val="minor"/>
    </font>
    <font>
      <b/>
      <sz val="11"/>
      <color theme="3"/>
      <name val="Arial"/>
      <family val="2"/>
      <charset val="23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4"/>
      <color theme="0" tint="-0.499984740745262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i/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2"/>
      <color rgb="FF00B050"/>
      <name val="Arial"/>
      <family val="2"/>
      <charset val="238"/>
    </font>
    <font>
      <b/>
      <i/>
      <sz val="12"/>
      <color theme="1"/>
      <name val="Arial"/>
      <family val="2"/>
      <charset val="238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2"/>
      <color rgb="FFC00000"/>
      <name val="Arial"/>
      <family val="2"/>
      <charset val="238"/>
    </font>
    <font>
      <b/>
      <sz val="11"/>
      <color theme="9" tint="-0.249977111117893"/>
      <name val="Arial"/>
      <family val="2"/>
      <charset val="238"/>
    </font>
    <font>
      <b/>
      <sz val="11"/>
      <color rgb="FFFF0000"/>
      <name val="Arial"/>
      <family val="2"/>
      <charset val="238"/>
    </font>
    <font>
      <i/>
      <sz val="11"/>
      <color theme="0" tint="-0.49998474074526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dotted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tted">
        <color theme="0" tint="-0.499984740745262"/>
      </top>
      <bottom/>
      <diagonal/>
    </border>
    <border>
      <left style="dotted">
        <color theme="0" tint="-0.499984740745262"/>
      </left>
      <right/>
      <top style="dotted">
        <color theme="0" tint="-0.499984740745262"/>
      </top>
      <bottom/>
      <diagonal/>
    </border>
    <border>
      <left/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/>
      <top/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/>
      <right style="dotted">
        <color theme="0" tint="-0.499984740745262"/>
      </right>
      <top/>
      <bottom style="dotted">
        <color theme="0" tint="-0.49998474074526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8" fontId="0" fillId="0" borderId="0" xfId="0" applyNumberFormat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0" xfId="0" applyFont="1"/>
    <xf numFmtId="8" fontId="3" fillId="0" borderId="0" xfId="0" applyNumberFormat="1" applyFont="1"/>
    <xf numFmtId="0" fontId="3" fillId="0" borderId="2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8" xfId="0" applyBorder="1" applyProtection="1">
      <protection hidden="1"/>
    </xf>
    <xf numFmtId="0" fontId="7" fillId="0" borderId="0" xfId="0" applyFont="1" applyBorder="1" applyProtection="1">
      <protection hidden="1"/>
    </xf>
    <xf numFmtId="0" fontId="1" fillId="0" borderId="0" xfId="0" applyFont="1" applyBorder="1" applyAlignment="1" applyProtection="1">
      <alignment horizontal="right" vertical="center"/>
      <protection hidden="1"/>
    </xf>
    <xf numFmtId="0" fontId="9" fillId="0" borderId="0" xfId="0" applyFont="1" applyBorder="1" applyProtection="1">
      <protection hidden="1"/>
    </xf>
    <xf numFmtId="0" fontId="7" fillId="0" borderId="0" xfId="0" applyFont="1" applyProtection="1">
      <protection hidden="1"/>
    </xf>
    <xf numFmtId="0" fontId="1" fillId="0" borderId="0" xfId="0" applyFont="1" applyBorder="1" applyAlignment="1" applyProtection="1">
      <alignment horizontal="left" vertical="center"/>
      <protection hidden="1"/>
    </xf>
    <xf numFmtId="10" fontId="0" fillId="0" borderId="0" xfId="0" applyNumberFormat="1" applyBorder="1" applyProtection="1">
      <protection hidden="1"/>
    </xf>
    <xf numFmtId="0" fontId="0" fillId="0" borderId="0" xfId="0" applyFont="1" applyBorder="1" applyProtection="1">
      <protection hidden="1"/>
    </xf>
    <xf numFmtId="0" fontId="10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right"/>
      <protection hidden="1"/>
    </xf>
    <xf numFmtId="0" fontId="6" fillId="0" borderId="0" xfId="0" applyFont="1" applyBorder="1" applyProtection="1">
      <protection hidden="1"/>
    </xf>
    <xf numFmtId="0" fontId="0" fillId="0" borderId="0" xfId="0" applyBorder="1" applyAlignment="1" applyProtection="1">
      <alignment horizontal="right"/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13" fillId="0" borderId="0" xfId="0" applyFont="1" applyBorder="1" applyProtection="1">
      <protection hidden="1"/>
    </xf>
    <xf numFmtId="0" fontId="15" fillId="0" borderId="0" xfId="0" applyFont="1" applyBorder="1" applyAlignment="1" applyProtection="1">
      <alignment horizontal="right" vertical="center"/>
      <protection hidden="1"/>
    </xf>
    <xf numFmtId="7" fontId="0" fillId="0" borderId="0" xfId="0" applyNumberFormat="1"/>
    <xf numFmtId="164" fontId="0" fillId="0" borderId="0" xfId="0" applyNumberFormat="1"/>
    <xf numFmtId="0" fontId="5" fillId="0" borderId="0" xfId="0" applyFont="1" applyBorder="1" applyAlignment="1" applyProtection="1">
      <alignment horizontal="right"/>
      <protection hidden="1"/>
    </xf>
    <xf numFmtId="0" fontId="16" fillId="0" borderId="0" xfId="0" applyFont="1" applyBorder="1" applyAlignment="1" applyProtection="1">
      <alignment horizontal="right" vertical="center"/>
      <protection hidden="1"/>
    </xf>
    <xf numFmtId="0" fontId="17" fillId="0" borderId="0" xfId="0" applyFont="1" applyBorder="1" applyAlignment="1" applyProtection="1">
      <alignment horizontal="right"/>
      <protection hidden="1"/>
    </xf>
    <xf numFmtId="0" fontId="17" fillId="0" borderId="0" xfId="0" applyFont="1" applyBorder="1" applyAlignment="1" applyProtection="1">
      <alignment vertical="top" wrapText="1"/>
      <protection hidden="1"/>
    </xf>
    <xf numFmtId="164" fontId="11" fillId="0" borderId="0" xfId="0" applyNumberFormat="1" applyFont="1" applyBorder="1" applyAlignment="1" applyProtection="1">
      <alignment vertical="center"/>
      <protection hidden="1"/>
    </xf>
    <xf numFmtId="164" fontId="14" fillId="0" borderId="0" xfId="0" applyNumberFormat="1" applyFont="1" applyBorder="1" applyAlignment="1" applyProtection="1">
      <alignment vertical="center"/>
      <protection hidden="1"/>
    </xf>
    <xf numFmtId="0" fontId="17" fillId="0" borderId="0" xfId="0" applyFont="1" applyBorder="1" applyProtection="1">
      <protection hidden="1"/>
    </xf>
    <xf numFmtId="0" fontId="17" fillId="0" borderId="0" xfId="0" applyFont="1" applyAlignment="1" applyProtection="1">
      <alignment horizontal="right"/>
      <protection hidden="1"/>
    </xf>
    <xf numFmtId="10" fontId="0" fillId="0" borderId="0" xfId="2" applyNumberFormat="1" applyFont="1"/>
    <xf numFmtId="166" fontId="3" fillId="0" borderId="0" xfId="0" applyNumberFormat="1" applyFont="1"/>
    <xf numFmtId="167" fontId="0" fillId="0" borderId="0" xfId="0" applyNumberFormat="1"/>
    <xf numFmtId="168" fontId="0" fillId="0" borderId="0" xfId="2" applyNumberFormat="1" applyFont="1"/>
    <xf numFmtId="2" fontId="0" fillId="0" borderId="0" xfId="0" applyNumberFormat="1"/>
    <xf numFmtId="0" fontId="0" fillId="0" borderId="0" xfId="0" applyBorder="1" applyAlignment="1" applyProtection="1">
      <alignment horizontal="center"/>
      <protection hidden="1"/>
    </xf>
    <xf numFmtId="0" fontId="16" fillId="0" borderId="0" xfId="0" applyFont="1" applyBorder="1" applyAlignment="1" applyProtection="1">
      <alignment horizontal="right" vertical="center" wrapText="1"/>
      <protection hidden="1"/>
    </xf>
    <xf numFmtId="7" fontId="8" fillId="0" borderId="22" xfId="1" applyNumberFormat="1" applyFont="1" applyBorder="1" applyAlignment="1" applyProtection="1">
      <alignment horizontal="center" vertical="center"/>
      <protection hidden="1"/>
    </xf>
    <xf numFmtId="7" fontId="8" fillId="0" borderId="21" xfId="1" applyNumberFormat="1" applyFont="1" applyBorder="1" applyAlignment="1" applyProtection="1">
      <alignment horizontal="center" vertical="center"/>
      <protection hidden="1"/>
    </xf>
    <xf numFmtId="7" fontId="8" fillId="0" borderId="23" xfId="1" applyNumberFormat="1" applyFont="1" applyBorder="1" applyAlignment="1" applyProtection="1">
      <alignment horizontal="center" vertical="center"/>
      <protection hidden="1"/>
    </xf>
    <xf numFmtId="7" fontId="8" fillId="0" borderId="24" xfId="1" applyNumberFormat="1" applyFont="1" applyBorder="1" applyAlignment="1" applyProtection="1">
      <alignment horizontal="center" vertical="center"/>
      <protection hidden="1"/>
    </xf>
    <xf numFmtId="7" fontId="8" fillId="0" borderId="25" xfId="1" applyNumberFormat="1" applyFont="1" applyBorder="1" applyAlignment="1" applyProtection="1">
      <alignment horizontal="center" vertical="center"/>
      <protection hidden="1"/>
    </xf>
    <xf numFmtId="7" fontId="8" fillId="0" borderId="26" xfId="1" applyNumberFormat="1" applyFont="1" applyBorder="1" applyAlignment="1" applyProtection="1">
      <alignment horizontal="center" vertical="center"/>
      <protection hidden="1"/>
    </xf>
    <xf numFmtId="7" fontId="8" fillId="0" borderId="1" xfId="1" applyNumberFormat="1" applyFont="1" applyBorder="1" applyAlignment="1" applyProtection="1">
      <alignment horizontal="center" vertical="center"/>
      <protection locked="0" hidden="1"/>
    </xf>
    <xf numFmtId="7" fontId="8" fillId="0" borderId="2" xfId="1" applyNumberFormat="1" applyFont="1" applyBorder="1" applyAlignment="1" applyProtection="1">
      <alignment horizontal="center" vertical="center"/>
      <protection locked="0" hidden="1"/>
    </xf>
    <xf numFmtId="7" fontId="8" fillId="0" borderId="3" xfId="1" applyNumberFormat="1" applyFont="1" applyBorder="1" applyAlignment="1" applyProtection="1">
      <alignment horizontal="center" vertical="center"/>
      <protection locked="0" hidden="1"/>
    </xf>
    <xf numFmtId="0" fontId="8" fillId="0" borderId="1" xfId="0" applyNumberFormat="1" applyFont="1" applyBorder="1" applyAlignment="1" applyProtection="1">
      <alignment horizontal="center" vertical="center"/>
      <protection locked="0" hidden="1"/>
    </xf>
    <xf numFmtId="0" fontId="8" fillId="0" borderId="2" xfId="0" applyNumberFormat="1" applyFont="1" applyBorder="1" applyAlignment="1" applyProtection="1">
      <alignment horizontal="center" vertical="center"/>
      <protection locked="0" hidden="1"/>
    </xf>
    <xf numFmtId="0" fontId="8" fillId="0" borderId="3" xfId="0" applyNumberFormat="1" applyFont="1" applyBorder="1" applyAlignment="1" applyProtection="1">
      <alignment horizontal="center" vertical="center"/>
      <protection locked="0" hidden="1"/>
    </xf>
    <xf numFmtId="7" fontId="8" fillId="0" borderId="1" xfId="1" applyNumberFormat="1" applyFont="1" applyBorder="1" applyAlignment="1" applyProtection="1">
      <alignment horizontal="center" vertical="center"/>
      <protection hidden="1"/>
    </xf>
    <xf numFmtId="7" fontId="8" fillId="0" borderId="2" xfId="1" applyNumberFormat="1" applyFont="1" applyBorder="1" applyAlignment="1" applyProtection="1">
      <alignment horizontal="center" vertical="center"/>
      <protection hidden="1"/>
    </xf>
    <xf numFmtId="7" fontId="8" fillId="0" borderId="3" xfId="1" applyNumberFormat="1" applyFont="1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 vertical="center"/>
      <protection locked="0" hidden="1"/>
    </xf>
    <xf numFmtId="0" fontId="8" fillId="0" borderId="2" xfId="0" applyFont="1" applyBorder="1" applyAlignment="1" applyProtection="1">
      <alignment horizontal="center" vertical="center"/>
      <protection locked="0" hidden="1"/>
    </xf>
    <xf numFmtId="0" fontId="8" fillId="0" borderId="3" xfId="0" applyFont="1" applyBorder="1" applyAlignment="1" applyProtection="1">
      <alignment horizontal="center" vertical="center"/>
      <protection locked="0" hidden="1"/>
    </xf>
    <xf numFmtId="164" fontId="8" fillId="0" borderId="1" xfId="0" applyNumberFormat="1" applyFont="1" applyBorder="1" applyAlignment="1" applyProtection="1">
      <alignment horizontal="center"/>
      <protection locked="0" hidden="1"/>
    </xf>
    <xf numFmtId="164" fontId="8" fillId="0" borderId="2" xfId="0" applyNumberFormat="1" applyFont="1" applyBorder="1" applyAlignment="1" applyProtection="1">
      <alignment horizontal="center"/>
      <protection locked="0" hidden="1"/>
    </xf>
    <xf numFmtId="164" fontId="8" fillId="0" borderId="3" xfId="0" applyNumberFormat="1" applyFont="1" applyBorder="1" applyAlignment="1" applyProtection="1">
      <alignment horizontal="center"/>
      <protection locked="0" hidden="1"/>
    </xf>
    <xf numFmtId="10" fontId="8" fillId="0" borderId="1" xfId="0" applyNumberFormat="1" applyFont="1" applyBorder="1" applyAlignment="1" applyProtection="1">
      <alignment horizontal="center" vertical="center"/>
      <protection locked="0" hidden="1"/>
    </xf>
    <xf numFmtId="10" fontId="8" fillId="0" borderId="2" xfId="0" applyNumberFormat="1" applyFont="1" applyBorder="1" applyAlignment="1" applyProtection="1">
      <alignment horizontal="center" vertical="center"/>
      <protection locked="0" hidden="1"/>
    </xf>
    <xf numFmtId="10" fontId="8" fillId="0" borderId="3" xfId="0" applyNumberFormat="1" applyFont="1" applyBorder="1" applyAlignment="1" applyProtection="1">
      <alignment horizontal="center" vertical="center"/>
      <protection locked="0" hidden="1"/>
    </xf>
    <xf numFmtId="0" fontId="4" fillId="0" borderId="0" xfId="0" applyFont="1" applyAlignment="1">
      <alignment horizontal="center"/>
    </xf>
  </cellXfs>
  <cellStyles count="3">
    <cellStyle name="Normalny" xfId="0" builtinId="0"/>
    <cellStyle name="Procentowy" xfId="2" builtinId="5"/>
    <cellStyle name="Walutowy" xfId="1" builtinId="4"/>
  </cellStyles>
  <dxfs count="2"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Zgromadzony kapitał + ubezpieczenie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[0]!wykres1</c:f>
              <c:numCache>
                <c:formatCode>#\ ##0.00\ "zł"</c:formatCode>
                <c:ptCount val="10"/>
                <c:pt idx="0">
                  <c:v>9691.5633246947236</c:v>
                </c:pt>
                <c:pt idx="1">
                  <c:v>19867.704815624205</c:v>
                </c:pt>
                <c:pt idx="2">
                  <c:v>30552.653381100168</c:v>
                </c:pt>
                <c:pt idx="3">
                  <c:v>41771.84937484996</c:v>
                </c:pt>
                <c:pt idx="4">
                  <c:v>53552.005168287185</c:v>
                </c:pt>
                <c:pt idx="5">
                  <c:v>65921.168751396341</c:v>
                </c:pt>
                <c:pt idx="6">
                  <c:v>78908.790513660962</c:v>
                </c:pt>
                <c:pt idx="7">
                  <c:v>92545.793364038851</c:v>
                </c:pt>
                <c:pt idx="8">
                  <c:v>106864.64635693561</c:v>
                </c:pt>
                <c:pt idx="9">
                  <c:v>121899.44199947731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B-4103-987A-134A9B6DC946}"/>
            </c:ext>
          </c:extLst>
        </c:ser>
        <c:ser>
          <c:idx val="1"/>
          <c:order val="1"/>
          <c:tx>
            <c:v>Suma wpłat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[0]!wykres2</c:f>
              <c:numCache>
                <c:formatCode>#\ ##0.00\ "zł"</c:formatCode>
                <c:ptCount val="10"/>
                <c:pt idx="0">
                  <c:v>9437.8598647077288</c:v>
                </c:pt>
                <c:pt idx="1">
                  <c:v>18875.719729415458</c:v>
                </c:pt>
                <c:pt idx="2">
                  <c:v>28313.579594123185</c:v>
                </c:pt>
                <c:pt idx="3">
                  <c:v>37751.439458830915</c:v>
                </c:pt>
                <c:pt idx="4">
                  <c:v>47189.299323538646</c:v>
                </c:pt>
                <c:pt idx="5">
                  <c:v>56627.159188246369</c:v>
                </c:pt>
                <c:pt idx="6">
                  <c:v>66065.0190529541</c:v>
                </c:pt>
                <c:pt idx="7">
                  <c:v>75502.87891766183</c:v>
                </c:pt>
                <c:pt idx="8">
                  <c:v>84940.738782369561</c:v>
                </c:pt>
                <c:pt idx="9">
                  <c:v>94378.598647077291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B-4103-987A-134A9B6DC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3376"/>
        <c:axId val="72854912"/>
      </c:lineChart>
      <c:catAx>
        <c:axId val="7285337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800" b="1"/>
            </a:pPr>
            <a:endParaRPr lang="pl-PL"/>
          </a:p>
        </c:txPr>
        <c:crossAx val="72854912"/>
        <c:crosses val="autoZero"/>
        <c:auto val="1"/>
        <c:lblAlgn val="ctr"/>
        <c:lblOffset val="100"/>
        <c:noMultiLvlLbl val="0"/>
      </c:catAx>
      <c:valAx>
        <c:axId val="72854912"/>
        <c:scaling>
          <c:orientation val="minMax"/>
        </c:scaling>
        <c:delete val="0"/>
        <c:axPos val="l"/>
        <c:majorGridlines/>
        <c:numFmt formatCode="#,##0\ &quot;zł&quot;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pl-PL"/>
          </a:p>
        </c:txPr>
        <c:crossAx val="728533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142362</xdr:colOff>
      <xdr:row>16</xdr:row>
      <xdr:rowOff>54348</xdr:rowOff>
    </xdr:from>
    <xdr:to>
      <xdr:col>61</xdr:col>
      <xdr:colOff>67237</xdr:colOff>
      <xdr:row>32</xdr:row>
      <xdr:rowOff>224117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1744" y="2329142"/>
          <a:ext cx="2143640" cy="2993651"/>
        </a:xfrm>
        <a:prstGeom prst="rect">
          <a:avLst/>
        </a:prstGeom>
      </xdr:spPr>
    </xdr:pic>
    <xdr:clientData/>
  </xdr:twoCellAnchor>
  <xdr:twoCellAnchor editAs="oneCell">
    <xdr:from>
      <xdr:col>54</xdr:col>
      <xdr:colOff>212914</xdr:colOff>
      <xdr:row>4</xdr:row>
      <xdr:rowOff>113181</xdr:rowOff>
    </xdr:from>
    <xdr:to>
      <xdr:col>58</xdr:col>
      <xdr:colOff>195229</xdr:colOff>
      <xdr:row>11</xdr:row>
      <xdr:rowOff>17422</xdr:rowOff>
    </xdr:to>
    <xdr:pic>
      <xdr:nvPicPr>
        <xdr:cNvPr id="3" name="Obraz 2" descr="tc_logo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245355" y="606240"/>
          <a:ext cx="968433" cy="93518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89649</xdr:colOff>
      <xdr:row>17</xdr:row>
      <xdr:rowOff>11206</xdr:rowOff>
    </xdr:from>
    <xdr:to>
      <xdr:col>26</xdr:col>
      <xdr:colOff>112058</xdr:colOff>
      <xdr:row>33</xdr:row>
      <xdr:rowOff>22411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BK36"/>
  <sheetViews>
    <sheetView showGridLines="0" showRowColHeaders="0" tabSelected="1" zoomScale="85" zoomScaleNormal="85" workbookViewId="0">
      <selection activeCell="O17" sqref="O17"/>
    </sheetView>
  </sheetViews>
  <sheetFormatPr defaultColWidth="0" defaultRowHeight="15" zeroHeight="1" x14ac:dyDescent="0.25"/>
  <cols>
    <col min="1" max="1" width="0.28515625" style="22" customWidth="1"/>
    <col min="2" max="2" width="1.5703125" style="22" customWidth="1"/>
    <col min="3" max="13" width="3.7109375" style="22" customWidth="1"/>
    <col min="14" max="14" width="3.85546875" style="22" customWidth="1"/>
    <col min="15" max="21" width="3.7109375" style="22" customWidth="1"/>
    <col min="22" max="22" width="4.85546875" style="22" customWidth="1"/>
    <col min="23" max="61" width="3.7109375" style="22" customWidth="1"/>
    <col min="62" max="62" width="1.140625" style="22" customWidth="1"/>
    <col min="63" max="63" width="0.140625" style="22" customWidth="1"/>
    <col min="64" max="16384" width="3.7109375" style="22" hidden="1"/>
  </cols>
  <sheetData>
    <row r="1" spans="2:62" ht="1.5" customHeight="1" thickBot="1" x14ac:dyDescent="0.3"/>
    <row r="2" spans="2:62" ht="3.75" customHeight="1" thickTop="1" x14ac:dyDescent="0.25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</row>
    <row r="3" spans="2:62" x14ac:dyDescent="0.25"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8"/>
    </row>
    <row r="4" spans="2:62" ht="18.75" x14ac:dyDescent="0.3">
      <c r="B4" s="26"/>
      <c r="C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47" t="s">
        <v>34</v>
      </c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44" t="s">
        <v>38</v>
      </c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8"/>
    </row>
    <row r="5" spans="2:62" x14ac:dyDescent="0.25"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C5" s="27"/>
      <c r="BD5" s="27"/>
      <c r="BE5" s="27"/>
      <c r="BF5" s="27"/>
      <c r="BG5" s="27"/>
      <c r="BH5" s="27"/>
      <c r="BI5" s="27"/>
      <c r="BJ5" s="28"/>
    </row>
    <row r="6" spans="2:62" x14ac:dyDescent="0.25"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9"/>
      <c r="N6" s="30" t="s">
        <v>0</v>
      </c>
      <c r="O6" s="71">
        <v>25</v>
      </c>
      <c r="P6" s="72"/>
      <c r="Q6" s="72"/>
      <c r="R6" s="72"/>
      <c r="S6" s="72"/>
      <c r="T6" s="72"/>
      <c r="U6" s="72"/>
      <c r="V6" s="73"/>
      <c r="W6" s="29"/>
      <c r="X6" s="29"/>
      <c r="Y6" s="29"/>
      <c r="Z6" s="29"/>
      <c r="AA6" s="29"/>
      <c r="AB6" s="29"/>
      <c r="AC6" s="27"/>
      <c r="AD6" s="27"/>
      <c r="AE6" s="27"/>
      <c r="AF6" s="27"/>
      <c r="AG6" s="27"/>
      <c r="AH6" s="27"/>
      <c r="AI6" s="30" t="s">
        <v>37</v>
      </c>
      <c r="AJ6" s="68"/>
      <c r="AK6" s="69"/>
      <c r="AL6" s="69"/>
      <c r="AM6" s="69"/>
      <c r="AN6" s="69"/>
      <c r="AO6" s="69"/>
      <c r="AP6" s="69"/>
      <c r="AQ6" s="70"/>
      <c r="AX6" s="27"/>
      <c r="AY6" s="27"/>
      <c r="AZ6" s="27"/>
      <c r="BA6" s="27"/>
      <c r="BB6" s="54" t="s">
        <v>56</v>
      </c>
      <c r="BC6" s="53"/>
      <c r="BD6" s="53"/>
      <c r="BE6" s="53"/>
      <c r="BF6" s="53"/>
      <c r="BG6" s="53"/>
      <c r="BH6" s="27"/>
      <c r="BI6" s="27"/>
      <c r="BJ6" s="28"/>
    </row>
    <row r="7" spans="2:62" ht="6.95" customHeight="1" x14ac:dyDescent="0.25"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9"/>
      <c r="N7" s="29"/>
      <c r="O7" s="31"/>
      <c r="P7" s="31"/>
      <c r="Q7" s="31"/>
      <c r="R7" s="31"/>
      <c r="S7" s="31"/>
      <c r="T7" s="31"/>
      <c r="U7" s="31"/>
      <c r="V7" s="31"/>
      <c r="W7" s="29"/>
      <c r="X7" s="29"/>
      <c r="Y7" s="29"/>
      <c r="Z7" s="29"/>
      <c r="AA7" s="29"/>
      <c r="AB7" s="29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49"/>
      <c r="BC7" s="53"/>
      <c r="BD7" s="53"/>
      <c r="BE7" s="53"/>
      <c r="BF7" s="53"/>
      <c r="BG7" s="53"/>
      <c r="BH7" s="27"/>
      <c r="BI7" s="27"/>
      <c r="BJ7" s="28"/>
    </row>
    <row r="8" spans="2:62" x14ac:dyDescent="0.25"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9"/>
      <c r="N8" s="30" t="s">
        <v>1</v>
      </c>
      <c r="O8" s="80">
        <v>100000</v>
      </c>
      <c r="P8" s="81"/>
      <c r="Q8" s="81"/>
      <c r="R8" s="81"/>
      <c r="S8" s="81"/>
      <c r="T8" s="81"/>
      <c r="U8" s="81"/>
      <c r="V8" s="82"/>
      <c r="W8" s="29"/>
      <c r="X8" s="29"/>
      <c r="Y8" s="29"/>
      <c r="Z8" s="29"/>
      <c r="AA8" s="32"/>
      <c r="AB8" s="29"/>
      <c r="AC8" s="27"/>
      <c r="AD8" s="27"/>
      <c r="AE8" s="27"/>
      <c r="AF8" s="27"/>
      <c r="AG8" s="27"/>
      <c r="AH8" s="27"/>
      <c r="AI8" s="30" t="s">
        <v>39</v>
      </c>
      <c r="AJ8" s="71"/>
      <c r="AK8" s="72"/>
      <c r="AL8" s="72"/>
      <c r="AM8" s="72"/>
      <c r="AN8" s="72"/>
      <c r="AO8" s="72"/>
      <c r="AP8" s="72"/>
      <c r="AQ8" s="73"/>
      <c r="AX8" s="27"/>
      <c r="AY8" s="27"/>
      <c r="AZ8" s="27"/>
      <c r="BA8" s="27"/>
      <c r="BB8" s="49" t="s">
        <v>54</v>
      </c>
      <c r="BC8" s="53"/>
      <c r="BD8" s="53"/>
      <c r="BE8" s="53"/>
      <c r="BF8" s="53"/>
      <c r="BG8" s="53"/>
      <c r="BH8" s="27"/>
      <c r="BI8" s="27"/>
      <c r="BJ8" s="28"/>
    </row>
    <row r="9" spans="2:62" ht="6.95" customHeight="1" x14ac:dyDescent="0.25"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9"/>
      <c r="N9" s="29"/>
      <c r="O9" s="31"/>
      <c r="P9" s="31"/>
      <c r="Q9" s="31"/>
      <c r="R9" s="31"/>
      <c r="S9" s="31"/>
      <c r="T9" s="31"/>
      <c r="U9" s="31"/>
      <c r="V9" s="31"/>
      <c r="W9" s="29"/>
      <c r="X9" s="29"/>
      <c r="Y9" s="29"/>
      <c r="Z9" s="29"/>
      <c r="AA9" s="29"/>
      <c r="AB9" s="29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49"/>
      <c r="BC9" s="53"/>
      <c r="BD9" s="53"/>
      <c r="BE9" s="53"/>
      <c r="BF9" s="53"/>
      <c r="BG9" s="53"/>
      <c r="BH9" s="27"/>
      <c r="BI9" s="27"/>
      <c r="BJ9" s="28"/>
    </row>
    <row r="10" spans="2:62" x14ac:dyDescent="0.25"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9"/>
      <c r="N10" s="30" t="s">
        <v>2</v>
      </c>
      <c r="O10" s="77" t="s">
        <v>4</v>
      </c>
      <c r="P10" s="78"/>
      <c r="Q10" s="78"/>
      <c r="R10" s="78"/>
      <c r="S10" s="78"/>
      <c r="T10" s="78"/>
      <c r="U10" s="78"/>
      <c r="V10" s="79"/>
      <c r="W10" s="29"/>
      <c r="X10" s="29"/>
      <c r="Y10" s="29"/>
      <c r="Z10" s="29"/>
      <c r="AA10" s="29"/>
      <c r="AB10" s="29"/>
      <c r="AC10" s="27"/>
      <c r="AD10" s="27"/>
      <c r="AE10" s="27"/>
      <c r="AF10" s="27"/>
      <c r="AG10" s="27"/>
      <c r="AH10" s="27"/>
      <c r="AI10" s="48" t="s">
        <v>53</v>
      </c>
      <c r="AJ10" s="74" t="str">
        <f>IFERROR(obliczenia!M17,"")</f>
        <v/>
      </c>
      <c r="AK10" s="75"/>
      <c r="AL10" s="75"/>
      <c r="AM10" s="75"/>
      <c r="AN10" s="75"/>
      <c r="AO10" s="75"/>
      <c r="AP10" s="75"/>
      <c r="AQ10" s="76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49" t="s">
        <v>55</v>
      </c>
      <c r="BC10" s="53"/>
      <c r="BD10" s="53"/>
      <c r="BE10" s="53"/>
      <c r="BF10" s="53"/>
      <c r="BG10" s="53"/>
      <c r="BH10" s="27"/>
      <c r="BI10" s="27"/>
      <c r="BJ10" s="28"/>
    </row>
    <row r="11" spans="2:62" ht="6.95" customHeight="1" x14ac:dyDescent="0.25">
      <c r="B11" s="26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9"/>
      <c r="N11" s="29"/>
      <c r="O11" s="31"/>
      <c r="P11" s="31"/>
      <c r="Q11" s="31"/>
      <c r="R11" s="31"/>
      <c r="S11" s="31"/>
      <c r="T11" s="31"/>
      <c r="U11" s="31"/>
      <c r="V11" s="31"/>
      <c r="W11" s="29"/>
      <c r="X11" s="29"/>
      <c r="Y11" s="29"/>
      <c r="Z11" s="29"/>
      <c r="AA11" s="29"/>
      <c r="AB11" s="29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8"/>
    </row>
    <row r="12" spans="2:62" ht="15" customHeight="1" x14ac:dyDescent="0.25"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9"/>
      <c r="N12" s="30" t="s">
        <v>36</v>
      </c>
      <c r="O12" s="77" t="s">
        <v>9</v>
      </c>
      <c r="P12" s="78"/>
      <c r="Q12" s="78"/>
      <c r="R12" s="78"/>
      <c r="S12" s="78"/>
      <c r="T12" s="78"/>
      <c r="U12" s="78"/>
      <c r="V12" s="79"/>
      <c r="W12" s="29"/>
      <c r="Y12" s="30" t="s">
        <v>16</v>
      </c>
      <c r="Z12" s="77">
        <v>5</v>
      </c>
      <c r="AA12" s="78"/>
      <c r="AB12" s="79"/>
      <c r="AC12" s="33" t="s">
        <v>35</v>
      </c>
      <c r="AD12" s="27"/>
      <c r="AE12" s="27"/>
      <c r="AF12" s="27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8"/>
    </row>
    <row r="13" spans="2:62" ht="6.95" customHeight="1" x14ac:dyDescent="0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9"/>
      <c r="N13" s="29"/>
      <c r="O13" s="31"/>
      <c r="P13" s="31"/>
      <c r="Q13" s="31"/>
      <c r="R13" s="31"/>
      <c r="S13" s="31"/>
      <c r="T13" s="31"/>
      <c r="U13" s="31"/>
      <c r="V13" s="31"/>
      <c r="W13" s="29"/>
      <c r="X13" s="29"/>
      <c r="Y13" s="29"/>
      <c r="Z13" s="29"/>
      <c r="AA13" s="29"/>
      <c r="AB13" s="29"/>
      <c r="AC13" s="27"/>
      <c r="AD13" s="27"/>
      <c r="AE13" s="27"/>
      <c r="AF13" s="27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8"/>
    </row>
    <row r="14" spans="2:62" x14ac:dyDescent="0.25"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9"/>
      <c r="N14" s="30" t="s">
        <v>14</v>
      </c>
      <c r="O14" s="83">
        <v>0.05</v>
      </c>
      <c r="P14" s="84"/>
      <c r="Q14" s="84"/>
      <c r="R14" s="84"/>
      <c r="S14" s="84"/>
      <c r="T14" s="84"/>
      <c r="U14" s="84"/>
      <c r="V14" s="85"/>
      <c r="W14" s="29"/>
      <c r="X14" s="29"/>
      <c r="Y14" s="29"/>
      <c r="Z14" s="29"/>
      <c r="AA14" s="29"/>
      <c r="AB14" s="29"/>
      <c r="AC14" s="27"/>
      <c r="AD14" s="27"/>
      <c r="AE14" s="27"/>
      <c r="AF14" s="27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8"/>
    </row>
    <row r="15" spans="2:62" ht="6.95" customHeight="1" x14ac:dyDescent="0.25"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9"/>
      <c r="N15" s="29"/>
      <c r="O15" s="31"/>
      <c r="P15" s="31"/>
      <c r="Q15" s="31"/>
      <c r="R15" s="31"/>
      <c r="S15" s="31"/>
      <c r="T15" s="31"/>
      <c r="U15" s="31"/>
      <c r="V15" s="31"/>
      <c r="W15" s="29"/>
      <c r="X15" s="29"/>
      <c r="Y15" s="29"/>
      <c r="Z15" s="29"/>
      <c r="AA15" s="29"/>
      <c r="AB15" s="29"/>
      <c r="AC15" s="27"/>
      <c r="AD15" s="27"/>
      <c r="AE15" s="27"/>
      <c r="AF15" s="27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8"/>
    </row>
    <row r="16" spans="2:62" x14ac:dyDescent="0.25"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9"/>
      <c r="N16" s="30" t="s">
        <v>15</v>
      </c>
      <c r="O16" s="83">
        <v>0.02</v>
      </c>
      <c r="P16" s="84"/>
      <c r="Q16" s="84"/>
      <c r="R16" s="84"/>
      <c r="S16" s="84"/>
      <c r="T16" s="84"/>
      <c r="U16" s="84"/>
      <c r="V16" s="85"/>
      <c r="W16" s="29"/>
      <c r="X16" s="29"/>
      <c r="Y16" s="29"/>
      <c r="Z16" s="29"/>
      <c r="AA16" s="29"/>
      <c r="AB16" s="29"/>
      <c r="AC16" s="27"/>
      <c r="AD16" s="27"/>
      <c r="AE16" s="27"/>
      <c r="AF16" s="27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8"/>
    </row>
    <row r="17" spans="2:62" ht="15" customHeight="1" x14ac:dyDescent="0.25"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8"/>
    </row>
    <row r="18" spans="2:62" x14ac:dyDescent="0.25"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8"/>
    </row>
    <row r="19" spans="2:62" x14ac:dyDescent="0.25"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8"/>
    </row>
    <row r="20" spans="2:62" ht="21.95" customHeight="1" x14ac:dyDescent="0.25"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34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8"/>
    </row>
    <row r="21" spans="2:62" x14ac:dyDescent="0.25"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8"/>
    </row>
    <row r="22" spans="2:62" x14ac:dyDescent="0.25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8"/>
    </row>
    <row r="23" spans="2:62" x14ac:dyDescent="0.25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8"/>
    </row>
    <row r="24" spans="2:62" ht="6.95" customHeight="1" x14ac:dyDescent="0.25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8"/>
    </row>
    <row r="25" spans="2:62" x14ac:dyDescent="0.25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G25" s="27"/>
      <c r="AH25" s="27"/>
      <c r="AI25" s="30" t="s">
        <v>50</v>
      </c>
      <c r="AJ25" s="74">
        <f>IFERROR(obliczenia!B25,0)</f>
        <v>121899.4419994757</v>
      </c>
      <c r="AK25" s="75"/>
      <c r="AL25" s="75"/>
      <c r="AM25" s="75"/>
      <c r="AN25" s="75"/>
      <c r="AO25" s="75"/>
      <c r="AP25" s="75"/>
      <c r="AQ25" s="76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8"/>
    </row>
    <row r="26" spans="2:62" ht="6.95" customHeight="1" x14ac:dyDescent="0.25"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G26" s="27"/>
      <c r="AH26" s="27"/>
      <c r="AI26" s="27"/>
      <c r="AJ26" s="27"/>
      <c r="AK26" s="27"/>
      <c r="AL26" s="27"/>
      <c r="AM26" s="27"/>
      <c r="AN26" s="35"/>
      <c r="AO26" s="36"/>
      <c r="AP26" s="37"/>
      <c r="AQ26" s="37"/>
      <c r="AR26" s="37"/>
      <c r="AS26" s="37"/>
      <c r="AT26" s="37"/>
      <c r="AU26" s="37"/>
      <c r="AV26" s="37"/>
      <c r="AW26" s="3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8"/>
    </row>
    <row r="27" spans="2:62" x14ac:dyDescent="0.25"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G27" s="27"/>
      <c r="AH27" s="27"/>
      <c r="AI27" s="30" t="s">
        <v>49</v>
      </c>
      <c r="AJ27" s="74">
        <f>IFERROR(obliczenia!B27,0)</f>
        <v>94378.598647077277</v>
      </c>
      <c r="AK27" s="75"/>
      <c r="AL27" s="75"/>
      <c r="AM27" s="75"/>
      <c r="AN27" s="75"/>
      <c r="AO27" s="75"/>
      <c r="AP27" s="75"/>
      <c r="AQ27" s="76"/>
      <c r="AR27" s="51"/>
      <c r="AS27" s="51"/>
      <c r="AT27" s="51"/>
      <c r="AU27" s="51"/>
      <c r="AV27" s="51"/>
      <c r="AW27" s="51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8"/>
    </row>
    <row r="28" spans="2:62" ht="6.95" customHeight="1" x14ac:dyDescent="0.25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38"/>
      <c r="AP28" s="39"/>
      <c r="AQ28" s="39"/>
      <c r="AR28" s="39"/>
      <c r="AS28" s="39"/>
      <c r="AT28" s="39"/>
      <c r="AU28" s="39"/>
      <c r="AV28" s="39"/>
      <c r="AW28" s="39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8"/>
    </row>
    <row r="29" spans="2:62" x14ac:dyDescent="0.25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43"/>
      <c r="AH29" s="43"/>
      <c r="AI29" s="30" t="s">
        <v>51</v>
      </c>
      <c r="AJ29" s="74">
        <f>AJ25-AJ27</f>
        <v>27520.843352398428</v>
      </c>
      <c r="AK29" s="75"/>
      <c r="AL29" s="75"/>
      <c r="AM29" s="75"/>
      <c r="AN29" s="75"/>
      <c r="AO29" s="75"/>
      <c r="AP29" s="75"/>
      <c r="AQ29" s="76"/>
      <c r="AR29" s="52"/>
      <c r="AS29" s="52"/>
      <c r="AT29" s="52"/>
      <c r="AU29" s="52"/>
      <c r="AV29" s="52"/>
      <c r="AW29" s="52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8"/>
    </row>
    <row r="30" spans="2:62" ht="6.95" customHeight="1" x14ac:dyDescent="0.25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8"/>
    </row>
    <row r="31" spans="2:62" x14ac:dyDescent="0.25"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61" t="s">
        <v>52</v>
      </c>
      <c r="AD31" s="61"/>
      <c r="AE31" s="61"/>
      <c r="AF31" s="61"/>
      <c r="AG31" s="61"/>
      <c r="AH31" s="61"/>
      <c r="AI31" s="61"/>
      <c r="AJ31" s="62">
        <f>IFERROR(obliczenia!B26,0)</f>
        <v>786.48832205897736</v>
      </c>
      <c r="AK31" s="63"/>
      <c r="AL31" s="63"/>
      <c r="AM31" s="63"/>
      <c r="AN31" s="63"/>
      <c r="AO31" s="63"/>
      <c r="AP31" s="63"/>
      <c r="AQ31" s="64"/>
      <c r="AR31" s="52"/>
      <c r="AS31" s="52"/>
      <c r="AT31" s="52"/>
      <c r="AU31" s="52"/>
      <c r="AV31" s="52"/>
      <c r="AW31" s="52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8"/>
    </row>
    <row r="32" spans="2:62" ht="21.95" customHeight="1" x14ac:dyDescent="0.25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61"/>
      <c r="AD32" s="61"/>
      <c r="AE32" s="61"/>
      <c r="AF32" s="61"/>
      <c r="AG32" s="61"/>
      <c r="AH32" s="61"/>
      <c r="AI32" s="61"/>
      <c r="AJ32" s="65"/>
      <c r="AK32" s="66"/>
      <c r="AL32" s="66"/>
      <c r="AM32" s="66"/>
      <c r="AN32" s="66"/>
      <c r="AO32" s="66"/>
      <c r="AP32" s="66"/>
      <c r="AQ32" s="6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8"/>
    </row>
    <row r="33" spans="2:62" ht="44.25" customHeight="1" x14ac:dyDescent="0.25"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J33" s="27"/>
      <c r="AK33" s="60"/>
      <c r="AL33" s="60"/>
      <c r="AM33" s="60"/>
      <c r="AN33" s="60"/>
      <c r="AO33" s="60"/>
      <c r="AP33" s="60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8"/>
    </row>
    <row r="34" spans="2:62" x14ac:dyDescent="0.25"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8"/>
    </row>
    <row r="35" spans="2:62" ht="4.5" customHeight="1" thickBot="1" x14ac:dyDescent="0.3">
      <c r="B35" s="40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2"/>
    </row>
    <row r="36" spans="2:62" ht="0.75" customHeight="1" thickTop="1" x14ac:dyDescent="0.25"/>
  </sheetData>
  <sheetProtection selectLockedCells="1"/>
  <mergeCells count="16">
    <mergeCell ref="O10:V10"/>
    <mergeCell ref="O8:V8"/>
    <mergeCell ref="O6:V6"/>
    <mergeCell ref="O14:V14"/>
    <mergeCell ref="AJ25:AQ25"/>
    <mergeCell ref="Z12:AB12"/>
    <mergeCell ref="O16:V16"/>
    <mergeCell ref="O12:V12"/>
    <mergeCell ref="AK33:AP33"/>
    <mergeCell ref="AC31:AI32"/>
    <mergeCell ref="AJ31:AQ32"/>
    <mergeCell ref="AJ6:AQ6"/>
    <mergeCell ref="AJ8:AQ8"/>
    <mergeCell ref="AJ10:AQ10"/>
    <mergeCell ref="AJ27:AQ27"/>
    <mergeCell ref="AJ29:AQ29"/>
  </mergeCells>
  <conditionalFormatting sqref="Y12:AC12">
    <cfRule type="expression" dxfId="1" priority="7">
      <formula>$O$12&lt;&gt;"przez zakładany czas"</formula>
    </cfRule>
  </conditionalFormatting>
  <conditionalFormatting sqref="AB25:AQ32">
    <cfRule type="expression" dxfId="0" priority="8">
      <formula>fw=FALSE</formula>
    </cfRule>
  </conditionalFormatting>
  <dataValidations count="7">
    <dataValidation type="list" allowBlank="1" showInputMessage="1" showErrorMessage="1" sqref="O10" xr:uid="{00000000-0002-0000-0000-000000000000}">
      <formula1>kiedy_wyplata</formula1>
    </dataValidation>
    <dataValidation type="list" allowBlank="1" showInputMessage="1" showErrorMessage="1" sqref="O12" xr:uid="{00000000-0002-0000-0000-000001000000}">
      <formula1>jak_wyplata</formula1>
    </dataValidation>
    <dataValidation type="whole" allowBlank="1" showInputMessage="1" showErrorMessage="1" errorTitle="Błąd !!!" error="Wpisz wiek mieszczący się w zakresie 18 - 60 lat !!!" sqref="O6:V6" xr:uid="{00000000-0002-0000-0000-000002000000}">
      <formula1>18</formula1>
      <formula2>60</formula2>
    </dataValidation>
    <dataValidation type="decimal" operator="greaterThan" allowBlank="1" showInputMessage="1" showErrorMessage="1" errorTitle="Błąd !!!" error="Kwota musi być liczbą dodatnią." sqref="O8:V8" xr:uid="{00000000-0002-0000-0000-000003000000}">
      <formula1>0</formula1>
    </dataValidation>
    <dataValidation type="decimal" allowBlank="1" showInputMessage="1" showErrorMessage="1" errorTitle="Błąd !!!" error="Wpisz wartość procentową." sqref="O16:V16 O14:V14" xr:uid="{00000000-0002-0000-0000-000004000000}">
      <formula1>0</formula1>
      <formula2>1</formula2>
    </dataValidation>
    <dataValidation type="list" allowBlank="1" showInputMessage="1" showErrorMessage="1" sqref="AJ6:AQ6" xr:uid="{00000000-0002-0000-0000-000005000000}">
      <formula1>suma_ubezp</formula1>
    </dataValidation>
    <dataValidation type="list" allowBlank="1" showInputMessage="1" showErrorMessage="1" sqref="AJ8:AQ8" xr:uid="{00000000-0002-0000-0000-000006000000}">
      <formula1>okres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O51"/>
  <sheetViews>
    <sheetView zoomScale="85" zoomScaleNormal="85" workbookViewId="0">
      <selection activeCell="D19" sqref="D19"/>
    </sheetView>
  </sheetViews>
  <sheetFormatPr defaultRowHeight="15" x14ac:dyDescent="0.25"/>
  <cols>
    <col min="1" max="1" width="32.28515625" bestFit="1" customWidth="1"/>
    <col min="2" max="2" width="15.42578125" bestFit="1" customWidth="1"/>
    <col min="3" max="3" width="4.42578125" customWidth="1"/>
    <col min="4" max="4" width="26.28515625" style="2" bestFit="1" customWidth="1"/>
    <col min="5" max="5" width="24.28515625" bestFit="1" customWidth="1"/>
    <col min="7" max="7" width="9.7109375" bestFit="1" customWidth="1"/>
    <col min="8" max="8" width="24.28515625" bestFit="1" customWidth="1"/>
    <col min="12" max="12" width="20.28515625" bestFit="1" customWidth="1"/>
  </cols>
  <sheetData>
    <row r="1" spans="1:15" x14ac:dyDescent="0.25">
      <c r="A1" s="13" t="s">
        <v>22</v>
      </c>
      <c r="D1" s="11" t="s">
        <v>12</v>
      </c>
    </row>
    <row r="2" spans="1:15" x14ac:dyDescent="0.25">
      <c r="A2" s="4" t="s">
        <v>8</v>
      </c>
      <c r="B2" s="5"/>
      <c r="D2" s="12" t="str">
        <f>SAVER!O10</f>
        <v>za 10 lat</v>
      </c>
    </row>
    <row r="3" spans="1:15" x14ac:dyDescent="0.25">
      <c r="A3" s="6" t="s">
        <v>3</v>
      </c>
      <c r="B3" s="7">
        <v>5</v>
      </c>
      <c r="D3" s="12" t="s">
        <v>13</v>
      </c>
      <c r="H3" t="b">
        <f>IF(OR(SAVER!O6=0,SAVER!O6="wybierz …"),FALSE,TRUE)</f>
        <v>1</v>
      </c>
      <c r="L3" s="1" t="s">
        <v>40</v>
      </c>
      <c r="M3" s="1" t="s">
        <v>41</v>
      </c>
      <c r="N3" s="1" t="s">
        <v>42</v>
      </c>
      <c r="O3" s="1" t="s">
        <v>43</v>
      </c>
    </row>
    <row r="4" spans="1:15" x14ac:dyDescent="0.25">
      <c r="A4" s="6" t="s">
        <v>4</v>
      </c>
      <c r="B4" s="7">
        <v>10</v>
      </c>
      <c r="D4" s="12">
        <f>IFERROR(MATCH(D2,A3:A7,0),0)</f>
        <v>2</v>
      </c>
      <c r="H4" t="b">
        <f>IF(OR(SAVER!O8=0,SAVER!O8="wybierz …"),FALSE,TRUE)</f>
        <v>1</v>
      </c>
      <c r="L4" s="1">
        <v>100000</v>
      </c>
      <c r="M4" s="1">
        <v>47.11</v>
      </c>
      <c r="N4" s="1">
        <v>55.97</v>
      </c>
      <c r="O4" s="1">
        <v>67.78</v>
      </c>
    </row>
    <row r="5" spans="1:15" x14ac:dyDescent="0.25">
      <c r="A5" s="6" t="s">
        <v>5</v>
      </c>
      <c r="B5" s="7">
        <v>15</v>
      </c>
      <c r="D5" s="12" t="s">
        <v>19</v>
      </c>
      <c r="H5" t="b">
        <f>IF(OR(SAVER!O10=0,SAVER!O10="wybierz …"),FALSE,TRUE)</f>
        <v>1</v>
      </c>
      <c r="L5" s="1">
        <v>150000</v>
      </c>
      <c r="M5" s="1">
        <v>64.48</v>
      </c>
      <c r="N5" s="1">
        <v>77.760000000000005</v>
      </c>
      <c r="O5" s="1">
        <v>95.48</v>
      </c>
    </row>
    <row r="6" spans="1:15" x14ac:dyDescent="0.25">
      <c r="A6" s="6" t="s">
        <v>6</v>
      </c>
      <c r="B6" s="7">
        <v>20</v>
      </c>
      <c r="D6" s="15">
        <f>IFERROR(INDEX(B3:B7,D4),0)</f>
        <v>10</v>
      </c>
      <c r="H6" t="b">
        <f>IF(OR(SAVER!O12=0,SAVER!O12="wybierz …"),FALSE,TRUE)</f>
        <v>1</v>
      </c>
      <c r="L6" s="1">
        <v>200000</v>
      </c>
      <c r="M6" s="1">
        <v>81.84</v>
      </c>
      <c r="N6" s="1">
        <v>99.54</v>
      </c>
      <c r="O6" s="1">
        <v>123.17</v>
      </c>
    </row>
    <row r="7" spans="1:15" x14ac:dyDescent="0.25">
      <c r="A7" s="8" t="s">
        <v>7</v>
      </c>
      <c r="B7" s="9">
        <f>65-SAVER!O6</f>
        <v>40</v>
      </c>
      <c r="D7" s="11" t="s">
        <v>12</v>
      </c>
      <c r="H7" t="b">
        <f>IF(OR(SAVER!O14=0,SAVER!O14="wybierz …"),FALSE,TRUE)</f>
        <v>1</v>
      </c>
      <c r="L7" s="1">
        <v>250000</v>
      </c>
      <c r="M7" s="1">
        <v>99.2</v>
      </c>
      <c r="N7" s="1">
        <v>121.34</v>
      </c>
      <c r="O7" s="1">
        <v>150.86000000000001</v>
      </c>
    </row>
    <row r="8" spans="1:15" x14ac:dyDescent="0.25">
      <c r="A8" s="13" t="s">
        <v>23</v>
      </c>
      <c r="D8" s="12" t="str">
        <f>SAVER!O12</f>
        <v>jednorazowo</v>
      </c>
      <c r="L8" s="1">
        <v>300000</v>
      </c>
      <c r="M8" s="1">
        <v>116.56</v>
      </c>
      <c r="N8" s="1">
        <v>143.12</v>
      </c>
      <c r="O8" s="1">
        <v>178.55</v>
      </c>
    </row>
    <row r="9" spans="1:15" x14ac:dyDescent="0.25">
      <c r="A9" s="4" t="s">
        <v>8</v>
      </c>
      <c r="B9" s="5"/>
      <c r="D9" s="12" t="s">
        <v>13</v>
      </c>
      <c r="L9" s="1">
        <v>350000</v>
      </c>
      <c r="M9" s="1">
        <v>133.93</v>
      </c>
      <c r="N9" s="1">
        <v>164.91</v>
      </c>
      <c r="O9" s="1">
        <v>206.25</v>
      </c>
    </row>
    <row r="10" spans="1:15" x14ac:dyDescent="0.25">
      <c r="A10" s="6" t="s">
        <v>9</v>
      </c>
      <c r="B10" s="7"/>
      <c r="D10" s="12">
        <f>IFERROR(MATCH(D8,A11:A12,0),0)</f>
        <v>0</v>
      </c>
      <c r="L10" s="1">
        <v>400000</v>
      </c>
      <c r="M10" s="1">
        <v>151.28</v>
      </c>
      <c r="N10" s="1">
        <v>186.69</v>
      </c>
      <c r="O10" s="1">
        <v>233.94</v>
      </c>
    </row>
    <row r="11" spans="1:15" x14ac:dyDescent="0.25">
      <c r="A11" s="6" t="s">
        <v>11</v>
      </c>
      <c r="B11" s="7">
        <f>IFERROR(75-D6-B15,0)</f>
        <v>40</v>
      </c>
      <c r="D11" s="12" t="s">
        <v>26</v>
      </c>
      <c r="H11" t="b">
        <f>AND(H3:H7)</f>
        <v>1</v>
      </c>
      <c r="L11" s="1">
        <v>450000</v>
      </c>
      <c r="M11" s="1">
        <v>168.65</v>
      </c>
      <c r="N11" s="1">
        <v>208.49</v>
      </c>
      <c r="O11" s="1">
        <v>261.64</v>
      </c>
    </row>
    <row r="12" spans="1:15" x14ac:dyDescent="0.25">
      <c r="A12" s="8" t="s">
        <v>10</v>
      </c>
      <c r="B12" s="9">
        <f>SAVER!Z12</f>
        <v>5</v>
      </c>
      <c r="D12" s="15">
        <f>INDEX(B11:B12,D10)</f>
        <v>5</v>
      </c>
      <c r="L12" s="1">
        <v>500000</v>
      </c>
      <c r="M12" s="1">
        <v>186.01</v>
      </c>
      <c r="N12" s="1">
        <v>230.27</v>
      </c>
      <c r="O12" s="1">
        <v>289.33</v>
      </c>
    </row>
    <row r="15" spans="1:15" x14ac:dyDescent="0.25">
      <c r="A15" t="s">
        <v>21</v>
      </c>
      <c r="B15">
        <f>SAVER!O6</f>
        <v>25</v>
      </c>
      <c r="L15" t="s">
        <v>13</v>
      </c>
      <c r="M15" t="e">
        <f>MATCH(SAVER!AJ6,suma_ubezp,0)</f>
        <v>#N/A</v>
      </c>
    </row>
    <row r="16" spans="1:15" x14ac:dyDescent="0.25">
      <c r="A16" t="s">
        <v>17</v>
      </c>
      <c r="B16" s="3">
        <f>SAVER!O16</f>
        <v>0.02</v>
      </c>
      <c r="L16" t="s">
        <v>44</v>
      </c>
      <c r="M16" t="e">
        <f>MATCH(SAVER!AJ8,okres,0)</f>
        <v>#N/A</v>
      </c>
    </row>
    <row r="17" spans="1:13" x14ac:dyDescent="0.25">
      <c r="A17" t="s">
        <v>18</v>
      </c>
      <c r="B17" s="3">
        <f>SAVER!O14</f>
        <v>0.05</v>
      </c>
      <c r="L17" t="s">
        <v>45</v>
      </c>
      <c r="M17" t="e">
        <f>INDEX(M4:O12,M15,M16)</f>
        <v>#N/A</v>
      </c>
    </row>
    <row r="18" spans="1:13" x14ac:dyDescent="0.25">
      <c r="A18" t="s">
        <v>28</v>
      </c>
      <c r="B18">
        <f>SAVER!O8</f>
        <v>100000</v>
      </c>
    </row>
    <row r="19" spans="1:13" x14ac:dyDescent="0.25">
      <c r="A19" t="s">
        <v>27</v>
      </c>
      <c r="B19" s="10">
        <f>FV(B16,D6,,-B18)</f>
        <v>121899.4419994757</v>
      </c>
      <c r="D19" s="2">
        <f>+(1+1%)^10</f>
        <v>1.1046221254112047</v>
      </c>
      <c r="E19">
        <f>+D19*100000</f>
        <v>110462.21254112048</v>
      </c>
    </row>
    <row r="20" spans="1:13" x14ac:dyDescent="0.25">
      <c r="E20" t="b">
        <f>E19=B19</f>
        <v>0</v>
      </c>
    </row>
    <row r="22" spans="1:13" x14ac:dyDescent="0.25">
      <c r="A22" t="s">
        <v>9</v>
      </c>
      <c r="B22" s="10">
        <f>B19</f>
        <v>121899.4419994757</v>
      </c>
    </row>
    <row r="23" spans="1:13" x14ac:dyDescent="0.25">
      <c r="A23" t="s">
        <v>20</v>
      </c>
      <c r="B23" s="10">
        <f>PV(NOMINAL(B17,12)/12,D12*12,-B19,0,0)</f>
        <v>6476985.2160339691</v>
      </c>
    </row>
    <row r="24" spans="1:13" x14ac:dyDescent="0.25">
      <c r="F24" s="55">
        <f>NOMINAL($B$17,12)/12</f>
        <v>4.0741237836483535E-3</v>
      </c>
      <c r="G24" s="3">
        <f>1+$F$24</f>
        <v>1.0040741237836484</v>
      </c>
    </row>
    <row r="25" spans="1:13" x14ac:dyDescent="0.25">
      <c r="A25" s="13" t="s">
        <v>24</v>
      </c>
      <c r="B25" s="14">
        <f>IF(D8=A10,B22,B23)</f>
        <v>121899.4419994757</v>
      </c>
      <c r="F25" s="3"/>
      <c r="G25">
        <f>+$G$24^120</f>
        <v>1.6288946267774598</v>
      </c>
      <c r="L25">
        <v>7950.4574965457241</v>
      </c>
    </row>
    <row r="26" spans="1:13" x14ac:dyDescent="0.25">
      <c r="A26" s="13" t="s">
        <v>25</v>
      </c>
      <c r="B26" s="56">
        <f>PMT(NOMINAL(B17,12)/12,D6*12,,-B25,1)</f>
        <v>786.48832205897736</v>
      </c>
      <c r="G26">
        <f>+G25-1</f>
        <v>0.62889462677745978</v>
      </c>
    </row>
    <row r="27" spans="1:13" x14ac:dyDescent="0.25">
      <c r="A27" s="13" t="s">
        <v>29</v>
      </c>
      <c r="B27" s="14">
        <f>B26*D6*12</f>
        <v>94378.598647077277</v>
      </c>
      <c r="G27">
        <f>+(G26/F24)*(1+F24)</f>
        <v>154.99205592824592</v>
      </c>
    </row>
    <row r="28" spans="1:13" x14ac:dyDescent="0.25">
      <c r="A28" s="13" t="s">
        <v>30</v>
      </c>
      <c r="B28" s="14">
        <f>B25-B27</f>
        <v>27520.843352398428</v>
      </c>
      <c r="G28" s="57">
        <f>+B25/G27</f>
        <v>786.48832205896701</v>
      </c>
    </row>
    <row r="31" spans="1:13" x14ac:dyDescent="0.25">
      <c r="F31" s="55">
        <f>NOMINAL($B$17,12)/12</f>
        <v>4.0741237836483535E-3</v>
      </c>
      <c r="G31" s="3">
        <f>1+$F$24</f>
        <v>1.0040741237836484</v>
      </c>
      <c r="M31" s="59">
        <f>+G35*G34</f>
        <v>7950.4574965456204</v>
      </c>
    </row>
    <row r="32" spans="1:13" x14ac:dyDescent="0.25">
      <c r="F32" s="3"/>
      <c r="G32">
        <f>+$G$24^12</f>
        <v>1.0500000000000012</v>
      </c>
    </row>
    <row r="33" spans="4:12" x14ac:dyDescent="0.25">
      <c r="G33">
        <f>+G32-1</f>
        <v>5.0000000000001155E-2</v>
      </c>
    </row>
    <row r="34" spans="4:12" x14ac:dyDescent="0.25">
      <c r="G34">
        <f>+(G33/F31)*(1+F31)</f>
        <v>12.322577529597408</v>
      </c>
    </row>
    <row r="35" spans="4:12" x14ac:dyDescent="0.25">
      <c r="G35" s="57">
        <v>645.19435787273721</v>
      </c>
    </row>
    <row r="39" spans="4:12" x14ac:dyDescent="0.25">
      <c r="D39"/>
      <c r="E39" s="55"/>
      <c r="F39" s="55"/>
      <c r="G39" s="55"/>
      <c r="H39" s="55"/>
      <c r="I39" s="55"/>
      <c r="J39" s="55"/>
      <c r="K39" s="55"/>
      <c r="L39" s="55"/>
    </row>
    <row r="40" spans="4:12" x14ac:dyDescent="0.25">
      <c r="D40"/>
      <c r="E40" s="55"/>
      <c r="F40" s="55"/>
      <c r="G40" s="55"/>
      <c r="H40" s="55"/>
      <c r="I40" s="55"/>
      <c r="J40" s="55"/>
      <c r="K40" s="55"/>
      <c r="L40" s="55"/>
    </row>
    <row r="41" spans="4:12" x14ac:dyDescent="0.25">
      <c r="D41"/>
      <c r="E41" s="58">
        <f>NOMINAL(B17,12)</f>
        <v>4.8889485403780242E-2</v>
      </c>
      <c r="F41" s="55"/>
      <c r="G41" s="55"/>
      <c r="H41" s="58">
        <f>(1+5%)^(1/12)</f>
        <v>1.0040741237836484</v>
      </c>
      <c r="I41" s="55">
        <f>+H41-1</f>
        <v>4.0741237836483535E-3</v>
      </c>
      <c r="J41" s="55">
        <f>+I41*12</f>
        <v>4.8889485403780242E-2</v>
      </c>
      <c r="K41" s="55"/>
      <c r="L41" s="55"/>
    </row>
    <row r="42" spans="4:12" x14ac:dyDescent="0.25">
      <c r="D42"/>
      <c r="E42" s="55"/>
      <c r="F42" s="55"/>
      <c r="G42" s="55"/>
      <c r="H42" s="55"/>
      <c r="I42" s="55"/>
      <c r="J42" s="55"/>
      <c r="K42" s="55"/>
      <c r="L42" s="55"/>
    </row>
    <row r="43" spans="4:12" x14ac:dyDescent="0.25">
      <c r="D43"/>
      <c r="E43" s="55"/>
      <c r="F43" s="55"/>
      <c r="G43" s="55"/>
      <c r="H43" s="55"/>
      <c r="I43" s="55"/>
      <c r="J43" s="55"/>
      <c r="K43" s="55"/>
      <c r="L43" s="55"/>
    </row>
    <row r="44" spans="4:12" x14ac:dyDescent="0.25">
      <c r="D44"/>
      <c r="E44" s="55"/>
      <c r="F44" s="55"/>
      <c r="G44" s="55"/>
      <c r="H44" s="55"/>
      <c r="I44" s="55"/>
      <c r="J44" s="55"/>
      <c r="K44" s="55"/>
      <c r="L44" s="55"/>
    </row>
    <row r="45" spans="4:12" x14ac:dyDescent="0.25">
      <c r="D45"/>
      <c r="E45" s="55"/>
      <c r="F45" s="55"/>
      <c r="G45" s="55"/>
      <c r="H45" s="55"/>
      <c r="I45" s="55"/>
      <c r="J45" s="55"/>
      <c r="K45" s="55"/>
      <c r="L45" s="55"/>
    </row>
    <row r="46" spans="4:12" x14ac:dyDescent="0.25">
      <c r="D46"/>
    </row>
    <row r="47" spans="4:12" x14ac:dyDescent="0.25">
      <c r="D47"/>
    </row>
    <row r="48" spans="4:12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N102"/>
  <sheetViews>
    <sheetView zoomScale="85" zoomScaleNormal="85" workbookViewId="0">
      <selection activeCell="N32" sqref="N32"/>
    </sheetView>
  </sheetViews>
  <sheetFormatPr defaultRowHeight="15" x14ac:dyDescent="0.25"/>
  <cols>
    <col min="1" max="1" width="10" style="1" bestFit="1" customWidth="1"/>
    <col min="2" max="2" width="14.7109375" style="1" bestFit="1" customWidth="1"/>
    <col min="3" max="3" width="19.42578125" style="1" bestFit="1" customWidth="1"/>
    <col min="4" max="4" width="46.140625" customWidth="1"/>
    <col min="5" max="5" width="15.42578125" style="2" bestFit="1" customWidth="1"/>
    <col min="6" max="6" width="20.140625" style="2" bestFit="1" customWidth="1"/>
    <col min="7" max="7" width="4" customWidth="1"/>
    <col min="8" max="8" width="7.5703125" style="1" customWidth="1"/>
    <col min="9" max="9" width="17.5703125" style="1" customWidth="1"/>
    <col min="11" max="11" width="15.42578125" bestFit="1" customWidth="1"/>
    <col min="13" max="13" width="22.7109375" bestFit="1" customWidth="1"/>
    <col min="14" max="14" width="12.140625" bestFit="1" customWidth="1"/>
  </cols>
  <sheetData>
    <row r="1" spans="1:14" x14ac:dyDescent="0.25">
      <c r="A1" s="16" t="s">
        <v>22</v>
      </c>
      <c r="B1" s="16"/>
      <c r="C1" s="16">
        <f>obliczenia!D6</f>
        <v>10</v>
      </c>
      <c r="E1" s="2" t="s">
        <v>23</v>
      </c>
      <c r="F1" s="2">
        <f>IFERROR(obliczenia!D12,0)</f>
        <v>5</v>
      </c>
      <c r="H1" s="86" t="s">
        <v>33</v>
      </c>
      <c r="I1" s="86"/>
      <c r="J1">
        <f>IFERROR(COUNTIF(I3:I102,"&gt;=0"),0)</f>
        <v>10</v>
      </c>
      <c r="M1" t="s">
        <v>46</v>
      </c>
      <c r="N1">
        <f>IF(SAVER!AJ8=obliczenia!M3,10,IF(SAVER!AJ8=obliczenia!N3,20,IF(SAVER!AJ8=obliczenia!O3,30,0)))</f>
        <v>0</v>
      </c>
    </row>
    <row r="2" spans="1:14" x14ac:dyDescent="0.25">
      <c r="A2" s="16" t="s">
        <v>31</v>
      </c>
      <c r="B2" s="17" t="s">
        <v>29</v>
      </c>
      <c r="C2" s="17" t="s">
        <v>32</v>
      </c>
      <c r="E2" s="2" t="s">
        <v>31</v>
      </c>
      <c r="F2" s="2" t="s">
        <v>32</v>
      </c>
      <c r="H2" s="20" t="s">
        <v>31</v>
      </c>
      <c r="I2" s="21" t="s">
        <v>48</v>
      </c>
      <c r="M2" t="s">
        <v>47</v>
      </c>
      <c r="N2" s="45">
        <f>SAVER!AJ6</f>
        <v>0</v>
      </c>
    </row>
    <row r="3" spans="1:14" x14ac:dyDescent="0.25">
      <c r="A3" s="1">
        <v>1</v>
      </c>
      <c r="B3" s="18">
        <f>IFERROR(IF(A3&lt;=$C$1,obliczenia!$B$26*12*wykres!A3,""),0)</f>
        <v>9437.8598647077288</v>
      </c>
      <c r="C3" s="18">
        <f>IFERROR(IF(A3&lt;=$C$1,FV(NOMINAL(obliczenia!$B$17,12)/12,wykres!A3*12,-obliczenia!$B$26,,1),""),0)</f>
        <v>9691.5633246947236</v>
      </c>
      <c r="D3">
        <f>B3*(1+M10)^(12)</f>
        <v>9909.7528579431255</v>
      </c>
      <c r="E3" s="2">
        <f>IFERROR(A3+$C$1,0)</f>
        <v>11</v>
      </c>
      <c r="F3" s="19">
        <f>IFERROR(IF(E3&lt;=$C$1+$F$1,FV(NOMINAL(obliczenia!$B$17,12)/12,(E3-$C$1)*12,obliczenia!$B$19,-obliczenia!$B$25,0),""),0)</f>
        <v>-1368025.9386537785</v>
      </c>
      <c r="H3" s="1">
        <v>1</v>
      </c>
      <c r="I3" s="18">
        <f>IFERROR(IF(ISNUMBER(VLOOKUP(H3,$A$3:$C$52,3,))=TRUE,VLOOKUP(H3,$A$3:$C$52,3,),IF(ISNUMBER(VLOOKUP(H3,$E$3:$F$52,2,))=TRUE,VLOOKUP(H3,$E$3:$F$52,2),"")),0)+J3</f>
        <v>9691.5633246947236</v>
      </c>
      <c r="J3">
        <f>IF(H3&lt;=$N$1,$N$2,0)</f>
        <v>0</v>
      </c>
      <c r="K3" s="46"/>
    </row>
    <row r="4" spans="1:14" x14ac:dyDescent="0.25">
      <c r="A4" s="1">
        <v>2</v>
      </c>
      <c r="B4" s="18">
        <f>IFERROR(IF(A4&lt;=$C$1,obliczenia!$B$26*12*wykres!A4,""),0)</f>
        <v>18875.719729415458</v>
      </c>
      <c r="C4" s="18">
        <f>IFERROR(IF(A4&lt;=$C$1,FV(NOMINAL(obliczenia!$B$17,12)/12,wykres!A4*12,-obliczenia!$B$26,,1),""),0)</f>
        <v>19867.704815624205</v>
      </c>
      <c r="E4" s="2">
        <f t="shared" ref="E4:E52" si="0">IFERROR(A4+$C$1,0)</f>
        <v>12</v>
      </c>
      <c r="F4" s="19">
        <f>IFERROR(IF(E4&lt;=$C$1+$F$1,FV(NOMINAL(obliczenia!$B$17,12)/12,(E4-$C$1)*12,obliczenia!$B$19,-obliczenia!$B$25,0),""),0)</f>
        <v>-2932447.5883396985</v>
      </c>
      <c r="H4" s="1">
        <v>2</v>
      </c>
      <c r="I4" s="18">
        <f t="shared" ref="I4:I67" si="1">IFERROR(IF(ISNUMBER(VLOOKUP(H4,$A$3:$C$52,3,))=TRUE,VLOOKUP(H4,$A$3:$C$52,3,),IF(ISNUMBER(VLOOKUP(H4,$E$3:$F$52,2,))=TRUE,VLOOKUP(H4,$E$3:$F$52,2),"")),0)+J4</f>
        <v>19867.704815624205</v>
      </c>
      <c r="J4">
        <f t="shared" ref="J4:J67" si="2">IF(H4&lt;=$N$1,$N$2,0)</f>
        <v>0</v>
      </c>
      <c r="K4" s="46"/>
    </row>
    <row r="5" spans="1:14" x14ac:dyDescent="0.25">
      <c r="A5" s="1">
        <v>3</v>
      </c>
      <c r="B5" s="18">
        <f>IFERROR(IF(A5&lt;=$C$1,obliczenia!$B$26*12*wykres!A5,""),0)</f>
        <v>28313.579594123185</v>
      </c>
      <c r="C5" s="18">
        <f>IFERROR(IF(A5&lt;=$C$1,FV(NOMINAL(obliczenia!$B$17,12)/12,wykres!A5*12,-obliczenia!$B$26,,1),""),0)</f>
        <v>30552.653381100168</v>
      </c>
      <c r="E5" s="2">
        <f t="shared" si="0"/>
        <v>13</v>
      </c>
      <c r="F5" s="19">
        <f>IFERROR(IF(E5&lt;=$C$1+$F$1,FV(NOMINAL(obliczenia!$B$17,12)/12,(E5-$C$1)*12,obliczenia!$B$19,-obliczenia!$B$25,0),""),0)</f>
        <v>-4575090.3205099152</v>
      </c>
      <c r="H5" s="1">
        <v>3</v>
      </c>
      <c r="I5" s="18">
        <f t="shared" si="1"/>
        <v>30552.653381100168</v>
      </c>
      <c r="J5">
        <f t="shared" si="2"/>
        <v>0</v>
      </c>
      <c r="K5" s="46"/>
    </row>
    <row r="6" spans="1:14" x14ac:dyDescent="0.25">
      <c r="A6" s="1">
        <v>4</v>
      </c>
      <c r="B6" s="18">
        <f>IFERROR(IF(A6&lt;=$C$1,obliczenia!$B$26*12*wykres!A6,""),0)</f>
        <v>37751.439458830915</v>
      </c>
      <c r="C6" s="18">
        <f>IFERROR(IF(A6&lt;=$C$1,FV(NOMINAL(obliczenia!$B$17,12)/12,wykres!A6*12,-obliczenia!$B$26,,1),""),0)</f>
        <v>41771.84937484996</v>
      </c>
      <c r="E6" s="2">
        <f t="shared" si="0"/>
        <v>14</v>
      </c>
      <c r="F6" s="19">
        <f>IFERROR(IF(E6&lt;=$C$1+$F$1,FV(NOMINAL(obliczenia!$B$17,12)/12,(E6-$C$1)*12,obliczenia!$B$19,-obliczenia!$B$25,0),""),0)</f>
        <v>-6299865.1892886488</v>
      </c>
      <c r="H6" s="1">
        <v>4</v>
      </c>
      <c r="I6" s="18">
        <f t="shared" si="1"/>
        <v>41771.84937484996</v>
      </c>
      <c r="J6">
        <f t="shared" si="2"/>
        <v>0</v>
      </c>
      <c r="K6" s="46"/>
    </row>
    <row r="7" spans="1:14" x14ac:dyDescent="0.25">
      <c r="A7" s="1">
        <v>5</v>
      </c>
      <c r="B7" s="18">
        <f>IFERROR(IF(A7&lt;=$C$1,obliczenia!$B$26*12*wykres!A7,""),0)</f>
        <v>47189.299323538646</v>
      </c>
      <c r="C7" s="18">
        <f>IFERROR(IF(A7&lt;=$C$1,FV(NOMINAL(obliczenia!$B$17,12)/12,wykres!A7*12,-obliczenia!$B$26,,1),""),0)</f>
        <v>53552.005168287185</v>
      </c>
      <c r="E7" s="2">
        <f t="shared" si="0"/>
        <v>15</v>
      </c>
      <c r="F7" s="19">
        <f>IFERROR(IF(E7&lt;=$C$1+$F$1,FV(NOMINAL(obliczenia!$B$17,12)/12,(E7-$C$1)*12,obliczenia!$B$19,-obliczenia!$B$25,0),""),0)</f>
        <v>-8110878.8015063088</v>
      </c>
      <c r="H7" s="1">
        <v>5</v>
      </c>
      <c r="I7" s="18">
        <f t="shared" si="1"/>
        <v>53552.005168287185</v>
      </c>
      <c r="J7">
        <f t="shared" si="2"/>
        <v>0</v>
      </c>
      <c r="K7" s="46"/>
    </row>
    <row r="8" spans="1:14" x14ac:dyDescent="0.25">
      <c r="A8" s="1">
        <v>6</v>
      </c>
      <c r="B8" s="18">
        <f>IFERROR(IF(A8&lt;=$C$1,obliczenia!$B$26*12*wykres!A8,""),0)</f>
        <v>56627.159188246369</v>
      </c>
      <c r="C8" s="18">
        <f>IFERROR(IF(A8&lt;=$C$1,FV(NOMINAL(obliczenia!$B$17,12)/12,wykres!A8*12,-obliczenia!$B$26,,1),""),0)</f>
        <v>65921.168751396341</v>
      </c>
      <c r="E8" s="2">
        <f t="shared" si="0"/>
        <v>16</v>
      </c>
      <c r="F8" s="19" t="str">
        <f>IFERROR(IF(E8&lt;=$C$1+$F$1,FV(NOMINAL(obliczenia!$B$17,12)/12,(E8-$C$1)*12,obliczenia!$B$19,-obliczenia!$B$25,0),""),0)</f>
        <v/>
      </c>
      <c r="H8" s="1">
        <v>6</v>
      </c>
      <c r="I8" s="18">
        <f t="shared" si="1"/>
        <v>65921.168751396341</v>
      </c>
      <c r="J8">
        <f t="shared" si="2"/>
        <v>0</v>
      </c>
      <c r="K8" s="46"/>
    </row>
    <row r="9" spans="1:14" x14ac:dyDescent="0.25">
      <c r="A9" s="1">
        <v>7</v>
      </c>
      <c r="B9" s="18">
        <f>IFERROR(IF(A9&lt;=$C$1,obliczenia!$B$26*12*wykres!A9,""),0)</f>
        <v>66065.0190529541</v>
      </c>
      <c r="C9" s="18">
        <f>IFERROR(IF(A9&lt;=$C$1,FV(NOMINAL(obliczenia!$B$17,12)/12,wykres!A9*12,-obliczenia!$B$26,,1),""),0)</f>
        <v>78908.790513660962</v>
      </c>
      <c r="E9" s="2">
        <f t="shared" si="0"/>
        <v>17</v>
      </c>
      <c r="F9" s="19" t="str">
        <f>IFERROR(IF(E9&lt;=$C$1+$F$1,FV(NOMINAL(obliczenia!$B$17,12)/12,(E9-$C$1)*12,obliczenia!$B$19,-obliczenia!$B$25,0),""),0)</f>
        <v/>
      </c>
      <c r="H9" s="1">
        <v>7</v>
      </c>
      <c r="I9" s="18">
        <f t="shared" si="1"/>
        <v>78908.790513660962</v>
      </c>
      <c r="J9">
        <f t="shared" si="2"/>
        <v>0</v>
      </c>
      <c r="K9" s="46"/>
      <c r="M9">
        <f>obliczenia!G28</f>
        <v>786.48832205896701</v>
      </c>
    </row>
    <row r="10" spans="1:14" x14ac:dyDescent="0.25">
      <c r="A10" s="1">
        <v>8</v>
      </c>
      <c r="B10" s="18">
        <f>IFERROR(IF(A10&lt;=$C$1,obliczenia!$B$26*12*wykres!A10,""),0)</f>
        <v>75502.87891766183</v>
      </c>
      <c r="C10" s="18">
        <f>IFERROR(IF(A10&lt;=$C$1,FV(NOMINAL(obliczenia!$B$17,12)/12,wykres!A10*12,-obliczenia!$B$26,,1),""),0)</f>
        <v>92545.793364038851</v>
      </c>
      <c r="E10" s="2">
        <f t="shared" si="0"/>
        <v>18</v>
      </c>
      <c r="F10" s="19" t="str">
        <f>IFERROR(IF(E10&lt;=$C$1+$F$1,FV(NOMINAL(obliczenia!$B$17,12)/12,(E10-$C$1)*12,obliczenia!$B$19,-obliczenia!$B$25,0),""),0)</f>
        <v/>
      </c>
      <c r="H10" s="1">
        <v>8</v>
      </c>
      <c r="I10" s="18">
        <f t="shared" si="1"/>
        <v>92545.793364038851</v>
      </c>
      <c r="J10">
        <f t="shared" si="2"/>
        <v>0</v>
      </c>
      <c r="K10" s="46"/>
      <c r="M10" s="3">
        <f>obliczenia!F24</f>
        <v>4.0741237836483535E-3</v>
      </c>
    </row>
    <row r="11" spans="1:14" x14ac:dyDescent="0.25">
      <c r="A11" s="1">
        <v>9</v>
      </c>
      <c r="B11" s="18">
        <f>IFERROR(IF(A11&lt;=$C$1,obliczenia!$B$26*12*wykres!A11,""),0)</f>
        <v>84940.738782369561</v>
      </c>
      <c r="C11" s="18">
        <f>IFERROR(IF(A11&lt;=$C$1,FV(NOMINAL(obliczenia!$B$17,12)/12,wykres!A11*12,-obliczenia!$B$26,,1),""),0)</f>
        <v>106864.64635693561</v>
      </c>
      <c r="E11" s="2">
        <f t="shared" si="0"/>
        <v>19</v>
      </c>
      <c r="F11" s="19" t="str">
        <f>IFERROR(IF(E11&lt;=$C$1+$F$1,FV(NOMINAL(obliczenia!$B$17,12)/12,(E11-$C$1)*12,obliczenia!$B$19,-obliczenia!$B$25,0),""),0)</f>
        <v/>
      </c>
      <c r="H11" s="1">
        <v>9</v>
      </c>
      <c r="I11" s="18">
        <f t="shared" si="1"/>
        <v>106864.64635693561</v>
      </c>
      <c r="J11">
        <f t="shared" si="2"/>
        <v>0</v>
      </c>
      <c r="K11" s="46"/>
    </row>
    <row r="12" spans="1:14" x14ac:dyDescent="0.25">
      <c r="A12" s="1">
        <v>10</v>
      </c>
      <c r="B12" s="18">
        <f>IFERROR(IF(A12&lt;=$C$1,obliczenia!$B$26*12*wykres!A12,""),0)</f>
        <v>94378.598647077291</v>
      </c>
      <c r="C12" s="18">
        <f>IFERROR(IF(A12&lt;=$C$1,FV(NOMINAL(obliczenia!$B$17,12)/12,wykres!A12*12,-obliczenia!$B$26,,1),""),0)</f>
        <v>121899.44199947731</v>
      </c>
      <c r="E12" s="2">
        <f t="shared" si="0"/>
        <v>20</v>
      </c>
      <c r="F12" s="19" t="str">
        <f>IFERROR(IF(E12&lt;=$C$1+$F$1,FV(NOMINAL(obliczenia!$B$17,12)/12,(E12-$C$1)*12,obliczenia!$B$19,-obliczenia!$B$25,0),""),0)</f>
        <v/>
      </c>
      <c r="H12" s="1">
        <v>10</v>
      </c>
      <c r="I12" s="18">
        <f t="shared" si="1"/>
        <v>121899.44199947731</v>
      </c>
      <c r="J12">
        <f t="shared" si="2"/>
        <v>0</v>
      </c>
      <c r="K12" s="46"/>
    </row>
    <row r="13" spans="1:14" x14ac:dyDescent="0.25">
      <c r="A13" s="1">
        <v>11</v>
      </c>
      <c r="B13" s="18" t="str">
        <f>IFERROR(IF(A13&lt;=$C$1,obliczenia!$B$26*12*wykres!A13,""),0)</f>
        <v/>
      </c>
      <c r="C13" s="18" t="str">
        <f>IFERROR(IF(A13&lt;=$C$1,FV(NOMINAL(obliczenia!$B$17,12)/12,wykres!A13*12,-obliczenia!$B$26,,1),""),0)</f>
        <v/>
      </c>
      <c r="E13" s="2">
        <f t="shared" si="0"/>
        <v>21</v>
      </c>
      <c r="F13" s="19" t="str">
        <f>IFERROR(IF(E13&lt;=$C$1+$F$1,FV(NOMINAL(obliczenia!$B$17,12)/12,(E13-$C$1)*12,obliczenia!$B$19,-obliczenia!$B$25,0),""),0)</f>
        <v/>
      </c>
      <c r="H13" s="1">
        <v>11</v>
      </c>
      <c r="I13" s="18">
        <f t="shared" si="1"/>
        <v>-1368025.9386537785</v>
      </c>
      <c r="J13">
        <f t="shared" si="2"/>
        <v>0</v>
      </c>
      <c r="K13" s="46"/>
    </row>
    <row r="14" spans="1:14" x14ac:dyDescent="0.25">
      <c r="A14" s="1">
        <v>12</v>
      </c>
      <c r="B14" s="18" t="str">
        <f>IFERROR(IF(A14&lt;=$C$1,obliczenia!$B$26*12*wykres!A14,""),0)</f>
        <v/>
      </c>
      <c r="C14" s="18" t="str">
        <f>IFERROR(IF(A14&lt;=$C$1,FV(NOMINAL(obliczenia!$B$17,12)/12,wykres!A14*12,-obliczenia!$B$26,,1),""),0)</f>
        <v/>
      </c>
      <c r="E14" s="2">
        <f t="shared" si="0"/>
        <v>22</v>
      </c>
      <c r="F14" s="19" t="str">
        <f>IFERROR(IF(E14&lt;=$C$1+$F$1,FV(NOMINAL(obliczenia!$B$17,12)/12,(E14-$C$1)*12,obliczenia!$B$19,-obliczenia!$B$25,0),""),0)</f>
        <v/>
      </c>
      <c r="H14" s="1">
        <v>12</v>
      </c>
      <c r="I14" s="18">
        <f t="shared" si="1"/>
        <v>-2932447.5883396985</v>
      </c>
      <c r="J14">
        <f t="shared" si="2"/>
        <v>0</v>
      </c>
      <c r="K14" s="46"/>
    </row>
    <row r="15" spans="1:14" x14ac:dyDescent="0.25">
      <c r="A15" s="1">
        <v>13</v>
      </c>
      <c r="B15" s="18" t="str">
        <f>IFERROR(IF(A15&lt;=$C$1,obliczenia!$B$26*12*wykres!A15,""),0)</f>
        <v/>
      </c>
      <c r="C15" s="18" t="str">
        <f>IFERROR(IF(A15&lt;=$C$1,FV(NOMINAL(obliczenia!$B$17,12)/12,wykres!A15*12,-obliczenia!$B$26,,1),""),0)</f>
        <v/>
      </c>
      <c r="E15" s="2">
        <f t="shared" si="0"/>
        <v>23</v>
      </c>
      <c r="F15" s="19" t="str">
        <f>IFERROR(IF(E15&lt;=$C$1+$F$1,FV(NOMINAL(obliczenia!$B$17,12)/12,(E15-$C$1)*12,obliczenia!$B$19,-obliczenia!$B$25,0),""),0)</f>
        <v/>
      </c>
      <c r="H15" s="1">
        <v>13</v>
      </c>
      <c r="I15" s="18">
        <f t="shared" si="1"/>
        <v>-4575090.3205099152</v>
      </c>
      <c r="J15">
        <f t="shared" si="2"/>
        <v>0</v>
      </c>
      <c r="K15" s="46"/>
    </row>
    <row r="16" spans="1:14" x14ac:dyDescent="0.25">
      <c r="A16" s="1">
        <v>14</v>
      </c>
      <c r="B16" s="18" t="str">
        <f>IFERROR(IF(A16&lt;=$C$1,obliczenia!$B$26*12*wykres!A16,""),0)</f>
        <v/>
      </c>
      <c r="C16" s="18" t="str">
        <f>IFERROR(IF(A16&lt;=$C$1,FV(NOMINAL(obliczenia!$B$17,12)/12,wykres!A16*12,-obliczenia!$B$26,,1),""),0)</f>
        <v/>
      </c>
      <c r="E16" s="2">
        <f t="shared" si="0"/>
        <v>24</v>
      </c>
      <c r="F16" s="19" t="str">
        <f>IFERROR(IF(E16&lt;=$C$1+$F$1,FV(NOMINAL(obliczenia!$B$17,12)/12,(E16-$C$1)*12,obliczenia!$B$19,-obliczenia!$B$25,0),""),0)</f>
        <v/>
      </c>
      <c r="H16" s="1">
        <v>14</v>
      </c>
      <c r="I16" s="18">
        <f t="shared" si="1"/>
        <v>-6299865.1892886488</v>
      </c>
      <c r="J16">
        <f t="shared" si="2"/>
        <v>0</v>
      </c>
      <c r="K16" s="46"/>
    </row>
    <row r="17" spans="1:11" x14ac:dyDescent="0.25">
      <c r="A17" s="1">
        <v>15</v>
      </c>
      <c r="B17" s="18" t="str">
        <f>IFERROR(IF(A17&lt;=$C$1,obliczenia!$B$26*12*wykres!A17,""),0)</f>
        <v/>
      </c>
      <c r="C17" s="18" t="str">
        <f>IFERROR(IF(A17&lt;=$C$1,FV(NOMINAL(obliczenia!$B$17,12)/12,wykres!A17*12,-obliczenia!$B$26,,1),""),0)</f>
        <v/>
      </c>
      <c r="E17" s="2">
        <f t="shared" si="0"/>
        <v>25</v>
      </c>
      <c r="F17" s="19" t="str">
        <f>IFERROR(IF(E17&lt;=$C$1+$F$1,FV(NOMINAL(obliczenia!$B$17,12)/12,(E17-$C$1)*12,obliczenia!$B$19,-obliczenia!$B$25,0),""),0)</f>
        <v/>
      </c>
      <c r="H17" s="1">
        <v>15</v>
      </c>
      <c r="I17" s="18">
        <f t="shared" si="1"/>
        <v>-8110878.8015063088</v>
      </c>
      <c r="J17">
        <f t="shared" si="2"/>
        <v>0</v>
      </c>
      <c r="K17" s="46"/>
    </row>
    <row r="18" spans="1:11" x14ac:dyDescent="0.25">
      <c r="A18" s="1">
        <v>16</v>
      </c>
      <c r="B18" s="18" t="str">
        <f>IFERROR(IF(A18&lt;=$C$1,obliczenia!$B$26*12*wykres!A18,""),0)</f>
        <v/>
      </c>
      <c r="C18" s="18" t="str">
        <f>IFERROR(IF(A18&lt;=$C$1,FV(NOMINAL(obliczenia!$B$17,12)/12,wykres!A18*12,-obliczenia!$B$26,,1),""),0)</f>
        <v/>
      </c>
      <c r="E18" s="2">
        <f t="shared" si="0"/>
        <v>26</v>
      </c>
      <c r="F18" s="19" t="str">
        <f>IFERROR(IF(E18&lt;=$C$1+$F$1,FV(NOMINAL(obliczenia!$B$17,12)/12,(E18-$C$1)*12,obliczenia!$B$19,-obliczenia!$B$25,0),""),0)</f>
        <v/>
      </c>
      <c r="H18" s="1">
        <v>16</v>
      </c>
      <c r="I18" s="18" t="e">
        <f t="shared" si="1"/>
        <v>#VALUE!</v>
      </c>
      <c r="J18">
        <f t="shared" si="2"/>
        <v>0</v>
      </c>
      <c r="K18" s="46"/>
    </row>
    <row r="19" spans="1:11" x14ac:dyDescent="0.25">
      <c r="A19" s="1">
        <v>17</v>
      </c>
      <c r="B19" s="18" t="str">
        <f>IFERROR(IF(A19&lt;=$C$1,obliczenia!$B$26*12*wykres!A19,""),0)</f>
        <v/>
      </c>
      <c r="C19" s="18" t="str">
        <f>IFERROR(IF(A19&lt;=$C$1,FV(NOMINAL(obliczenia!$B$17,12)/12,wykres!A19*12,-obliczenia!$B$26,,1),""),0)</f>
        <v/>
      </c>
      <c r="E19" s="2">
        <f t="shared" si="0"/>
        <v>27</v>
      </c>
      <c r="F19" s="19" t="str">
        <f>IFERROR(IF(E19&lt;=$C$1+$F$1,FV(NOMINAL(obliczenia!$B$17,12)/12,(E19-$C$1)*12,obliczenia!$B$19,-obliczenia!$B$25,0),""),0)</f>
        <v/>
      </c>
      <c r="H19" s="1">
        <v>17</v>
      </c>
      <c r="I19" s="18" t="e">
        <f t="shared" si="1"/>
        <v>#VALUE!</v>
      </c>
      <c r="J19">
        <f t="shared" si="2"/>
        <v>0</v>
      </c>
      <c r="K19" s="46"/>
    </row>
    <row r="20" spans="1:11" x14ac:dyDescent="0.25">
      <c r="A20" s="1">
        <v>18</v>
      </c>
      <c r="B20" s="18" t="str">
        <f>IFERROR(IF(A20&lt;=$C$1,obliczenia!$B$26*12*wykres!A20,""),0)</f>
        <v/>
      </c>
      <c r="C20" s="18" t="str">
        <f>IFERROR(IF(A20&lt;=$C$1,FV(NOMINAL(obliczenia!$B$17,12)/12,wykres!A20*12,-obliczenia!$B$26,,1),""),0)</f>
        <v/>
      </c>
      <c r="E20" s="2">
        <f t="shared" si="0"/>
        <v>28</v>
      </c>
      <c r="F20" s="19" t="str">
        <f>IFERROR(IF(E20&lt;=$C$1+$F$1,FV(NOMINAL(obliczenia!$B$17,12)/12,(E20-$C$1)*12,obliczenia!$B$19,-obliczenia!$B$25,0),""),0)</f>
        <v/>
      </c>
      <c r="H20" s="1">
        <v>18</v>
      </c>
      <c r="I20" s="18" t="e">
        <f t="shared" si="1"/>
        <v>#VALUE!</v>
      </c>
      <c r="J20">
        <f t="shared" si="2"/>
        <v>0</v>
      </c>
      <c r="K20" s="46"/>
    </row>
    <row r="21" spans="1:11" x14ac:dyDescent="0.25">
      <c r="A21" s="1">
        <v>19</v>
      </c>
      <c r="B21" s="18" t="str">
        <f>IFERROR(IF(A21&lt;=$C$1,obliczenia!$B$26*12*wykres!A21,""),0)</f>
        <v/>
      </c>
      <c r="C21" s="18" t="str">
        <f>IFERROR(IF(A21&lt;=$C$1,FV(NOMINAL(obliczenia!$B$17,12)/12,wykres!A21*12,-obliczenia!$B$26,,1),""),0)</f>
        <v/>
      </c>
      <c r="E21" s="2">
        <f t="shared" si="0"/>
        <v>29</v>
      </c>
      <c r="F21" s="19" t="str">
        <f>IFERROR(IF(E21&lt;=$C$1+$F$1,FV(NOMINAL(obliczenia!$B$17,12)/12,(E21-$C$1)*12,obliczenia!$B$19,-obliczenia!$B$25,0),""),0)</f>
        <v/>
      </c>
      <c r="H21" s="1">
        <v>19</v>
      </c>
      <c r="I21" s="18" t="e">
        <f t="shared" si="1"/>
        <v>#VALUE!</v>
      </c>
      <c r="J21">
        <f t="shared" si="2"/>
        <v>0</v>
      </c>
      <c r="K21" s="46"/>
    </row>
    <row r="22" spans="1:11" x14ac:dyDescent="0.25">
      <c r="A22" s="1">
        <v>20</v>
      </c>
      <c r="B22" s="18" t="str">
        <f>IFERROR(IF(A22&lt;=$C$1,obliczenia!$B$26*12*wykres!A22,""),0)</f>
        <v/>
      </c>
      <c r="C22" s="18" t="str">
        <f>IFERROR(IF(A22&lt;=$C$1,FV(NOMINAL(obliczenia!$B$17,12)/12,wykres!A22*12,-obliczenia!$B$26,,1),""),0)</f>
        <v/>
      </c>
      <c r="E22" s="2">
        <f t="shared" si="0"/>
        <v>30</v>
      </c>
      <c r="F22" s="19" t="str">
        <f>IFERROR(IF(E22&lt;=$C$1+$F$1,FV(NOMINAL(obliczenia!$B$17,12)/12,(E22-$C$1)*12,obliczenia!$B$19,-obliczenia!$B$25,0),""),0)</f>
        <v/>
      </c>
      <c r="H22" s="1">
        <v>20</v>
      </c>
      <c r="I22" s="18" t="e">
        <f t="shared" si="1"/>
        <v>#VALUE!</v>
      </c>
      <c r="J22">
        <f t="shared" si="2"/>
        <v>0</v>
      </c>
      <c r="K22" s="46"/>
    </row>
    <row r="23" spans="1:11" x14ac:dyDescent="0.25">
      <c r="A23" s="1">
        <v>21</v>
      </c>
      <c r="B23" s="18" t="str">
        <f>IFERROR(IF(A23&lt;=$C$1,obliczenia!$B$26*12*wykres!A23,""),0)</f>
        <v/>
      </c>
      <c r="C23" s="18" t="str">
        <f>IFERROR(IF(A23&lt;=$C$1,FV(NOMINAL(obliczenia!$B$17,12)/12,wykres!A23*12,-obliczenia!$B$26,,1),""),0)</f>
        <v/>
      </c>
      <c r="E23" s="2">
        <f t="shared" si="0"/>
        <v>31</v>
      </c>
      <c r="F23" s="19" t="str">
        <f>IFERROR(IF(E23&lt;=$C$1+$F$1,FV(NOMINAL(obliczenia!$B$17,12)/12,(E23-$C$1)*12,obliczenia!$B$19,-obliczenia!$B$25,0),""),0)</f>
        <v/>
      </c>
      <c r="H23" s="1">
        <v>21</v>
      </c>
      <c r="I23" s="18" t="e">
        <f t="shared" si="1"/>
        <v>#VALUE!</v>
      </c>
      <c r="J23">
        <f t="shared" si="2"/>
        <v>0</v>
      </c>
      <c r="K23" s="46"/>
    </row>
    <row r="24" spans="1:11" x14ac:dyDescent="0.25">
      <c r="A24" s="1">
        <v>22</v>
      </c>
      <c r="B24" s="18" t="str">
        <f>IFERROR(IF(A24&lt;=$C$1,obliczenia!$B$26*12*wykres!A24,""),0)</f>
        <v/>
      </c>
      <c r="C24" s="18" t="str">
        <f>IFERROR(IF(A24&lt;=$C$1,FV(NOMINAL(obliczenia!$B$17,12)/12,wykres!A24*12,-obliczenia!$B$26,,1),""),0)</f>
        <v/>
      </c>
      <c r="E24" s="2">
        <f t="shared" si="0"/>
        <v>32</v>
      </c>
      <c r="F24" s="19" t="str">
        <f>IFERROR(IF(E24&lt;=$C$1+$F$1,FV(NOMINAL(obliczenia!$B$17,12)/12,(E24-$C$1)*12,obliczenia!$B$19,-obliczenia!$B$25,0),""),0)</f>
        <v/>
      </c>
      <c r="H24" s="1">
        <v>22</v>
      </c>
      <c r="I24" s="18" t="e">
        <f t="shared" si="1"/>
        <v>#VALUE!</v>
      </c>
      <c r="J24">
        <f t="shared" si="2"/>
        <v>0</v>
      </c>
      <c r="K24" s="46"/>
    </row>
    <row r="25" spans="1:11" x14ac:dyDescent="0.25">
      <c r="A25" s="1">
        <v>23</v>
      </c>
      <c r="B25" s="18" t="str">
        <f>IFERROR(IF(A25&lt;=$C$1,obliczenia!$B$26*12*wykres!A25,""),0)</f>
        <v/>
      </c>
      <c r="C25" s="18" t="str">
        <f>IFERROR(IF(A25&lt;=$C$1,FV(NOMINAL(obliczenia!$B$17,12)/12,wykres!A25*12,-obliczenia!$B$26,,1),""),0)</f>
        <v/>
      </c>
      <c r="E25" s="2">
        <f t="shared" si="0"/>
        <v>33</v>
      </c>
      <c r="F25" s="19" t="str">
        <f>IFERROR(IF(E25&lt;=$C$1+$F$1,FV(NOMINAL(obliczenia!$B$17,12)/12,(E25-$C$1)*12,obliczenia!$B$19,-obliczenia!$B$25,0),""),0)</f>
        <v/>
      </c>
      <c r="H25" s="1">
        <v>23</v>
      </c>
      <c r="I25" s="18" t="e">
        <f t="shared" si="1"/>
        <v>#VALUE!</v>
      </c>
      <c r="J25">
        <f t="shared" si="2"/>
        <v>0</v>
      </c>
      <c r="K25" s="46"/>
    </row>
    <row r="26" spans="1:11" x14ac:dyDescent="0.25">
      <c r="A26" s="1">
        <v>24</v>
      </c>
      <c r="B26" s="18" t="str">
        <f>IFERROR(IF(A26&lt;=$C$1,obliczenia!$B$26*12*wykres!A26,""),0)</f>
        <v/>
      </c>
      <c r="C26" s="18" t="str">
        <f>IFERROR(IF(A26&lt;=$C$1,FV(NOMINAL(obliczenia!$B$17,12)/12,wykres!A26*12,-obliczenia!$B$26,,1),""),0)</f>
        <v/>
      </c>
      <c r="E26" s="2">
        <f t="shared" si="0"/>
        <v>34</v>
      </c>
      <c r="F26" s="19" t="str">
        <f>IFERROR(IF(E26&lt;=$C$1+$F$1,FV(NOMINAL(obliczenia!$B$17,12)/12,(E26-$C$1)*12,obliczenia!$B$19,-obliczenia!$B$25,0),""),0)</f>
        <v/>
      </c>
      <c r="H26" s="1">
        <v>24</v>
      </c>
      <c r="I26" s="18" t="e">
        <f t="shared" si="1"/>
        <v>#VALUE!</v>
      </c>
      <c r="J26">
        <f t="shared" si="2"/>
        <v>0</v>
      </c>
      <c r="K26" s="46"/>
    </row>
    <row r="27" spans="1:11" x14ac:dyDescent="0.25">
      <c r="A27" s="1">
        <v>25</v>
      </c>
      <c r="B27" s="18" t="str">
        <f>IFERROR(IF(A27&lt;=$C$1,obliczenia!$B$26*12*wykres!A27,""),0)</f>
        <v/>
      </c>
      <c r="C27" s="18" t="str">
        <f>IFERROR(IF(A27&lt;=$C$1,FV(NOMINAL(obliczenia!$B$17,12)/12,wykres!A27*12,-obliczenia!$B$26,,1),""),0)</f>
        <v/>
      </c>
      <c r="E27" s="2">
        <f t="shared" si="0"/>
        <v>35</v>
      </c>
      <c r="F27" s="19" t="str">
        <f>IFERROR(IF(E27&lt;=$C$1+$F$1,FV(NOMINAL(obliczenia!$B$17,12)/12,(E27-$C$1)*12,obliczenia!$B$19,-obliczenia!$B$25,0),""),0)</f>
        <v/>
      </c>
      <c r="H27" s="1">
        <v>25</v>
      </c>
      <c r="I27" s="18" t="e">
        <f t="shared" si="1"/>
        <v>#VALUE!</v>
      </c>
      <c r="J27">
        <f t="shared" si="2"/>
        <v>0</v>
      </c>
      <c r="K27" s="46"/>
    </row>
    <row r="28" spans="1:11" x14ac:dyDescent="0.25">
      <c r="A28" s="1">
        <v>26</v>
      </c>
      <c r="B28" s="18" t="str">
        <f>IFERROR(IF(A28&lt;=$C$1,obliczenia!$B$26*12*wykres!A28,""),0)</f>
        <v/>
      </c>
      <c r="C28" s="18" t="str">
        <f>IFERROR(IF(A28&lt;=$C$1,FV(NOMINAL(obliczenia!$B$17,12)/12,wykres!A28*12,-obliczenia!$B$26,,1),""),0)</f>
        <v/>
      </c>
      <c r="E28" s="2">
        <f t="shared" si="0"/>
        <v>36</v>
      </c>
      <c r="F28" s="19" t="str">
        <f>IFERROR(IF(E28&lt;=$C$1+$F$1,FV(NOMINAL(obliczenia!$B$17,12)/12,(E28-$C$1)*12,obliczenia!$B$19,-obliczenia!$B$25,0),""),0)</f>
        <v/>
      </c>
      <c r="H28" s="1">
        <v>26</v>
      </c>
      <c r="I28" s="18" t="e">
        <f t="shared" si="1"/>
        <v>#VALUE!</v>
      </c>
      <c r="J28">
        <f t="shared" si="2"/>
        <v>0</v>
      </c>
      <c r="K28" s="46"/>
    </row>
    <row r="29" spans="1:11" x14ac:dyDescent="0.25">
      <c r="A29" s="1">
        <v>27</v>
      </c>
      <c r="B29" s="18" t="str">
        <f>IFERROR(IF(A29&lt;=$C$1,obliczenia!$B$26*12*wykres!A29,""),0)</f>
        <v/>
      </c>
      <c r="C29" s="18" t="str">
        <f>IFERROR(IF(A29&lt;=$C$1,FV(NOMINAL(obliczenia!$B$17,12)/12,wykres!A29*12,-obliczenia!$B$26,,1),""),0)</f>
        <v/>
      </c>
      <c r="E29" s="2">
        <f t="shared" si="0"/>
        <v>37</v>
      </c>
      <c r="F29" s="19" t="str">
        <f>IFERROR(IF(E29&lt;=$C$1+$F$1,FV(NOMINAL(obliczenia!$B$17,12)/12,(E29-$C$1)*12,obliczenia!$B$19,-obliczenia!$B$25,0),""),0)</f>
        <v/>
      </c>
      <c r="H29" s="1">
        <v>27</v>
      </c>
      <c r="I29" s="18" t="e">
        <f t="shared" si="1"/>
        <v>#VALUE!</v>
      </c>
      <c r="J29">
        <f t="shared" si="2"/>
        <v>0</v>
      </c>
      <c r="K29" s="46"/>
    </row>
    <row r="30" spans="1:11" x14ac:dyDescent="0.25">
      <c r="A30" s="1">
        <v>28</v>
      </c>
      <c r="B30" s="18" t="str">
        <f>IFERROR(IF(A30&lt;=$C$1,obliczenia!$B$26*12*wykres!A30,""),0)</f>
        <v/>
      </c>
      <c r="C30" s="18" t="str">
        <f>IFERROR(IF(A30&lt;=$C$1,FV(NOMINAL(obliczenia!$B$17,12)/12,wykres!A30*12,-obliczenia!$B$26,,1),""),0)</f>
        <v/>
      </c>
      <c r="E30" s="2">
        <f t="shared" si="0"/>
        <v>38</v>
      </c>
      <c r="F30" s="19" t="str">
        <f>IFERROR(IF(E30&lt;=$C$1+$F$1,FV(NOMINAL(obliczenia!$B$17,12)/12,(E30-$C$1)*12,obliczenia!$B$19,-obliczenia!$B$25,0),""),0)</f>
        <v/>
      </c>
      <c r="H30" s="1">
        <v>28</v>
      </c>
      <c r="I30" s="18" t="e">
        <f t="shared" si="1"/>
        <v>#VALUE!</v>
      </c>
      <c r="J30">
        <f t="shared" si="2"/>
        <v>0</v>
      </c>
      <c r="K30" s="46"/>
    </row>
    <row r="31" spans="1:11" x14ac:dyDescent="0.25">
      <c r="A31" s="1">
        <v>29</v>
      </c>
      <c r="B31" s="18" t="str">
        <f>IFERROR(IF(A31&lt;=$C$1,obliczenia!$B$26*12*wykres!A31,""),0)</f>
        <v/>
      </c>
      <c r="C31" s="18" t="str">
        <f>IFERROR(IF(A31&lt;=$C$1,FV(NOMINAL(obliczenia!$B$17,12)/12,wykres!A31*12,-obliczenia!$B$26,,1),""),0)</f>
        <v/>
      </c>
      <c r="E31" s="2">
        <f t="shared" si="0"/>
        <v>39</v>
      </c>
      <c r="F31" s="19" t="str">
        <f>IFERROR(IF(E31&lt;=$C$1+$F$1,FV(NOMINAL(obliczenia!$B$17,12)/12,(E31-$C$1)*12,obliczenia!$B$19,-obliczenia!$B$25,0),""),0)</f>
        <v/>
      </c>
      <c r="H31" s="1">
        <v>29</v>
      </c>
      <c r="I31" s="18" t="e">
        <f t="shared" si="1"/>
        <v>#VALUE!</v>
      </c>
      <c r="J31">
        <f t="shared" si="2"/>
        <v>0</v>
      </c>
      <c r="K31" s="46"/>
    </row>
    <row r="32" spans="1:11" x14ac:dyDescent="0.25">
      <c r="A32" s="1">
        <v>30</v>
      </c>
      <c r="B32" s="18" t="str">
        <f>IFERROR(IF(A32&lt;=$C$1,obliczenia!$B$26*12*wykres!A32,""),0)</f>
        <v/>
      </c>
      <c r="C32" s="18" t="str">
        <f>IFERROR(IF(A32&lt;=$C$1,FV(NOMINAL(obliczenia!$B$17,12)/12,wykres!A32*12,-obliczenia!$B$26,,1),""),0)</f>
        <v/>
      </c>
      <c r="E32" s="2">
        <f t="shared" si="0"/>
        <v>40</v>
      </c>
      <c r="F32" s="19" t="str">
        <f>IFERROR(IF(E32&lt;=$C$1+$F$1,FV(NOMINAL(obliczenia!$B$17,12)/12,(E32-$C$1)*12,obliczenia!$B$19,-obliczenia!$B$25,0),""),0)</f>
        <v/>
      </c>
      <c r="H32" s="1">
        <v>30</v>
      </c>
      <c r="I32" s="18" t="e">
        <f t="shared" si="1"/>
        <v>#VALUE!</v>
      </c>
      <c r="J32">
        <f t="shared" si="2"/>
        <v>0</v>
      </c>
      <c r="K32" s="46"/>
    </row>
    <row r="33" spans="1:11" x14ac:dyDescent="0.25">
      <c r="A33" s="1">
        <v>31</v>
      </c>
      <c r="B33" s="18" t="str">
        <f>IFERROR(IF(A33&lt;=$C$1,obliczenia!$B$26*12*wykres!A33,""),0)</f>
        <v/>
      </c>
      <c r="C33" s="18" t="str">
        <f>IFERROR(IF(A33&lt;=$C$1,FV(NOMINAL(obliczenia!$B$17,12)/12,wykres!A33*12,-obliczenia!$B$26,,1),""),0)</f>
        <v/>
      </c>
      <c r="E33" s="2">
        <f t="shared" si="0"/>
        <v>41</v>
      </c>
      <c r="F33" s="19" t="str">
        <f>IFERROR(IF(E33&lt;=$C$1+$F$1,FV(NOMINAL(obliczenia!$B$17,12)/12,(E33-$C$1)*12,obliczenia!$B$19,-obliczenia!$B$25,0),""),0)</f>
        <v/>
      </c>
      <c r="H33" s="1">
        <v>31</v>
      </c>
      <c r="I33" s="18" t="e">
        <f t="shared" si="1"/>
        <v>#VALUE!</v>
      </c>
      <c r="J33">
        <f t="shared" si="2"/>
        <v>0</v>
      </c>
      <c r="K33" s="46"/>
    </row>
    <row r="34" spans="1:11" x14ac:dyDescent="0.25">
      <c r="A34" s="1">
        <v>32</v>
      </c>
      <c r="B34" s="18" t="str">
        <f>IFERROR(IF(A34&lt;=$C$1,obliczenia!$B$26*12*wykres!A34,""),0)</f>
        <v/>
      </c>
      <c r="C34" s="18" t="str">
        <f>IFERROR(IF(A34&lt;=$C$1,FV(NOMINAL(obliczenia!$B$17,12)/12,wykres!A34*12,-obliczenia!$B$26,,1),""),0)</f>
        <v/>
      </c>
      <c r="E34" s="2">
        <f t="shared" si="0"/>
        <v>42</v>
      </c>
      <c r="F34" s="19" t="str">
        <f>IFERROR(IF(E34&lt;=$C$1+$F$1,FV(NOMINAL(obliczenia!$B$17,12)/12,(E34-$C$1)*12,obliczenia!$B$19,-obliczenia!$B$25,0),""),0)</f>
        <v/>
      </c>
      <c r="H34" s="1">
        <v>32</v>
      </c>
      <c r="I34" s="18" t="e">
        <f t="shared" si="1"/>
        <v>#VALUE!</v>
      </c>
      <c r="J34">
        <f t="shared" si="2"/>
        <v>0</v>
      </c>
      <c r="K34" s="46"/>
    </row>
    <row r="35" spans="1:11" x14ac:dyDescent="0.25">
      <c r="A35" s="1">
        <v>33</v>
      </c>
      <c r="B35" s="18" t="str">
        <f>IFERROR(IF(A35&lt;=$C$1,obliczenia!$B$26*12*wykres!A35,""),0)</f>
        <v/>
      </c>
      <c r="C35" s="18" t="str">
        <f>IFERROR(IF(A35&lt;=$C$1,FV(NOMINAL(obliczenia!$B$17,12)/12,wykres!A35*12,-obliczenia!$B$26,,1),""),0)</f>
        <v/>
      </c>
      <c r="E35" s="2">
        <f t="shared" si="0"/>
        <v>43</v>
      </c>
      <c r="F35" s="19" t="str">
        <f>IFERROR(IF(E35&lt;=$C$1+$F$1,FV(NOMINAL(obliczenia!$B$17,12)/12,(E35-$C$1)*12,obliczenia!$B$19,-obliczenia!$B$25,0),""),0)</f>
        <v/>
      </c>
      <c r="H35" s="1">
        <v>33</v>
      </c>
      <c r="I35" s="18" t="e">
        <f t="shared" si="1"/>
        <v>#VALUE!</v>
      </c>
      <c r="J35">
        <f t="shared" si="2"/>
        <v>0</v>
      </c>
      <c r="K35" s="46"/>
    </row>
    <row r="36" spans="1:11" x14ac:dyDescent="0.25">
      <c r="A36" s="1">
        <v>34</v>
      </c>
      <c r="B36" s="18" t="str">
        <f>IFERROR(IF(A36&lt;=$C$1,obliczenia!$B$26*12*wykres!A36,""),0)</f>
        <v/>
      </c>
      <c r="C36" s="18" t="str">
        <f>IFERROR(IF(A36&lt;=$C$1,FV(NOMINAL(obliczenia!$B$17,12)/12,wykres!A36*12,-obliczenia!$B$26,,1),""),0)</f>
        <v/>
      </c>
      <c r="E36" s="2">
        <f t="shared" si="0"/>
        <v>44</v>
      </c>
      <c r="F36" s="19" t="str">
        <f>IFERROR(IF(E36&lt;=$C$1+$F$1,FV(NOMINAL(obliczenia!$B$17,12)/12,(E36-$C$1)*12,obliczenia!$B$19,-obliczenia!$B$25,0),""),0)</f>
        <v/>
      </c>
      <c r="H36" s="1">
        <v>34</v>
      </c>
      <c r="I36" s="18" t="e">
        <f t="shared" si="1"/>
        <v>#VALUE!</v>
      </c>
      <c r="J36">
        <f t="shared" si="2"/>
        <v>0</v>
      </c>
      <c r="K36" s="46"/>
    </row>
    <row r="37" spans="1:11" x14ac:dyDescent="0.25">
      <c r="A37" s="1">
        <v>35</v>
      </c>
      <c r="B37" s="18" t="str">
        <f>IFERROR(IF(A37&lt;=$C$1,obliczenia!$B$26*12*wykres!A37,""),0)</f>
        <v/>
      </c>
      <c r="C37" s="18" t="str">
        <f>IFERROR(IF(A37&lt;=$C$1,FV(NOMINAL(obliczenia!$B$17,12)/12,wykres!A37*12,-obliczenia!$B$26,,1),""),0)</f>
        <v/>
      </c>
      <c r="E37" s="2">
        <f t="shared" si="0"/>
        <v>45</v>
      </c>
      <c r="F37" s="19" t="str">
        <f>IFERROR(IF(E37&lt;=$C$1+$F$1,FV(NOMINAL(obliczenia!$B$17,12)/12,(E37-$C$1)*12,obliczenia!$B$19,-obliczenia!$B$25,0),""),0)</f>
        <v/>
      </c>
      <c r="H37" s="1">
        <v>35</v>
      </c>
      <c r="I37" s="18" t="e">
        <f t="shared" si="1"/>
        <v>#VALUE!</v>
      </c>
      <c r="J37">
        <f t="shared" si="2"/>
        <v>0</v>
      </c>
      <c r="K37" s="46"/>
    </row>
    <row r="38" spans="1:11" x14ac:dyDescent="0.25">
      <c r="A38" s="1">
        <v>36</v>
      </c>
      <c r="B38" s="18" t="str">
        <f>IFERROR(IF(A38&lt;=$C$1,obliczenia!$B$26*12*wykres!A38,""),0)</f>
        <v/>
      </c>
      <c r="C38" s="18" t="str">
        <f>IFERROR(IF(A38&lt;=$C$1,FV(NOMINAL(obliczenia!$B$17,12)/12,wykres!A38*12,-obliczenia!$B$26,,1),""),0)</f>
        <v/>
      </c>
      <c r="E38" s="2">
        <f t="shared" si="0"/>
        <v>46</v>
      </c>
      <c r="F38" s="19" t="str">
        <f>IFERROR(IF(E38&lt;=$C$1+$F$1,FV(NOMINAL(obliczenia!$B$17,12)/12,(E38-$C$1)*12,obliczenia!$B$19,-obliczenia!$B$25,0),""),0)</f>
        <v/>
      </c>
      <c r="H38" s="1">
        <v>36</v>
      </c>
      <c r="I38" s="18" t="e">
        <f t="shared" si="1"/>
        <v>#VALUE!</v>
      </c>
      <c r="J38">
        <f t="shared" si="2"/>
        <v>0</v>
      </c>
      <c r="K38" s="46"/>
    </row>
    <row r="39" spans="1:11" x14ac:dyDescent="0.25">
      <c r="A39" s="1">
        <v>37</v>
      </c>
      <c r="B39" s="18" t="str">
        <f>IFERROR(IF(A39&lt;=$C$1,obliczenia!$B$26*12*wykres!A39,""),0)</f>
        <v/>
      </c>
      <c r="C39" s="18" t="str">
        <f>IFERROR(IF(A39&lt;=$C$1,FV(NOMINAL(obliczenia!$B$17,12)/12,wykres!A39*12,-obliczenia!$B$26,,1),""),0)</f>
        <v/>
      </c>
      <c r="E39" s="2">
        <f t="shared" si="0"/>
        <v>47</v>
      </c>
      <c r="F39" s="19" t="str">
        <f>IFERROR(IF(E39&lt;=$C$1+$F$1,FV(NOMINAL(obliczenia!$B$17,12)/12,(E39-$C$1)*12,obliczenia!$B$19,-obliczenia!$B$25,0),""),0)</f>
        <v/>
      </c>
      <c r="H39" s="1">
        <v>37</v>
      </c>
      <c r="I39" s="18" t="e">
        <f t="shared" si="1"/>
        <v>#VALUE!</v>
      </c>
      <c r="J39">
        <f t="shared" si="2"/>
        <v>0</v>
      </c>
      <c r="K39" s="46"/>
    </row>
    <row r="40" spans="1:11" x14ac:dyDescent="0.25">
      <c r="A40" s="1">
        <v>38</v>
      </c>
      <c r="B40" s="18" t="str">
        <f>IFERROR(IF(A40&lt;=$C$1,obliczenia!$B$26*12*wykres!A40,""),0)</f>
        <v/>
      </c>
      <c r="C40" s="18" t="str">
        <f>IFERROR(IF(A40&lt;=$C$1,FV(NOMINAL(obliczenia!$B$17,12)/12,wykres!A40*12,-obliczenia!$B$26,,1),""),0)</f>
        <v/>
      </c>
      <c r="E40" s="2">
        <f t="shared" si="0"/>
        <v>48</v>
      </c>
      <c r="F40" s="19" t="str">
        <f>IFERROR(IF(E40&lt;=$C$1+$F$1,FV(NOMINAL(obliczenia!$B$17,12)/12,(E40-$C$1)*12,obliczenia!$B$19,-obliczenia!$B$25,0),""),0)</f>
        <v/>
      </c>
      <c r="H40" s="1">
        <v>38</v>
      </c>
      <c r="I40" s="18" t="e">
        <f t="shared" si="1"/>
        <v>#VALUE!</v>
      </c>
      <c r="J40">
        <f t="shared" si="2"/>
        <v>0</v>
      </c>
      <c r="K40" s="46"/>
    </row>
    <row r="41" spans="1:11" x14ac:dyDescent="0.25">
      <c r="A41" s="1">
        <v>39</v>
      </c>
      <c r="B41" s="18" t="str">
        <f>IFERROR(IF(A41&lt;=$C$1,obliczenia!$B$26*12*wykres!A41,""),0)</f>
        <v/>
      </c>
      <c r="C41" s="18" t="str">
        <f>IFERROR(IF(A41&lt;=$C$1,FV(NOMINAL(obliczenia!$B$17,12)/12,wykres!A41*12,-obliczenia!$B$26,,1),""),0)</f>
        <v/>
      </c>
      <c r="E41" s="2">
        <f t="shared" si="0"/>
        <v>49</v>
      </c>
      <c r="F41" s="19" t="str">
        <f>IFERROR(IF(E41&lt;=$C$1+$F$1,FV(NOMINAL(obliczenia!$B$17,12)/12,(E41-$C$1)*12,obliczenia!$B$19,-obliczenia!$B$25,0),""),0)</f>
        <v/>
      </c>
      <c r="H41" s="1">
        <v>39</v>
      </c>
      <c r="I41" s="18" t="e">
        <f t="shared" si="1"/>
        <v>#VALUE!</v>
      </c>
      <c r="J41">
        <f t="shared" si="2"/>
        <v>0</v>
      </c>
      <c r="K41" s="46"/>
    </row>
    <row r="42" spans="1:11" x14ac:dyDescent="0.25">
      <c r="A42" s="1">
        <v>40</v>
      </c>
      <c r="B42" s="18" t="str">
        <f>IFERROR(IF(A42&lt;=$C$1,obliczenia!$B$26*12*wykres!A42,""),0)</f>
        <v/>
      </c>
      <c r="C42" s="18" t="str">
        <f>IFERROR(IF(A42&lt;=$C$1,FV(NOMINAL(obliczenia!$B$17,12)/12,wykres!A42*12,-obliczenia!$B$26,,1),""),0)</f>
        <v/>
      </c>
      <c r="E42" s="2">
        <f t="shared" si="0"/>
        <v>50</v>
      </c>
      <c r="F42" s="19" t="str">
        <f>IFERROR(IF(E42&lt;=$C$1+$F$1,FV(NOMINAL(obliczenia!$B$17,12)/12,(E42-$C$1)*12,obliczenia!$B$19,-obliczenia!$B$25,0),""),0)</f>
        <v/>
      </c>
      <c r="H42" s="1">
        <v>40</v>
      </c>
      <c r="I42" s="18" t="e">
        <f t="shared" si="1"/>
        <v>#VALUE!</v>
      </c>
      <c r="J42">
        <f t="shared" si="2"/>
        <v>0</v>
      </c>
      <c r="K42" s="46"/>
    </row>
    <row r="43" spans="1:11" x14ac:dyDescent="0.25">
      <c r="A43" s="1">
        <v>41</v>
      </c>
      <c r="B43" s="18" t="str">
        <f>IFERROR(IF(A43&lt;=$C$1,obliczenia!$B$26*12*wykres!A43,""),0)</f>
        <v/>
      </c>
      <c r="C43" s="18" t="str">
        <f>IFERROR(IF(A43&lt;=$C$1,FV(NOMINAL(obliczenia!$B$17,12)/12,wykres!A43*12,-obliczenia!$B$26,,1),""),0)</f>
        <v/>
      </c>
      <c r="E43" s="2">
        <f t="shared" si="0"/>
        <v>51</v>
      </c>
      <c r="F43" s="19" t="str">
        <f>IFERROR(IF(E43&lt;=$C$1+$F$1,FV(NOMINAL(obliczenia!$B$17,12)/12,(E43-$C$1)*12,obliczenia!$B$19,-obliczenia!$B$25,0),""),0)</f>
        <v/>
      </c>
      <c r="H43" s="1">
        <v>41</v>
      </c>
      <c r="I43" s="18" t="e">
        <f t="shared" si="1"/>
        <v>#VALUE!</v>
      </c>
      <c r="J43">
        <f t="shared" si="2"/>
        <v>0</v>
      </c>
      <c r="K43" s="46"/>
    </row>
    <row r="44" spans="1:11" x14ac:dyDescent="0.25">
      <c r="A44" s="1">
        <v>42</v>
      </c>
      <c r="B44" s="18" t="str">
        <f>IFERROR(IF(A44&lt;=$C$1,obliczenia!$B$26*12*wykres!A44,""),0)</f>
        <v/>
      </c>
      <c r="C44" s="18" t="str">
        <f>IFERROR(IF(A44&lt;=$C$1,FV(NOMINAL(obliczenia!$B$17,12)/12,wykres!A44*12,-obliczenia!$B$26,,1),""),0)</f>
        <v/>
      </c>
      <c r="E44" s="2">
        <f t="shared" si="0"/>
        <v>52</v>
      </c>
      <c r="F44" s="19" t="str">
        <f>IFERROR(IF(E44&lt;=$C$1+$F$1,FV(NOMINAL(obliczenia!$B$17,12)/12,(E44-$C$1)*12,obliczenia!$B$19,-obliczenia!$B$25,0),""),0)</f>
        <v/>
      </c>
      <c r="H44" s="1">
        <v>42</v>
      </c>
      <c r="I44" s="18" t="e">
        <f t="shared" si="1"/>
        <v>#VALUE!</v>
      </c>
      <c r="J44">
        <f t="shared" si="2"/>
        <v>0</v>
      </c>
      <c r="K44" s="46"/>
    </row>
    <row r="45" spans="1:11" x14ac:dyDescent="0.25">
      <c r="A45" s="1">
        <v>43</v>
      </c>
      <c r="B45" s="18" t="str">
        <f>IFERROR(IF(A45&lt;=$C$1,obliczenia!$B$26*12*wykres!A45,""),0)</f>
        <v/>
      </c>
      <c r="C45" s="18" t="str">
        <f>IFERROR(IF(A45&lt;=$C$1,FV(NOMINAL(obliczenia!$B$17,12)/12,wykres!A45*12,-obliczenia!$B$26,,1),""),0)</f>
        <v/>
      </c>
      <c r="E45" s="2">
        <f t="shared" si="0"/>
        <v>53</v>
      </c>
      <c r="F45" s="19" t="str">
        <f>IFERROR(IF(E45&lt;=$C$1+$F$1,FV(NOMINAL(obliczenia!$B$17,12)/12,(E45-$C$1)*12,obliczenia!$B$19,-obliczenia!$B$25,0),""),0)</f>
        <v/>
      </c>
      <c r="H45" s="1">
        <v>43</v>
      </c>
      <c r="I45" s="18" t="e">
        <f t="shared" si="1"/>
        <v>#VALUE!</v>
      </c>
      <c r="J45">
        <f t="shared" si="2"/>
        <v>0</v>
      </c>
      <c r="K45" s="46"/>
    </row>
    <row r="46" spans="1:11" x14ac:dyDescent="0.25">
      <c r="A46" s="1">
        <v>44</v>
      </c>
      <c r="B46" s="18" t="str">
        <f>IFERROR(IF(A46&lt;=$C$1,obliczenia!$B$26*12*wykres!A46,""),0)</f>
        <v/>
      </c>
      <c r="C46" s="18" t="str">
        <f>IFERROR(IF(A46&lt;=$C$1,FV(NOMINAL(obliczenia!$B$17,12)/12,wykres!A46*12,-obliczenia!$B$26,,1),""),0)</f>
        <v/>
      </c>
      <c r="E46" s="2">
        <f t="shared" si="0"/>
        <v>54</v>
      </c>
      <c r="F46" s="19" t="str">
        <f>IFERROR(IF(E46&lt;=$C$1+$F$1,FV(NOMINAL(obliczenia!$B$17,12)/12,(E46-$C$1)*12,obliczenia!$B$19,-obliczenia!$B$25,0),""),0)</f>
        <v/>
      </c>
      <c r="H46" s="1">
        <v>44</v>
      </c>
      <c r="I46" s="18" t="e">
        <f t="shared" si="1"/>
        <v>#VALUE!</v>
      </c>
      <c r="J46">
        <f t="shared" si="2"/>
        <v>0</v>
      </c>
      <c r="K46" s="46"/>
    </row>
    <row r="47" spans="1:11" x14ac:dyDescent="0.25">
      <c r="A47" s="1">
        <v>45</v>
      </c>
      <c r="B47" s="18" t="str">
        <f>IFERROR(IF(A47&lt;=$C$1,obliczenia!$B$26*12*wykres!A47,""),0)</f>
        <v/>
      </c>
      <c r="C47" s="18" t="str">
        <f>IFERROR(IF(A47&lt;=$C$1,FV(NOMINAL(obliczenia!$B$17,12)/12,wykres!A47*12,-obliczenia!$B$26,,1),""),0)</f>
        <v/>
      </c>
      <c r="E47" s="2">
        <f t="shared" si="0"/>
        <v>55</v>
      </c>
      <c r="F47" s="19" t="str">
        <f>IFERROR(IF(E47&lt;=$C$1+$F$1,FV(NOMINAL(obliczenia!$B$17,12)/12,(E47-$C$1)*12,obliczenia!$B$19,-obliczenia!$B$25,0),""),0)</f>
        <v/>
      </c>
      <c r="H47" s="1">
        <v>45</v>
      </c>
      <c r="I47" s="18" t="e">
        <f t="shared" si="1"/>
        <v>#VALUE!</v>
      </c>
      <c r="J47">
        <f t="shared" si="2"/>
        <v>0</v>
      </c>
      <c r="K47" s="46"/>
    </row>
    <row r="48" spans="1:11" x14ac:dyDescent="0.25">
      <c r="A48" s="1">
        <v>46</v>
      </c>
      <c r="B48" s="18" t="str">
        <f>IFERROR(IF(A48&lt;=$C$1,obliczenia!$B$26*12*wykres!A48,""),0)</f>
        <v/>
      </c>
      <c r="C48" s="18" t="str">
        <f>IFERROR(IF(A48&lt;=$C$1,FV(NOMINAL(obliczenia!$B$17,12)/12,wykres!A48*12,-obliczenia!$B$26,,1),""),0)</f>
        <v/>
      </c>
      <c r="E48" s="2">
        <f t="shared" si="0"/>
        <v>56</v>
      </c>
      <c r="F48" s="19" t="str">
        <f>IFERROR(IF(E48&lt;=$C$1+$F$1,FV(NOMINAL(obliczenia!$B$17,12)/12,(E48-$C$1)*12,obliczenia!$B$19,-obliczenia!$B$25,0),""),0)</f>
        <v/>
      </c>
      <c r="H48" s="1">
        <v>46</v>
      </c>
      <c r="I48" s="18" t="e">
        <f t="shared" si="1"/>
        <v>#VALUE!</v>
      </c>
      <c r="J48">
        <f t="shared" si="2"/>
        <v>0</v>
      </c>
      <c r="K48" s="46"/>
    </row>
    <row r="49" spans="1:11" x14ac:dyDescent="0.25">
      <c r="A49" s="1">
        <v>47</v>
      </c>
      <c r="B49" s="18" t="str">
        <f>IFERROR(IF(A49&lt;=$C$1,obliczenia!$B$26*12*wykres!A49,""),0)</f>
        <v/>
      </c>
      <c r="C49" s="18" t="str">
        <f>IFERROR(IF(A49&lt;=$C$1,FV(NOMINAL(obliczenia!$B$17,12)/12,wykres!A49*12,-obliczenia!$B$26,,1),""),0)</f>
        <v/>
      </c>
      <c r="E49" s="2">
        <f t="shared" si="0"/>
        <v>57</v>
      </c>
      <c r="F49" s="19" t="str">
        <f>IFERROR(IF(E49&lt;=$C$1+$F$1,FV(NOMINAL(obliczenia!$B$17,12)/12,(E49-$C$1)*12,obliczenia!$B$19,-obliczenia!$B$25,0),""),0)</f>
        <v/>
      </c>
      <c r="H49" s="1">
        <v>47</v>
      </c>
      <c r="I49" s="18" t="e">
        <f t="shared" si="1"/>
        <v>#VALUE!</v>
      </c>
      <c r="J49">
        <f t="shared" si="2"/>
        <v>0</v>
      </c>
      <c r="K49" s="46"/>
    </row>
    <row r="50" spans="1:11" x14ac:dyDescent="0.25">
      <c r="A50" s="1">
        <v>48</v>
      </c>
      <c r="B50" s="18" t="str">
        <f>IFERROR(IF(A50&lt;=$C$1,obliczenia!$B$26*12*wykres!A50,""),0)</f>
        <v/>
      </c>
      <c r="C50" s="18" t="str">
        <f>IFERROR(IF(A50&lt;=$C$1,FV(NOMINAL(obliczenia!$B$17,12)/12,wykres!A50*12,-obliczenia!$B$26,,1),""),0)</f>
        <v/>
      </c>
      <c r="E50" s="2">
        <f t="shared" si="0"/>
        <v>58</v>
      </c>
      <c r="F50" s="19" t="str">
        <f>IFERROR(IF(E50&lt;=$C$1+$F$1,FV(NOMINAL(obliczenia!$B$17,12)/12,(E50-$C$1)*12,obliczenia!$B$19,-obliczenia!$B$25,0),""),0)</f>
        <v/>
      </c>
      <c r="H50" s="1">
        <v>48</v>
      </c>
      <c r="I50" s="18" t="e">
        <f t="shared" si="1"/>
        <v>#VALUE!</v>
      </c>
      <c r="J50">
        <f t="shared" si="2"/>
        <v>0</v>
      </c>
      <c r="K50" s="46"/>
    </row>
    <row r="51" spans="1:11" x14ac:dyDescent="0.25">
      <c r="A51" s="1">
        <v>49</v>
      </c>
      <c r="B51" s="18" t="str">
        <f>IFERROR(IF(A51&lt;=$C$1,obliczenia!$B$26*12*wykres!A51,""),0)</f>
        <v/>
      </c>
      <c r="C51" s="18" t="str">
        <f>IFERROR(IF(A51&lt;=$C$1,FV(NOMINAL(obliczenia!$B$17,12)/12,wykres!A51*12,-obliczenia!$B$26,,1),""),0)</f>
        <v/>
      </c>
      <c r="E51" s="2">
        <f t="shared" si="0"/>
        <v>59</v>
      </c>
      <c r="F51" s="19" t="str">
        <f>IFERROR(IF(E51&lt;=$C$1+$F$1,FV(NOMINAL(obliczenia!$B$17,12)/12,(E51-$C$1)*12,obliczenia!$B$19,-obliczenia!$B$25,0),""),0)</f>
        <v/>
      </c>
      <c r="H51" s="1">
        <v>49</v>
      </c>
      <c r="I51" s="18" t="e">
        <f t="shared" si="1"/>
        <v>#VALUE!</v>
      </c>
      <c r="J51">
        <f t="shared" si="2"/>
        <v>0</v>
      </c>
      <c r="K51" s="46"/>
    </row>
    <row r="52" spans="1:11" x14ac:dyDescent="0.25">
      <c r="A52" s="1">
        <v>50</v>
      </c>
      <c r="B52" s="18" t="str">
        <f>IFERROR(IF(A52&lt;=$C$1,obliczenia!$B$26*12*wykres!A52,""),0)</f>
        <v/>
      </c>
      <c r="C52" s="18" t="str">
        <f>IFERROR(IF(A52&lt;=$C$1,FV(NOMINAL(obliczenia!$B$17,12)/12,wykres!A52*12,-obliczenia!$B$26,,1),""),0)</f>
        <v/>
      </c>
      <c r="E52" s="2">
        <f t="shared" si="0"/>
        <v>60</v>
      </c>
      <c r="F52" s="19" t="str">
        <f>IFERROR(IF(E52&lt;=$C$1+$F$1,FV(NOMINAL(obliczenia!$B$17,12)/12,(E52-$C$1)*12,obliczenia!$B$19,-obliczenia!$B$25,0),""),0)</f>
        <v/>
      </c>
      <c r="H52" s="1">
        <v>50</v>
      </c>
      <c r="I52" s="18" t="e">
        <f t="shared" si="1"/>
        <v>#VALUE!</v>
      </c>
      <c r="J52">
        <f t="shared" si="2"/>
        <v>0</v>
      </c>
      <c r="K52" s="46"/>
    </row>
    <row r="53" spans="1:11" x14ac:dyDescent="0.25">
      <c r="H53" s="1">
        <v>51</v>
      </c>
      <c r="I53" s="18" t="e">
        <f t="shared" si="1"/>
        <v>#VALUE!</v>
      </c>
      <c r="J53">
        <f t="shared" si="2"/>
        <v>0</v>
      </c>
      <c r="K53" s="46"/>
    </row>
    <row r="54" spans="1:11" x14ac:dyDescent="0.25">
      <c r="H54" s="1">
        <v>52</v>
      </c>
      <c r="I54" s="18" t="e">
        <f t="shared" si="1"/>
        <v>#VALUE!</v>
      </c>
      <c r="J54">
        <f t="shared" si="2"/>
        <v>0</v>
      </c>
      <c r="K54" s="46"/>
    </row>
    <row r="55" spans="1:11" x14ac:dyDescent="0.25">
      <c r="H55" s="1">
        <v>53</v>
      </c>
      <c r="I55" s="18" t="e">
        <f t="shared" si="1"/>
        <v>#VALUE!</v>
      </c>
      <c r="J55">
        <f t="shared" si="2"/>
        <v>0</v>
      </c>
      <c r="K55" s="46"/>
    </row>
    <row r="56" spans="1:11" x14ac:dyDescent="0.25">
      <c r="H56" s="1">
        <v>54</v>
      </c>
      <c r="I56" s="18" t="e">
        <f t="shared" si="1"/>
        <v>#VALUE!</v>
      </c>
      <c r="J56">
        <f t="shared" si="2"/>
        <v>0</v>
      </c>
      <c r="K56" s="46"/>
    </row>
    <row r="57" spans="1:11" x14ac:dyDescent="0.25">
      <c r="H57" s="1">
        <v>55</v>
      </c>
      <c r="I57" s="18" t="e">
        <f t="shared" si="1"/>
        <v>#VALUE!</v>
      </c>
      <c r="J57">
        <f t="shared" si="2"/>
        <v>0</v>
      </c>
      <c r="K57" s="46"/>
    </row>
    <row r="58" spans="1:11" x14ac:dyDescent="0.25">
      <c r="H58" s="1">
        <v>56</v>
      </c>
      <c r="I58" s="18" t="e">
        <f t="shared" si="1"/>
        <v>#VALUE!</v>
      </c>
      <c r="J58">
        <f t="shared" si="2"/>
        <v>0</v>
      </c>
      <c r="K58" s="46"/>
    </row>
    <row r="59" spans="1:11" x14ac:dyDescent="0.25">
      <c r="H59" s="1">
        <v>57</v>
      </c>
      <c r="I59" s="18" t="e">
        <f t="shared" si="1"/>
        <v>#VALUE!</v>
      </c>
      <c r="J59">
        <f t="shared" si="2"/>
        <v>0</v>
      </c>
      <c r="K59" s="46"/>
    </row>
    <row r="60" spans="1:11" x14ac:dyDescent="0.25">
      <c r="H60" s="1">
        <v>58</v>
      </c>
      <c r="I60" s="18" t="e">
        <f t="shared" si="1"/>
        <v>#VALUE!</v>
      </c>
      <c r="J60">
        <f t="shared" si="2"/>
        <v>0</v>
      </c>
      <c r="K60" s="46"/>
    </row>
    <row r="61" spans="1:11" x14ac:dyDescent="0.25">
      <c r="H61" s="1">
        <v>59</v>
      </c>
      <c r="I61" s="18" t="e">
        <f t="shared" si="1"/>
        <v>#VALUE!</v>
      </c>
      <c r="J61">
        <f t="shared" si="2"/>
        <v>0</v>
      </c>
      <c r="K61" s="46"/>
    </row>
    <row r="62" spans="1:11" x14ac:dyDescent="0.25">
      <c r="H62" s="1">
        <v>60</v>
      </c>
      <c r="I62" s="18" t="e">
        <f t="shared" si="1"/>
        <v>#VALUE!</v>
      </c>
      <c r="J62">
        <f t="shared" si="2"/>
        <v>0</v>
      </c>
      <c r="K62" s="46"/>
    </row>
    <row r="63" spans="1:11" x14ac:dyDescent="0.25">
      <c r="H63" s="1">
        <v>61</v>
      </c>
      <c r="I63" s="18" t="e">
        <f t="shared" si="1"/>
        <v>#VALUE!</v>
      </c>
      <c r="J63">
        <f t="shared" si="2"/>
        <v>0</v>
      </c>
      <c r="K63" s="46"/>
    </row>
    <row r="64" spans="1:11" x14ac:dyDescent="0.25">
      <c r="H64" s="1">
        <v>62</v>
      </c>
      <c r="I64" s="18" t="e">
        <f t="shared" si="1"/>
        <v>#VALUE!</v>
      </c>
      <c r="J64">
        <f t="shared" si="2"/>
        <v>0</v>
      </c>
      <c r="K64" s="46"/>
    </row>
    <row r="65" spans="8:11" x14ac:dyDescent="0.25">
      <c r="H65" s="1">
        <v>63</v>
      </c>
      <c r="I65" s="18" t="e">
        <f t="shared" si="1"/>
        <v>#VALUE!</v>
      </c>
      <c r="J65">
        <f t="shared" si="2"/>
        <v>0</v>
      </c>
      <c r="K65" s="46"/>
    </row>
    <row r="66" spans="8:11" x14ac:dyDescent="0.25">
      <c r="H66" s="1">
        <v>64</v>
      </c>
      <c r="I66" s="18" t="e">
        <f t="shared" si="1"/>
        <v>#VALUE!</v>
      </c>
      <c r="J66">
        <f t="shared" si="2"/>
        <v>0</v>
      </c>
      <c r="K66" s="46"/>
    </row>
    <row r="67" spans="8:11" x14ac:dyDescent="0.25">
      <c r="H67" s="1">
        <v>65</v>
      </c>
      <c r="I67" s="18" t="e">
        <f t="shared" si="1"/>
        <v>#VALUE!</v>
      </c>
      <c r="J67">
        <f t="shared" si="2"/>
        <v>0</v>
      </c>
      <c r="K67" s="46"/>
    </row>
    <row r="68" spans="8:11" x14ac:dyDescent="0.25">
      <c r="H68" s="1">
        <v>66</v>
      </c>
      <c r="I68" s="18" t="e">
        <f t="shared" ref="I68:I102" si="3">IFERROR(IF(ISNUMBER(VLOOKUP(H68,$A$3:$C$52,3,))=TRUE,VLOOKUP(H68,$A$3:$C$52,3,),IF(ISNUMBER(VLOOKUP(H68,$E$3:$F$52,2,))=TRUE,VLOOKUP(H68,$E$3:$F$52,2),"")),0)+J68</f>
        <v>#VALUE!</v>
      </c>
      <c r="J68">
        <f t="shared" ref="J68:J102" si="4">IF(H68&lt;=$N$1,$N$2,0)</f>
        <v>0</v>
      </c>
      <c r="K68" s="46"/>
    </row>
    <row r="69" spans="8:11" x14ac:dyDescent="0.25">
      <c r="H69" s="1">
        <v>67</v>
      </c>
      <c r="I69" s="18" t="e">
        <f t="shared" si="3"/>
        <v>#VALUE!</v>
      </c>
      <c r="J69">
        <f t="shared" si="4"/>
        <v>0</v>
      </c>
      <c r="K69" s="46"/>
    </row>
    <row r="70" spans="8:11" x14ac:dyDescent="0.25">
      <c r="H70" s="1">
        <v>68</v>
      </c>
      <c r="I70" s="18" t="e">
        <f t="shared" si="3"/>
        <v>#VALUE!</v>
      </c>
      <c r="J70">
        <f t="shared" si="4"/>
        <v>0</v>
      </c>
      <c r="K70" s="46"/>
    </row>
    <row r="71" spans="8:11" x14ac:dyDescent="0.25">
      <c r="H71" s="1">
        <v>69</v>
      </c>
      <c r="I71" s="18" t="e">
        <f t="shared" si="3"/>
        <v>#VALUE!</v>
      </c>
      <c r="J71">
        <f t="shared" si="4"/>
        <v>0</v>
      </c>
      <c r="K71" s="46"/>
    </row>
    <row r="72" spans="8:11" x14ac:dyDescent="0.25">
      <c r="H72" s="1">
        <v>70</v>
      </c>
      <c r="I72" s="18" t="e">
        <f t="shared" si="3"/>
        <v>#VALUE!</v>
      </c>
      <c r="J72">
        <f t="shared" si="4"/>
        <v>0</v>
      </c>
      <c r="K72" s="46"/>
    </row>
    <row r="73" spans="8:11" x14ac:dyDescent="0.25">
      <c r="H73" s="1">
        <v>71</v>
      </c>
      <c r="I73" s="18" t="e">
        <f t="shared" si="3"/>
        <v>#VALUE!</v>
      </c>
      <c r="J73">
        <f t="shared" si="4"/>
        <v>0</v>
      </c>
      <c r="K73" s="46"/>
    </row>
    <row r="74" spans="8:11" x14ac:dyDescent="0.25">
      <c r="H74" s="1">
        <v>72</v>
      </c>
      <c r="I74" s="18" t="e">
        <f t="shared" si="3"/>
        <v>#VALUE!</v>
      </c>
      <c r="J74">
        <f t="shared" si="4"/>
        <v>0</v>
      </c>
      <c r="K74" s="46"/>
    </row>
    <row r="75" spans="8:11" x14ac:dyDescent="0.25">
      <c r="H75" s="1">
        <v>73</v>
      </c>
      <c r="I75" s="18" t="e">
        <f t="shared" si="3"/>
        <v>#VALUE!</v>
      </c>
      <c r="J75">
        <f t="shared" si="4"/>
        <v>0</v>
      </c>
      <c r="K75" s="46"/>
    </row>
    <row r="76" spans="8:11" x14ac:dyDescent="0.25">
      <c r="H76" s="1">
        <v>74</v>
      </c>
      <c r="I76" s="18" t="e">
        <f t="shared" si="3"/>
        <v>#VALUE!</v>
      </c>
      <c r="J76">
        <f t="shared" si="4"/>
        <v>0</v>
      </c>
      <c r="K76" s="46"/>
    </row>
    <row r="77" spans="8:11" x14ac:dyDescent="0.25">
      <c r="H77" s="1">
        <v>75</v>
      </c>
      <c r="I77" s="18" t="e">
        <f t="shared" si="3"/>
        <v>#VALUE!</v>
      </c>
      <c r="J77">
        <f t="shared" si="4"/>
        <v>0</v>
      </c>
      <c r="K77" s="46"/>
    </row>
    <row r="78" spans="8:11" x14ac:dyDescent="0.25">
      <c r="H78" s="1">
        <v>76</v>
      </c>
      <c r="I78" s="18" t="e">
        <f t="shared" si="3"/>
        <v>#VALUE!</v>
      </c>
      <c r="J78">
        <f t="shared" si="4"/>
        <v>0</v>
      </c>
      <c r="K78" s="46"/>
    </row>
    <row r="79" spans="8:11" x14ac:dyDescent="0.25">
      <c r="H79" s="1">
        <v>77</v>
      </c>
      <c r="I79" s="18" t="e">
        <f t="shared" si="3"/>
        <v>#VALUE!</v>
      </c>
      <c r="J79">
        <f t="shared" si="4"/>
        <v>0</v>
      </c>
      <c r="K79" s="46"/>
    </row>
    <row r="80" spans="8:11" x14ac:dyDescent="0.25">
      <c r="H80" s="1">
        <v>78</v>
      </c>
      <c r="I80" s="18" t="e">
        <f t="shared" si="3"/>
        <v>#VALUE!</v>
      </c>
      <c r="J80">
        <f t="shared" si="4"/>
        <v>0</v>
      </c>
      <c r="K80" s="46"/>
    </row>
    <row r="81" spans="8:11" x14ac:dyDescent="0.25">
      <c r="H81" s="1">
        <v>79</v>
      </c>
      <c r="I81" s="18" t="e">
        <f t="shared" si="3"/>
        <v>#VALUE!</v>
      </c>
      <c r="J81">
        <f t="shared" si="4"/>
        <v>0</v>
      </c>
      <c r="K81" s="46"/>
    </row>
    <row r="82" spans="8:11" x14ac:dyDescent="0.25">
      <c r="H82" s="1">
        <v>80</v>
      </c>
      <c r="I82" s="18" t="e">
        <f t="shared" si="3"/>
        <v>#VALUE!</v>
      </c>
      <c r="J82">
        <f t="shared" si="4"/>
        <v>0</v>
      </c>
      <c r="K82" s="46"/>
    </row>
    <row r="83" spans="8:11" x14ac:dyDescent="0.25">
      <c r="H83" s="1">
        <v>81</v>
      </c>
      <c r="I83" s="18" t="e">
        <f t="shared" si="3"/>
        <v>#VALUE!</v>
      </c>
      <c r="J83">
        <f t="shared" si="4"/>
        <v>0</v>
      </c>
      <c r="K83" s="46"/>
    </row>
    <row r="84" spans="8:11" x14ac:dyDescent="0.25">
      <c r="H84" s="1">
        <v>82</v>
      </c>
      <c r="I84" s="18" t="e">
        <f t="shared" si="3"/>
        <v>#VALUE!</v>
      </c>
      <c r="J84">
        <f t="shared" si="4"/>
        <v>0</v>
      </c>
      <c r="K84" s="46"/>
    </row>
    <row r="85" spans="8:11" x14ac:dyDescent="0.25">
      <c r="H85" s="1">
        <v>83</v>
      </c>
      <c r="I85" s="18" t="e">
        <f t="shared" si="3"/>
        <v>#VALUE!</v>
      </c>
      <c r="J85">
        <f t="shared" si="4"/>
        <v>0</v>
      </c>
      <c r="K85" s="46"/>
    </row>
    <row r="86" spans="8:11" x14ac:dyDescent="0.25">
      <c r="H86" s="1">
        <v>84</v>
      </c>
      <c r="I86" s="18" t="e">
        <f t="shared" si="3"/>
        <v>#VALUE!</v>
      </c>
      <c r="J86">
        <f t="shared" si="4"/>
        <v>0</v>
      </c>
      <c r="K86" s="46"/>
    </row>
    <row r="87" spans="8:11" x14ac:dyDescent="0.25">
      <c r="H87" s="1">
        <v>85</v>
      </c>
      <c r="I87" s="18" t="e">
        <f t="shared" si="3"/>
        <v>#VALUE!</v>
      </c>
      <c r="J87">
        <f t="shared" si="4"/>
        <v>0</v>
      </c>
      <c r="K87" s="46"/>
    </row>
    <row r="88" spans="8:11" x14ac:dyDescent="0.25">
      <c r="H88" s="1">
        <v>86</v>
      </c>
      <c r="I88" s="18" t="e">
        <f t="shared" si="3"/>
        <v>#VALUE!</v>
      </c>
      <c r="J88">
        <f t="shared" si="4"/>
        <v>0</v>
      </c>
      <c r="K88" s="46"/>
    </row>
    <row r="89" spans="8:11" x14ac:dyDescent="0.25">
      <c r="H89" s="1">
        <v>87</v>
      </c>
      <c r="I89" s="18" t="e">
        <f t="shared" si="3"/>
        <v>#VALUE!</v>
      </c>
      <c r="J89">
        <f t="shared" si="4"/>
        <v>0</v>
      </c>
      <c r="K89" s="46"/>
    </row>
    <row r="90" spans="8:11" x14ac:dyDescent="0.25">
      <c r="H90" s="1">
        <v>88</v>
      </c>
      <c r="I90" s="18" t="e">
        <f t="shared" si="3"/>
        <v>#VALUE!</v>
      </c>
      <c r="J90">
        <f t="shared" si="4"/>
        <v>0</v>
      </c>
      <c r="K90" s="46"/>
    </row>
    <row r="91" spans="8:11" x14ac:dyDescent="0.25">
      <c r="H91" s="1">
        <v>89</v>
      </c>
      <c r="I91" s="18" t="e">
        <f t="shared" si="3"/>
        <v>#VALUE!</v>
      </c>
      <c r="J91">
        <f t="shared" si="4"/>
        <v>0</v>
      </c>
      <c r="K91" s="46"/>
    </row>
    <row r="92" spans="8:11" x14ac:dyDescent="0.25">
      <c r="H92" s="1">
        <v>90</v>
      </c>
      <c r="I92" s="18" t="e">
        <f t="shared" si="3"/>
        <v>#VALUE!</v>
      </c>
      <c r="J92">
        <f t="shared" si="4"/>
        <v>0</v>
      </c>
      <c r="K92" s="46"/>
    </row>
    <row r="93" spans="8:11" x14ac:dyDescent="0.25">
      <c r="H93" s="1">
        <v>91</v>
      </c>
      <c r="I93" s="18" t="e">
        <f t="shared" si="3"/>
        <v>#VALUE!</v>
      </c>
      <c r="J93">
        <f t="shared" si="4"/>
        <v>0</v>
      </c>
      <c r="K93" s="46"/>
    </row>
    <row r="94" spans="8:11" x14ac:dyDescent="0.25">
      <c r="H94" s="1">
        <v>92</v>
      </c>
      <c r="I94" s="18" t="e">
        <f t="shared" si="3"/>
        <v>#VALUE!</v>
      </c>
      <c r="J94">
        <f t="shared" si="4"/>
        <v>0</v>
      </c>
      <c r="K94" s="46"/>
    </row>
    <row r="95" spans="8:11" x14ac:dyDescent="0.25">
      <c r="H95" s="1">
        <v>93</v>
      </c>
      <c r="I95" s="18" t="e">
        <f t="shared" si="3"/>
        <v>#VALUE!</v>
      </c>
      <c r="J95">
        <f t="shared" si="4"/>
        <v>0</v>
      </c>
      <c r="K95" s="46"/>
    </row>
    <row r="96" spans="8:11" x14ac:dyDescent="0.25">
      <c r="H96" s="1">
        <v>94</v>
      </c>
      <c r="I96" s="18" t="e">
        <f t="shared" si="3"/>
        <v>#VALUE!</v>
      </c>
      <c r="J96">
        <f t="shared" si="4"/>
        <v>0</v>
      </c>
      <c r="K96" s="46"/>
    </row>
    <row r="97" spans="8:11" x14ac:dyDescent="0.25">
      <c r="H97" s="1">
        <v>95</v>
      </c>
      <c r="I97" s="18" t="e">
        <f t="shared" si="3"/>
        <v>#VALUE!</v>
      </c>
      <c r="J97">
        <f t="shared" si="4"/>
        <v>0</v>
      </c>
      <c r="K97" s="46"/>
    </row>
    <row r="98" spans="8:11" x14ac:dyDescent="0.25">
      <c r="H98" s="1">
        <v>96</v>
      </c>
      <c r="I98" s="18" t="e">
        <f t="shared" si="3"/>
        <v>#VALUE!</v>
      </c>
      <c r="J98">
        <f t="shared" si="4"/>
        <v>0</v>
      </c>
      <c r="K98" s="46"/>
    </row>
    <row r="99" spans="8:11" x14ac:dyDescent="0.25">
      <c r="H99" s="1">
        <v>97</v>
      </c>
      <c r="I99" s="18" t="e">
        <f t="shared" si="3"/>
        <v>#VALUE!</v>
      </c>
      <c r="J99">
        <f t="shared" si="4"/>
        <v>0</v>
      </c>
      <c r="K99" s="46"/>
    </row>
    <row r="100" spans="8:11" x14ac:dyDescent="0.25">
      <c r="H100" s="1">
        <v>98</v>
      </c>
      <c r="I100" s="18" t="e">
        <f t="shared" si="3"/>
        <v>#VALUE!</v>
      </c>
      <c r="J100">
        <f t="shared" si="4"/>
        <v>0</v>
      </c>
      <c r="K100" s="46"/>
    </row>
    <row r="101" spans="8:11" x14ac:dyDescent="0.25">
      <c r="H101" s="1">
        <v>99</v>
      </c>
      <c r="I101" s="18" t="e">
        <f t="shared" si="3"/>
        <v>#VALUE!</v>
      </c>
      <c r="J101">
        <f t="shared" si="4"/>
        <v>0</v>
      </c>
      <c r="K101" s="46"/>
    </row>
    <row r="102" spans="8:11" x14ac:dyDescent="0.25">
      <c r="H102" s="1">
        <v>100</v>
      </c>
      <c r="I102" s="18" t="e">
        <f t="shared" si="3"/>
        <v>#VALUE!</v>
      </c>
      <c r="J102">
        <f t="shared" si="4"/>
        <v>0</v>
      </c>
      <c r="K102" s="46"/>
    </row>
  </sheetData>
  <mergeCells count="1"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5</vt:i4>
      </vt:variant>
    </vt:vector>
  </HeadingPairs>
  <TitlesOfParts>
    <vt:vector size="8" baseType="lpstr">
      <vt:lpstr>SAVER</vt:lpstr>
      <vt:lpstr>obliczenia</vt:lpstr>
      <vt:lpstr>wykres</vt:lpstr>
      <vt:lpstr>fw</vt:lpstr>
      <vt:lpstr>jak_wyplata</vt:lpstr>
      <vt:lpstr>kiedy_wyplata</vt:lpstr>
      <vt:lpstr>okres</vt:lpstr>
      <vt:lpstr>suma_ubezp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2018-09-21T16:38:32Z</dcterms:modified>
</cp:coreProperties>
</file>