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1" firstSheet="1" activeTab="3"/>
  </bookViews>
  <sheets>
    <sheet name="Heat Deposition" sheetId="3" r:id="rId1"/>
    <sheet name="Sheet2" sheetId="6" r:id="rId2"/>
    <sheet name="Heat Deposition for tests" sheetId="4" r:id="rId3"/>
    <sheet name="G10 element characteristics" sheetId="1" r:id="rId4"/>
    <sheet name="critical_T" sheetId="5" r:id="rId5"/>
    <sheet name="linear material properties" sheetId="2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46" i="1"/>
  <c r="C49" i="1"/>
  <c r="C32" i="1"/>
  <c r="C34" i="1" s="1"/>
  <c r="C33" i="1"/>
  <c r="C52" i="1"/>
  <c r="C51" i="1"/>
  <c r="C50" i="1"/>
  <c r="C45" i="1"/>
  <c r="C43" i="1"/>
  <c r="C47" i="1" l="1"/>
  <c r="C48" i="1"/>
  <c r="C9" i="6"/>
  <c r="C12" i="6"/>
  <c r="C8" i="6"/>
  <c r="C4" i="6"/>
  <c r="C3" i="6"/>
  <c r="C5" i="5"/>
  <c r="H24" i="1"/>
  <c r="H25" i="1"/>
  <c r="G25" i="1"/>
  <c r="G24" i="1"/>
  <c r="C18" i="4"/>
  <c r="C2" i="3" l="1"/>
  <c r="H23" i="1"/>
  <c r="H22" i="1"/>
  <c r="G23" i="1"/>
  <c r="C13" i="4"/>
  <c r="C11" i="4"/>
  <c r="C27" i="4"/>
  <c r="C24" i="4"/>
  <c r="C4" i="4"/>
  <c r="C5" i="4" s="1"/>
  <c r="C15" i="4" s="1"/>
  <c r="C16" i="4" s="1"/>
  <c r="C7" i="4" l="1"/>
  <c r="C30" i="1" l="1"/>
  <c r="C31" i="1" s="1"/>
  <c r="G22" i="1"/>
  <c r="C23" i="1"/>
  <c r="C35" i="1" l="1"/>
  <c r="C8" i="2"/>
  <c r="C22" i="2"/>
  <c r="C13" i="3"/>
  <c r="C17" i="3"/>
  <c r="C36" i="1" l="1"/>
  <c r="C38" i="1" s="1"/>
  <c r="C39" i="1" s="1"/>
  <c r="C20" i="3"/>
  <c r="C4" i="1"/>
  <c r="C14" i="3"/>
  <c r="C15" i="3" s="1"/>
  <c r="C4" i="3"/>
  <c r="C5" i="3" s="1"/>
  <c r="C9" i="3" s="1"/>
  <c r="C21" i="3" l="1"/>
  <c r="C7" i="3"/>
  <c r="C11" i="3"/>
  <c r="C16" i="3" s="1"/>
  <c r="C18" i="3" s="1"/>
  <c r="C13" i="1"/>
  <c r="C14" i="1" l="1"/>
  <c r="C6" i="1"/>
  <c r="C8" i="1" l="1"/>
  <c r="C10" i="1" s="1"/>
  <c r="C15" i="1" s="1"/>
  <c r="C17" i="1" s="1"/>
  <c r="C18" i="1" s="1"/>
  <c r="C22" i="4" l="1"/>
  <c r="C28" i="4"/>
  <c r="C23" i="4" l="1"/>
  <c r="C25" i="4" s="1"/>
</calcChain>
</file>

<file path=xl/sharedStrings.xml><?xml version="1.0" encoding="utf-8"?>
<sst xmlns="http://schemas.openxmlformats.org/spreadsheetml/2006/main" count="213" uniqueCount="102">
  <si>
    <t>strand_diameter</t>
  </si>
  <si>
    <t>mm</t>
  </si>
  <si>
    <t>winding_side</t>
  </si>
  <si>
    <t>-</t>
  </si>
  <si>
    <t>strand_area</t>
  </si>
  <si>
    <t>mm2</t>
  </si>
  <si>
    <t>winding_area</t>
  </si>
  <si>
    <t>G10_volume_per_winding</t>
  </si>
  <si>
    <t>mm3</t>
  </si>
  <si>
    <t>G10_element_length</t>
  </si>
  <si>
    <t>number_of_windings</t>
  </si>
  <si>
    <t>G10_total_volume</t>
  </si>
  <si>
    <t>number_of_divisions_per_winding</t>
  </si>
  <si>
    <t xml:space="preserve">number_of_G10_elements_per_winding </t>
  </si>
  <si>
    <t>total_number_of_G10_elements</t>
  </si>
  <si>
    <t xml:space="preserve">volume_per_G10_element </t>
  </si>
  <si>
    <t xml:space="preserve">G10_element_area </t>
  </si>
  <si>
    <t>length_per_winding</t>
  </si>
  <si>
    <t>case 1D + 1D</t>
  </si>
  <si>
    <t>Material number</t>
  </si>
  <si>
    <t>Material name</t>
  </si>
  <si>
    <t xml:space="preserve">Density </t>
  </si>
  <si>
    <t>kg/m3</t>
  </si>
  <si>
    <t>Specific heat</t>
  </si>
  <si>
    <t>J/(kg*K)</t>
  </si>
  <si>
    <t>Thermal cond.</t>
  </si>
  <si>
    <t>W/(m*K)</t>
  </si>
  <si>
    <t>Resistivity</t>
  </si>
  <si>
    <t>Ohm*m</t>
  </si>
  <si>
    <t>Quenched Superconductor</t>
  </si>
  <si>
    <t>Non-Quenched Superconductor</t>
  </si>
  <si>
    <t>G10</t>
  </si>
  <si>
    <t xml:space="preserve">Strand area </t>
  </si>
  <si>
    <t>m2</t>
  </si>
  <si>
    <t>Quench Init Length</t>
  </si>
  <si>
    <t xml:space="preserve">m </t>
  </si>
  <si>
    <t>Current</t>
  </si>
  <si>
    <t>A</t>
  </si>
  <si>
    <t>Power</t>
  </si>
  <si>
    <t>W</t>
  </si>
  <si>
    <t>time_step</t>
  </si>
  <si>
    <t>s</t>
  </si>
  <si>
    <t>Energy_deposition</t>
  </si>
  <si>
    <t>J</t>
  </si>
  <si>
    <t>J/kg*K</t>
  </si>
  <si>
    <t>mass</t>
  </si>
  <si>
    <t>density</t>
  </si>
  <si>
    <t xml:space="preserve">kg </t>
  </si>
  <si>
    <t>delta_T</t>
  </si>
  <si>
    <t>K</t>
  </si>
  <si>
    <t>specific heat</t>
  </si>
  <si>
    <t>Resistance</t>
  </si>
  <si>
    <t xml:space="preserve">Ohm </t>
  </si>
  <si>
    <t>mm2/s</t>
  </si>
  <si>
    <t>final_T</t>
  </si>
  <si>
    <t>Voltage</t>
  </si>
  <si>
    <t>V</t>
  </si>
  <si>
    <t>initial_T</t>
  </si>
  <si>
    <t>copper thermal diffusivity</t>
  </si>
  <si>
    <t>copper thermal conductivity</t>
  </si>
  <si>
    <t>Thermal diffusivity</t>
  </si>
  <si>
    <t>case 1D+1D+1D - quadrupole</t>
  </si>
  <si>
    <t>long_side</t>
  </si>
  <si>
    <t>short_side</t>
  </si>
  <si>
    <t>radius</t>
  </si>
  <si>
    <t>division_long_side</t>
  </si>
  <si>
    <t>division_short_side</t>
  </si>
  <si>
    <t>division_radius</t>
  </si>
  <si>
    <t>number_of_windings_in_reel</t>
  </si>
  <si>
    <t>number_of_reels</t>
  </si>
  <si>
    <t>total_coil_length</t>
  </si>
  <si>
    <t>coil_length_reel_#</t>
  </si>
  <si>
    <t>radius [mm]</t>
  </si>
  <si>
    <t>coil_length_per_reel</t>
  </si>
  <si>
    <t>total_G10_volume</t>
  </si>
  <si>
    <t>number_of_transverse_insulation_elements_1</t>
  </si>
  <si>
    <t>number_of_transverse_insulation_elements_2</t>
  </si>
  <si>
    <t>total_number_of_insulation_elements</t>
  </si>
  <si>
    <t>G10_volume_per_element</t>
  </si>
  <si>
    <t>G10_element_area</t>
  </si>
  <si>
    <t>number_of_nodes</t>
  </si>
  <si>
    <t>power_per_node</t>
  </si>
  <si>
    <t>Power_heat</t>
  </si>
  <si>
    <t>Power_current</t>
  </si>
  <si>
    <t xml:space="preserve">Total_energy </t>
  </si>
  <si>
    <t>T_0</t>
  </si>
  <si>
    <t>B_0</t>
  </si>
  <si>
    <t>T</t>
  </si>
  <si>
    <t xml:space="preserve">B </t>
  </si>
  <si>
    <t>T_critical</t>
  </si>
  <si>
    <t>m</t>
  </si>
  <si>
    <t>element_divisions</t>
  </si>
  <si>
    <t>insulation_length</t>
  </si>
  <si>
    <t>insulation_element_length</t>
  </si>
  <si>
    <t>python_time_steps #</t>
  </si>
  <si>
    <t>simulation_time</t>
  </si>
  <si>
    <t>python_time_step</t>
  </si>
  <si>
    <t>ansys_min_step</t>
  </si>
  <si>
    <t>ansys_max_step</t>
  </si>
  <si>
    <t>max_#_substeps</t>
  </si>
  <si>
    <t>case 1D+1D+1D - quadrupole - conservative assumption</t>
  </si>
  <si>
    <t>rounded part negligible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</si>
</sst>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0" fillId="0" borderId="0" xfId="0" applyNumberFormat="1"/>
    <xf numFmtId="0" fontId="3" fillId="0" borderId="0" xfId="0" applyFont="1"/>
    <xf numFmtId="0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lab/steam-ansys-modelling/quadrupole_experimental_results/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Quadrupole Measurements"/>
      <sheetName val="Quench Heaters Power"/>
      <sheetName val="Application of heat source"/>
      <sheetName val="Inductance"/>
    </sheetNames>
    <sheetDataSet>
      <sheetData sheetId="0" refreshError="1"/>
      <sheetData sheetId="1" refreshError="1"/>
      <sheetData sheetId="2">
        <row r="4">
          <cell r="K4">
            <v>50</v>
          </cell>
        </row>
        <row r="5">
          <cell r="K5">
            <v>8960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zoomScaleNormal="100" workbookViewId="0">
      <selection activeCell="H30" sqref="H30"/>
    </sheetView>
  </sheetViews>
  <sheetFormatPr defaultRowHeight="15" x14ac:dyDescent="0.25"/>
  <cols>
    <col min="2" max="2" width="27" bestFit="1" customWidth="1"/>
    <col min="3" max="3" width="12" bestFit="1" customWidth="1"/>
    <col min="6" max="6" width="12" bestFit="1" customWidth="1"/>
  </cols>
  <sheetData>
    <row r="2" spans="2:8" x14ac:dyDescent="0.25">
      <c r="B2" t="s">
        <v>32</v>
      </c>
      <c r="C2" s="2">
        <f>2.64581006294515E-07</f>
        <v>2.64581006294515E-7</v>
      </c>
      <c r="D2" t="s">
        <v>33</v>
      </c>
    </row>
    <row r="3" spans="2:8" x14ac:dyDescent="0.25">
      <c r="B3" t="s">
        <v>34</v>
      </c>
      <c r="C3">
        <v>1</v>
      </c>
      <c r="D3" t="s">
        <v>35</v>
      </c>
    </row>
    <row r="4" spans="2:8" x14ac:dyDescent="0.25">
      <c r="B4" t="s">
        <v>27</v>
      </c>
      <c r="C4">
        <f>'linear material properties'!C7</f>
        <v>2.5000000000000002E-10</v>
      </c>
      <c r="D4" t="s">
        <v>28</v>
      </c>
      <c r="F4" s="2"/>
    </row>
    <row r="5" spans="2:8" x14ac:dyDescent="0.25">
      <c r="B5" t="s">
        <v>51</v>
      </c>
      <c r="C5" s="2">
        <f>C4*C3/C2</f>
        <v>9.4489020017451931E-4</v>
      </c>
      <c r="D5" t="s">
        <v>52</v>
      </c>
    </row>
    <row r="6" spans="2:8" x14ac:dyDescent="0.25">
      <c r="B6" s="1" t="s">
        <v>36</v>
      </c>
      <c r="C6" s="1">
        <v>100</v>
      </c>
      <c r="D6" s="1" t="s">
        <v>37</v>
      </c>
    </row>
    <row r="7" spans="2:8" x14ac:dyDescent="0.25">
      <c r="B7" t="s">
        <v>55</v>
      </c>
      <c r="C7" s="2">
        <f>C5*C6</f>
        <v>9.4489020017451936E-2</v>
      </c>
      <c r="D7" t="s">
        <v>56</v>
      </c>
      <c r="E7" s="3"/>
    </row>
    <row r="9" spans="2:8" x14ac:dyDescent="0.25">
      <c r="B9" t="s">
        <v>38</v>
      </c>
      <c r="C9" s="2">
        <f>C5*C6^2</f>
        <v>9.4489020017451928</v>
      </c>
      <c r="D9" t="s">
        <v>39</v>
      </c>
      <c r="G9" s="2"/>
    </row>
    <row r="10" spans="2:8" x14ac:dyDescent="0.25">
      <c r="B10" t="s">
        <v>40</v>
      </c>
      <c r="C10">
        <v>0.5</v>
      </c>
      <c r="D10" t="s">
        <v>41</v>
      </c>
    </row>
    <row r="11" spans="2:8" x14ac:dyDescent="0.25">
      <c r="B11" t="s">
        <v>42</v>
      </c>
      <c r="C11">
        <f>C9*C10</f>
        <v>4.7244510008725964</v>
      </c>
      <c r="D11" t="s">
        <v>43</v>
      </c>
      <c r="G11" s="2"/>
    </row>
    <row r="13" spans="2:8" x14ac:dyDescent="0.25">
      <c r="B13" t="s">
        <v>50</v>
      </c>
      <c r="C13">
        <f>'linear material properties'!C13</f>
        <v>50</v>
      </c>
      <c r="D13" t="s">
        <v>44</v>
      </c>
    </row>
    <row r="14" spans="2:8" x14ac:dyDescent="0.25">
      <c r="B14" t="s">
        <v>46</v>
      </c>
      <c r="C14">
        <f>'linear material properties'!C4</f>
        <v>8960</v>
      </c>
      <c r="D14" t="s">
        <v>22</v>
      </c>
    </row>
    <row r="15" spans="2:8" x14ac:dyDescent="0.25">
      <c r="B15" t="s">
        <v>45</v>
      </c>
      <c r="C15" s="2">
        <f>C14*C3*C2</f>
        <v>2.3706458163988546E-3</v>
      </c>
      <c r="D15" t="s">
        <v>47</v>
      </c>
      <c r="G15" s="2"/>
      <c r="H15" s="2"/>
    </row>
    <row r="16" spans="2:8" x14ac:dyDescent="0.25">
      <c r="B16" t="s">
        <v>48</v>
      </c>
      <c r="C16" s="2">
        <f>C11/(C15*C13)</f>
        <v>39.857923677939418</v>
      </c>
      <c r="D16" t="s">
        <v>49</v>
      </c>
      <c r="G16" s="2"/>
    </row>
    <row r="17" spans="2:5" x14ac:dyDescent="0.25">
      <c r="B17" t="s">
        <v>57</v>
      </c>
      <c r="C17">
        <f>20</f>
        <v>20</v>
      </c>
      <c r="D17" t="s">
        <v>49</v>
      </c>
    </row>
    <row r="18" spans="2:5" x14ac:dyDescent="0.25">
      <c r="B18" s="3" t="s">
        <v>54</v>
      </c>
      <c r="C18" s="4">
        <f>C16+C17</f>
        <v>59.857923677939418</v>
      </c>
      <c r="D18" s="3" t="s">
        <v>49</v>
      </c>
      <c r="E18" s="3"/>
    </row>
    <row r="20" spans="2:5" x14ac:dyDescent="0.25">
      <c r="B20" t="s">
        <v>59</v>
      </c>
      <c r="C20">
        <f>'linear material properties'!C6</f>
        <v>2000</v>
      </c>
      <c r="D20" t="s">
        <v>26</v>
      </c>
    </row>
    <row r="21" spans="2:5" x14ac:dyDescent="0.25">
      <c r="B21" t="s">
        <v>58</v>
      </c>
      <c r="C21">
        <f>C20/(C14*C13)*10000</f>
        <v>44.642857142857139</v>
      </c>
      <c r="D21" t="s">
        <v>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C14" sqref="C14"/>
    </sheetView>
  </sheetViews>
  <sheetFormatPr defaultRowHeight="15" x14ac:dyDescent="0.25"/>
  <cols>
    <col min="2" max="2" width="25.7109375" bestFit="1" customWidth="1"/>
  </cols>
  <sheetData>
    <row r="2" spans="2:4" x14ac:dyDescent="0.25">
      <c r="B2" t="s">
        <v>92</v>
      </c>
      <c r="C2" s="2">
        <v>9.41E-4</v>
      </c>
      <c r="D2" t="s">
        <v>90</v>
      </c>
    </row>
    <row r="3" spans="2:4" x14ac:dyDescent="0.25">
      <c r="B3" t="s">
        <v>91</v>
      </c>
      <c r="C3">
        <f>5</f>
        <v>5</v>
      </c>
    </row>
    <row r="4" spans="2:4" x14ac:dyDescent="0.25">
      <c r="B4" t="s">
        <v>93</v>
      </c>
      <c r="C4" s="2">
        <f>C2/C3</f>
        <v>1.8819999999999999E-4</v>
      </c>
      <c r="D4" t="s">
        <v>90</v>
      </c>
    </row>
    <row r="6" spans="2:4" x14ac:dyDescent="0.25">
      <c r="B6" t="s">
        <v>95</v>
      </c>
      <c r="C6">
        <v>0.15</v>
      </c>
      <c r="D6" t="s">
        <v>41</v>
      </c>
    </row>
    <row r="7" spans="2:4" x14ac:dyDescent="0.25">
      <c r="B7" t="s">
        <v>94</v>
      </c>
      <c r="C7">
        <v>20</v>
      </c>
    </row>
    <row r="8" spans="2:4" x14ac:dyDescent="0.25">
      <c r="B8" t="s">
        <v>96</v>
      </c>
      <c r="C8">
        <f>C6/C7</f>
        <v>7.4999999999999997E-3</v>
      </c>
      <c r="D8" t="s">
        <v>41</v>
      </c>
    </row>
    <row r="9" spans="2:4" x14ac:dyDescent="0.25">
      <c r="B9" t="s">
        <v>97</v>
      </c>
      <c r="C9" s="2">
        <f>0.0001</f>
        <v>1E-4</v>
      </c>
      <c r="D9" t="s">
        <v>41</v>
      </c>
    </row>
    <row r="10" spans="2:4" x14ac:dyDescent="0.25">
      <c r="B10" t="s">
        <v>98</v>
      </c>
      <c r="C10" s="2">
        <v>1E-3</v>
      </c>
      <c r="D10" t="s">
        <v>41</v>
      </c>
    </row>
    <row r="12" spans="2:4" x14ac:dyDescent="0.25">
      <c r="B12" t="s">
        <v>99</v>
      </c>
      <c r="C12" s="5">
        <f>C8/C9</f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workbookViewId="0">
      <selection activeCell="C18" sqref="C18"/>
    </sheetView>
  </sheetViews>
  <sheetFormatPr defaultRowHeight="15" x14ac:dyDescent="0.25"/>
  <cols>
    <col min="2" max="2" width="26.42578125" bestFit="1" customWidth="1"/>
    <col min="3" max="3" width="12" bestFit="1" customWidth="1"/>
  </cols>
  <sheetData>
    <row r="2" spans="2:4" x14ac:dyDescent="0.25">
      <c r="B2" t="s">
        <v>32</v>
      </c>
      <c r="C2" s="2">
        <v>9.9999999999999995E-8</v>
      </c>
      <c r="D2" t="s">
        <v>33</v>
      </c>
    </row>
    <row r="3" spans="2:4" x14ac:dyDescent="0.25">
      <c r="B3" t="s">
        <v>34</v>
      </c>
      <c r="C3">
        <v>0.1</v>
      </c>
      <c r="D3" t="s">
        <v>35</v>
      </c>
    </row>
    <row r="4" spans="2:4" x14ac:dyDescent="0.25">
      <c r="B4" t="s">
        <v>27</v>
      </c>
      <c r="C4">
        <f>'linear material properties'!C7</f>
        <v>2.5000000000000002E-10</v>
      </c>
      <c r="D4" t="s">
        <v>28</v>
      </c>
    </row>
    <row r="5" spans="2:4" x14ac:dyDescent="0.25">
      <c r="B5" t="s">
        <v>51</v>
      </c>
      <c r="C5" s="2">
        <f>C4*C3/C2</f>
        <v>2.5000000000000006E-4</v>
      </c>
      <c r="D5" t="s">
        <v>52</v>
      </c>
    </row>
    <row r="6" spans="2:4" x14ac:dyDescent="0.25">
      <c r="B6" s="1" t="s">
        <v>36</v>
      </c>
      <c r="C6" s="7">
        <v>50</v>
      </c>
      <c r="D6" s="1" t="s">
        <v>37</v>
      </c>
    </row>
    <row r="7" spans="2:4" x14ac:dyDescent="0.25">
      <c r="B7" t="s">
        <v>55</v>
      </c>
      <c r="C7" s="5">
        <f>C5*C6</f>
        <v>1.2500000000000002E-2</v>
      </c>
      <c r="D7" t="s">
        <v>56</v>
      </c>
    </row>
    <row r="8" spans="2:4" x14ac:dyDescent="0.25">
      <c r="C8" s="5"/>
    </row>
    <row r="9" spans="2:4" x14ac:dyDescent="0.25">
      <c r="B9" t="s">
        <v>80</v>
      </c>
      <c r="C9" s="5">
        <v>101</v>
      </c>
      <c r="D9" t="s">
        <v>3</v>
      </c>
    </row>
    <row r="10" spans="2:4" x14ac:dyDescent="0.25">
      <c r="B10" t="s">
        <v>81</v>
      </c>
      <c r="C10" s="5">
        <v>1E-3</v>
      </c>
    </row>
    <row r="11" spans="2:4" x14ac:dyDescent="0.25">
      <c r="B11" t="s">
        <v>82</v>
      </c>
      <c r="C11" s="5">
        <f>C10*C9</f>
        <v>0.10100000000000001</v>
      </c>
      <c r="D11" t="s">
        <v>39</v>
      </c>
    </row>
    <row r="12" spans="2:4" x14ac:dyDescent="0.25">
      <c r="B12" t="s">
        <v>40</v>
      </c>
      <c r="C12" s="5">
        <v>1</v>
      </c>
      <c r="D12" t="s">
        <v>41</v>
      </c>
    </row>
    <row r="13" spans="2:4" x14ac:dyDescent="0.25">
      <c r="B13" t="s">
        <v>42</v>
      </c>
      <c r="C13" s="5">
        <f>C11*C12</f>
        <v>0.10100000000000001</v>
      </c>
      <c r="D13" t="s">
        <v>43</v>
      </c>
    </row>
    <row r="14" spans="2:4" x14ac:dyDescent="0.25">
      <c r="C14" s="5"/>
    </row>
    <row r="15" spans="2:4" x14ac:dyDescent="0.25">
      <c r="B15" t="s">
        <v>83</v>
      </c>
      <c r="C15" s="5">
        <f>C5*C6^2</f>
        <v>0.62500000000000011</v>
      </c>
      <c r="D15" t="s">
        <v>39</v>
      </c>
    </row>
    <row r="16" spans="2:4" x14ac:dyDescent="0.25">
      <c r="B16" t="s">
        <v>42</v>
      </c>
      <c r="C16" s="5">
        <f>C15*C12</f>
        <v>0.62500000000000011</v>
      </c>
      <c r="D16" t="s">
        <v>43</v>
      </c>
    </row>
    <row r="17" spans="2:4" x14ac:dyDescent="0.25">
      <c r="C17" s="5"/>
    </row>
    <row r="18" spans="2:4" x14ac:dyDescent="0.25">
      <c r="B18" t="s">
        <v>84</v>
      </c>
      <c r="C18" s="5">
        <f>C16+C13</f>
        <v>0.72600000000000009</v>
      </c>
    </row>
    <row r="19" spans="2:4" x14ac:dyDescent="0.25">
      <c r="C19" s="5"/>
    </row>
    <row r="20" spans="2:4" x14ac:dyDescent="0.25">
      <c r="C20" s="5"/>
    </row>
    <row r="21" spans="2:4" x14ac:dyDescent="0.25">
      <c r="C21" s="5"/>
    </row>
    <row r="22" spans="2:4" x14ac:dyDescent="0.25">
      <c r="B22" t="s">
        <v>45</v>
      </c>
      <c r="C22" s="5">
        <f>'[1]Quench Heaters Power'!K5*C3*C2</f>
        <v>8.9599999999999996E-5</v>
      </c>
      <c r="D22" t="s">
        <v>47</v>
      </c>
    </row>
    <row r="23" spans="2:4" x14ac:dyDescent="0.25">
      <c r="B23" t="s">
        <v>48</v>
      </c>
      <c r="C23" s="5">
        <f>C18/(C22*'[1]Quench Heaters Power'!K4)</f>
        <v>162.05357142857147</v>
      </c>
      <c r="D23" t="s">
        <v>49</v>
      </c>
    </row>
    <row r="24" spans="2:4" x14ac:dyDescent="0.25">
      <c r="B24" t="s">
        <v>57</v>
      </c>
      <c r="C24" s="5">
        <f>20</f>
        <v>20</v>
      </c>
      <c r="D24" t="s">
        <v>49</v>
      </c>
    </row>
    <row r="25" spans="2:4" x14ac:dyDescent="0.25">
      <c r="B25" s="3" t="s">
        <v>54</v>
      </c>
      <c r="C25" s="4">
        <f>C23+C24</f>
        <v>182.05357142857147</v>
      </c>
      <c r="D25" s="3" t="s">
        <v>49</v>
      </c>
    </row>
    <row r="26" spans="2:4" x14ac:dyDescent="0.25">
      <c r="C26" s="5"/>
    </row>
    <row r="27" spans="2:4" x14ac:dyDescent="0.25">
      <c r="B27" t="s">
        <v>59</v>
      </c>
      <c r="C27" s="5">
        <f>'linear material properties'!C6</f>
        <v>2000</v>
      </c>
      <c r="D27" t="s">
        <v>26</v>
      </c>
    </row>
    <row r="28" spans="2:4" x14ac:dyDescent="0.25">
      <c r="B28" t="s">
        <v>58</v>
      </c>
      <c r="C28" s="5">
        <f>C27/('[1]Quench Heaters Power'!K5*'[1]Quench Heaters Power'!K4)*10000</f>
        <v>44.642857142857139</v>
      </c>
      <c r="D28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tabSelected="1" topLeftCell="A22" workbookViewId="0">
      <selection activeCell="O32" sqref="O32"/>
    </sheetView>
  </sheetViews>
  <sheetFormatPr defaultRowHeight="15" x14ac:dyDescent="0.25"/>
  <cols>
    <col min="2" max="2" width="43.5703125" bestFit="1" customWidth="1"/>
    <col min="3" max="3" width="12" bestFit="1" customWidth="1"/>
    <col min="5" max="5" width="5" customWidth="1"/>
    <col min="6" max="6" width="17.7109375" bestFit="1" customWidth="1"/>
    <col min="7" max="7" width="11.7109375" bestFit="1" customWidth="1"/>
    <col min="8" max="8" width="19.7109375" bestFit="1" customWidth="1"/>
  </cols>
  <sheetData>
    <row r="2" spans="2:4" x14ac:dyDescent="0.25">
      <c r="B2" s="8" t="s">
        <v>18</v>
      </c>
      <c r="C2" s="8"/>
      <c r="D2" s="8"/>
    </row>
    <row r="3" spans="2:4" x14ac:dyDescent="0.25">
      <c r="B3" t="s">
        <v>0</v>
      </c>
      <c r="C3">
        <v>0.7</v>
      </c>
      <c r="D3" t="s">
        <v>1</v>
      </c>
    </row>
    <row r="4" spans="2:4" x14ac:dyDescent="0.25">
      <c r="B4" t="s">
        <v>4</v>
      </c>
      <c r="C4">
        <f xml:space="preserve"> C3^2/4*PI()</f>
        <v>0.38484510006474959</v>
      </c>
      <c r="D4" t="s">
        <v>5</v>
      </c>
    </row>
    <row r="5" spans="2:4" x14ac:dyDescent="0.25">
      <c r="B5" t="s">
        <v>2</v>
      </c>
      <c r="C5">
        <v>0.94099999999999995</v>
      </c>
      <c r="D5" t="s">
        <v>1</v>
      </c>
    </row>
    <row r="6" spans="2:4" x14ac:dyDescent="0.25">
      <c r="B6" t="s">
        <v>6</v>
      </c>
      <c r="C6">
        <f>C5^2</f>
        <v>0.88548099999999985</v>
      </c>
      <c r="D6" t="s">
        <v>5</v>
      </c>
    </row>
    <row r="7" spans="2:4" x14ac:dyDescent="0.25">
      <c r="B7" s="1" t="s">
        <v>17</v>
      </c>
      <c r="C7" s="1">
        <v>1000</v>
      </c>
      <c r="D7" s="1" t="s">
        <v>1</v>
      </c>
    </row>
    <row r="8" spans="2:4" x14ac:dyDescent="0.25">
      <c r="B8" t="s">
        <v>7</v>
      </c>
      <c r="C8">
        <f>(C6-C4)*C7</f>
        <v>500.63589993525028</v>
      </c>
      <c r="D8" t="s">
        <v>8</v>
      </c>
    </row>
    <row r="9" spans="2:4" x14ac:dyDescent="0.25">
      <c r="B9" t="s">
        <v>10</v>
      </c>
      <c r="C9">
        <v>5</v>
      </c>
      <c r="D9" t="s">
        <v>3</v>
      </c>
    </row>
    <row r="10" spans="2:4" x14ac:dyDescent="0.25">
      <c r="B10" t="s">
        <v>11</v>
      </c>
      <c r="C10">
        <f>C9*C8</f>
        <v>2503.1794996762515</v>
      </c>
      <c r="D10" t="s">
        <v>8</v>
      </c>
    </row>
    <row r="12" spans="2:4" x14ac:dyDescent="0.25">
      <c r="B12" s="1" t="s">
        <v>12</v>
      </c>
      <c r="C12" s="1">
        <v>100</v>
      </c>
    </row>
    <row r="13" spans="2:4" x14ac:dyDescent="0.25">
      <c r="B13" t="s">
        <v>13</v>
      </c>
      <c r="C13">
        <f>C12+1</f>
        <v>101</v>
      </c>
    </row>
    <row r="14" spans="2:4" x14ac:dyDescent="0.25">
      <c r="B14" t="s">
        <v>14</v>
      </c>
      <c r="C14">
        <f>C13*(C9-1)</f>
        <v>404</v>
      </c>
    </row>
    <row r="15" spans="2:4" x14ac:dyDescent="0.25">
      <c r="B15" t="s">
        <v>15</v>
      </c>
      <c r="C15">
        <f>C10/C14</f>
        <v>6.195988860584781</v>
      </c>
      <c r="D15" t="s">
        <v>8</v>
      </c>
    </row>
    <row r="16" spans="2:4" x14ac:dyDescent="0.25">
      <c r="B16" t="s">
        <v>9</v>
      </c>
      <c r="C16">
        <v>0.94099999999999995</v>
      </c>
      <c r="D16" t="s">
        <v>1</v>
      </c>
    </row>
    <row r="17" spans="2:8" x14ac:dyDescent="0.25">
      <c r="B17" t="s">
        <v>16</v>
      </c>
      <c r="C17">
        <f>C15/C16</f>
        <v>6.5844727530125198</v>
      </c>
      <c r="D17" t="s">
        <v>5</v>
      </c>
    </row>
    <row r="18" spans="2:8" x14ac:dyDescent="0.25">
      <c r="B18" s="1" t="s">
        <v>16</v>
      </c>
      <c r="C18" s="1">
        <f>C17*0.000001</f>
        <v>6.5844727530125191E-6</v>
      </c>
      <c r="D18" s="1" t="s">
        <v>33</v>
      </c>
    </row>
    <row r="20" spans="2:8" x14ac:dyDescent="0.25">
      <c r="B20" s="8" t="s">
        <v>61</v>
      </c>
      <c r="C20" s="8"/>
      <c r="D20" s="8"/>
    </row>
    <row r="21" spans="2:8" x14ac:dyDescent="0.25">
      <c r="B21" t="s">
        <v>62</v>
      </c>
      <c r="C21">
        <v>413.21</v>
      </c>
      <c r="D21" t="s">
        <v>1</v>
      </c>
      <c r="F21" t="s">
        <v>71</v>
      </c>
      <c r="G21" t="s">
        <v>72</v>
      </c>
      <c r="H21" t="s">
        <v>73</v>
      </c>
    </row>
    <row r="22" spans="2:8" x14ac:dyDescent="0.25">
      <c r="B22" t="s">
        <v>63</v>
      </c>
      <c r="C22">
        <v>126.81</v>
      </c>
      <c r="D22" t="s">
        <v>1</v>
      </c>
      <c r="F22">
        <v>1</v>
      </c>
      <c r="G22">
        <f>C23</f>
        <v>9.15</v>
      </c>
      <c r="H22">
        <f>$C$28*(2*$C$21+2*$C$22+PI()*G22^2)</f>
        <v>10744.495927521371</v>
      </c>
    </row>
    <row r="23" spans="2:8" x14ac:dyDescent="0.25">
      <c r="B23" t="s">
        <v>64</v>
      </c>
      <c r="C23">
        <f>(9+0.15)</f>
        <v>9.15</v>
      </c>
      <c r="D23" t="s">
        <v>1</v>
      </c>
      <c r="F23">
        <v>2</v>
      </c>
      <c r="G23">
        <f>G22+$C$5</f>
        <v>10.091000000000001</v>
      </c>
      <c r="H23">
        <f>$C$28*(2*$C$21+2*$C$22+PI()*G23^2)</f>
        <v>11199.543836138217</v>
      </c>
    </row>
    <row r="24" spans="2:8" x14ac:dyDescent="0.25">
      <c r="B24" t="s">
        <v>65</v>
      </c>
      <c r="C24">
        <v>200</v>
      </c>
      <c r="D24" t="s">
        <v>3</v>
      </c>
      <c r="F24">
        <v>3</v>
      </c>
      <c r="G24">
        <f>G23+$C$5</f>
        <v>11.032000000000002</v>
      </c>
      <c r="H24">
        <f t="shared" ref="H24:H25" si="0">$C$28*(2*$C$21+2*$C$22+PI()*G24^2)</f>
        <v>11699.100874426957</v>
      </c>
    </row>
    <row r="25" spans="2:8" x14ac:dyDescent="0.25">
      <c r="B25" t="s">
        <v>66</v>
      </c>
      <c r="C25">
        <v>60</v>
      </c>
      <c r="D25" t="s">
        <v>3</v>
      </c>
      <c r="F25">
        <v>4</v>
      </c>
      <c r="G25">
        <f>G24+$C$5</f>
        <v>11.973000000000003</v>
      </c>
      <c r="H25">
        <f t="shared" si="0"/>
        <v>12243.167042387589</v>
      </c>
    </row>
    <row r="26" spans="2:8" x14ac:dyDescent="0.25">
      <c r="B26" t="s">
        <v>67</v>
      </c>
      <c r="C26">
        <v>10</v>
      </c>
      <c r="D26" t="s">
        <v>3</v>
      </c>
    </row>
    <row r="27" spans="2:8" x14ac:dyDescent="0.25">
      <c r="B27" t="s">
        <v>10</v>
      </c>
      <c r="C27">
        <v>32</v>
      </c>
      <c r="D27" t="s">
        <v>3</v>
      </c>
    </row>
    <row r="28" spans="2:8" x14ac:dyDescent="0.25">
      <c r="B28" t="s">
        <v>68</v>
      </c>
      <c r="C28">
        <v>8</v>
      </c>
      <c r="D28" t="s">
        <v>3</v>
      </c>
    </row>
    <row r="29" spans="2:8" x14ac:dyDescent="0.25">
      <c r="B29" t="s">
        <v>69</v>
      </c>
      <c r="C29">
        <v>4</v>
      </c>
      <c r="D29" t="s">
        <v>3</v>
      </c>
    </row>
    <row r="30" spans="2:8" x14ac:dyDescent="0.25">
      <c r="B30" s="6" t="s">
        <v>70</v>
      </c>
      <c r="C30" s="6">
        <f>SUM(H22:H27)</f>
        <v>45886.307680474136</v>
      </c>
      <c r="D30" s="6" t="s">
        <v>1</v>
      </c>
    </row>
    <row r="31" spans="2:8" x14ac:dyDescent="0.25">
      <c r="B31" t="s">
        <v>74</v>
      </c>
      <c r="C31">
        <f>C30*(C6-C4)</f>
        <v>22972.332940319953</v>
      </c>
      <c r="D31" t="s">
        <v>8</v>
      </c>
    </row>
    <row r="32" spans="2:8" x14ac:dyDescent="0.25">
      <c r="B32" t="s">
        <v>12</v>
      </c>
      <c r="C32">
        <f>(2*C24+2*C25)</f>
        <v>520</v>
      </c>
    </row>
    <row r="33" spans="2:5" x14ac:dyDescent="0.25">
      <c r="B33" t="s">
        <v>75</v>
      </c>
      <c r="C33">
        <f>(C32+1)*(C28-1)*C29</f>
        <v>14588</v>
      </c>
    </row>
    <row r="34" spans="2:5" x14ac:dyDescent="0.25">
      <c r="B34" t="s">
        <v>76</v>
      </c>
      <c r="C34">
        <f>(C29-1)*(C32+1)*C28</f>
        <v>12504</v>
      </c>
    </row>
    <row r="35" spans="2:5" x14ac:dyDescent="0.25">
      <c r="B35" t="s">
        <v>77</v>
      </c>
      <c r="C35">
        <f>SUM(C33:C34)</f>
        <v>27092</v>
      </c>
    </row>
    <row r="36" spans="2:5" x14ac:dyDescent="0.25">
      <c r="B36" t="s">
        <v>78</v>
      </c>
      <c r="C36">
        <f>C31/C35</f>
        <v>0.84793787613760352</v>
      </c>
      <c r="D36" t="s">
        <v>8</v>
      </c>
    </row>
    <row r="37" spans="2:5" x14ac:dyDescent="0.25">
      <c r="B37" t="s">
        <v>9</v>
      </c>
      <c r="C37">
        <v>0.94099999999999995</v>
      </c>
      <c r="D37" t="s">
        <v>1</v>
      </c>
    </row>
    <row r="38" spans="2:5" x14ac:dyDescent="0.25">
      <c r="B38" t="s">
        <v>79</v>
      </c>
      <c r="C38">
        <f>C36/C37</f>
        <v>0.90110295019936615</v>
      </c>
      <c r="D38" t="s">
        <v>5</v>
      </c>
    </row>
    <row r="39" spans="2:5" x14ac:dyDescent="0.25">
      <c r="B39" s="1" t="s">
        <v>79</v>
      </c>
      <c r="C39" s="1">
        <f>C38*0.000001</f>
        <v>9.0110295019936609E-7</v>
      </c>
      <c r="D39" s="1" t="s">
        <v>33</v>
      </c>
    </row>
    <row r="42" spans="2:5" x14ac:dyDescent="0.25">
      <c r="B42" s="8" t="s">
        <v>100</v>
      </c>
      <c r="C42" s="8"/>
      <c r="D42" s="8"/>
    </row>
    <row r="43" spans="2:5" x14ac:dyDescent="0.25">
      <c r="B43" t="s">
        <v>70</v>
      </c>
      <c r="C43">
        <f>(C27)*(2*C21+2*C22)</f>
        <v>34561.279999999999</v>
      </c>
      <c r="D43" t="s">
        <v>1</v>
      </c>
      <c r="E43" t="s">
        <v>101</v>
      </c>
    </row>
    <row r="44" spans="2:5" x14ac:dyDescent="0.25">
      <c r="B44" t="s">
        <v>74</v>
      </c>
      <c r="C44">
        <f>C43*(C6-C4)</f>
        <v>17302.617515714166</v>
      </c>
      <c r="D44" t="s">
        <v>8</v>
      </c>
    </row>
    <row r="45" spans="2:5" x14ac:dyDescent="0.25">
      <c r="B45" t="s">
        <v>12</v>
      </c>
      <c r="C45">
        <f>2*C24+2*C25</f>
        <v>520</v>
      </c>
    </row>
    <row r="46" spans="2:5" x14ac:dyDescent="0.25">
      <c r="B46" t="s">
        <v>75</v>
      </c>
      <c r="C46">
        <f>(C28-1)*(C45+1)*C29</f>
        <v>14588</v>
      </c>
    </row>
    <row r="47" spans="2:5" x14ac:dyDescent="0.25">
      <c r="B47" t="s">
        <v>76</v>
      </c>
      <c r="C47">
        <f>(C29-1)*(C45+1)*C28</f>
        <v>12504</v>
      </c>
    </row>
    <row r="48" spans="2:5" x14ac:dyDescent="0.25">
      <c r="B48" t="s">
        <v>77</v>
      </c>
      <c r="C48">
        <f>SUM(C46:C47)</f>
        <v>27092</v>
      </c>
    </row>
    <row r="49" spans="2:4" x14ac:dyDescent="0.25">
      <c r="B49" t="s">
        <v>78</v>
      </c>
      <c r="C49">
        <f>C44/C48</f>
        <v>0.63866150582142944</v>
      </c>
      <c r="D49" t="s">
        <v>8</v>
      </c>
    </row>
    <row r="50" spans="2:4" x14ac:dyDescent="0.25">
      <c r="B50" t="s">
        <v>9</v>
      </c>
      <c r="C50">
        <f>C37</f>
        <v>0.94099999999999995</v>
      </c>
      <c r="D50" t="s">
        <v>1</v>
      </c>
    </row>
    <row r="51" spans="2:4" x14ac:dyDescent="0.25">
      <c r="B51" t="s">
        <v>79</v>
      </c>
      <c r="C51">
        <f>C49/C50</f>
        <v>0.67870510714285814</v>
      </c>
      <c r="D51" t="s">
        <v>5</v>
      </c>
    </row>
    <row r="52" spans="2:4" x14ac:dyDescent="0.25">
      <c r="B52" s="1" t="s">
        <v>79</v>
      </c>
      <c r="C52" s="1">
        <f>C51*0.000001</f>
        <v>6.7870510714285809E-7</v>
      </c>
      <c r="D52" s="1" t="s">
        <v>33</v>
      </c>
    </row>
  </sheetData>
  <mergeCells count="3">
    <mergeCell ref="B2:D2"/>
    <mergeCell ref="B20:D20"/>
    <mergeCell ref="B42:D4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G34" sqref="G34"/>
    </sheetView>
  </sheetViews>
  <sheetFormatPr defaultRowHeight="15" x14ac:dyDescent="0.25"/>
  <cols>
    <col min="2" max="2" width="11.85546875" customWidth="1"/>
  </cols>
  <sheetData>
    <row r="2" spans="2:4" x14ac:dyDescent="0.25">
      <c r="B2" t="s">
        <v>85</v>
      </c>
      <c r="C2">
        <v>9.1999999999999993</v>
      </c>
      <c r="D2" t="s">
        <v>49</v>
      </c>
    </row>
    <row r="3" spans="2:4" x14ac:dyDescent="0.25">
      <c r="B3" t="s">
        <v>86</v>
      </c>
      <c r="C3">
        <v>14.5</v>
      </c>
      <c r="D3" t="s">
        <v>87</v>
      </c>
    </row>
    <row r="4" spans="2:4" x14ac:dyDescent="0.25">
      <c r="B4" t="s">
        <v>88</v>
      </c>
      <c r="C4">
        <v>3</v>
      </c>
      <c r="D4" t="s">
        <v>87</v>
      </c>
    </row>
    <row r="5" spans="2:4" x14ac:dyDescent="0.25">
      <c r="B5" t="s">
        <v>89</v>
      </c>
      <c r="C5">
        <f>C2*(1-C4/C3)^0.59</f>
        <v>8.0240279324073658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D23" sqref="D23"/>
    </sheetView>
  </sheetViews>
  <sheetFormatPr defaultRowHeight="15" x14ac:dyDescent="0.25"/>
  <cols>
    <col min="2" max="2" width="18" bestFit="1" customWidth="1"/>
    <col min="3" max="3" width="29.7109375" bestFit="1" customWidth="1"/>
  </cols>
  <sheetData>
    <row r="2" spans="2:4" x14ac:dyDescent="0.25">
      <c r="B2" s="3" t="s">
        <v>19</v>
      </c>
      <c r="C2" s="3">
        <v>1</v>
      </c>
      <c r="D2" s="1"/>
    </row>
    <row r="3" spans="2:4" x14ac:dyDescent="0.25">
      <c r="B3" t="s">
        <v>20</v>
      </c>
      <c r="C3" t="s">
        <v>29</v>
      </c>
    </row>
    <row r="4" spans="2:4" x14ac:dyDescent="0.25">
      <c r="B4" t="s">
        <v>21</v>
      </c>
      <c r="C4" s="5">
        <v>8960</v>
      </c>
      <c r="D4" t="s">
        <v>22</v>
      </c>
    </row>
    <row r="5" spans="2:4" x14ac:dyDescent="0.25">
      <c r="B5" t="s">
        <v>23</v>
      </c>
      <c r="C5" s="5">
        <v>50</v>
      </c>
      <c r="D5" t="s">
        <v>24</v>
      </c>
    </row>
    <row r="6" spans="2:4" x14ac:dyDescent="0.25">
      <c r="B6" t="s">
        <v>25</v>
      </c>
      <c r="C6" s="5">
        <v>2000</v>
      </c>
      <c r="D6" t="s">
        <v>26</v>
      </c>
    </row>
    <row r="7" spans="2:4" x14ac:dyDescent="0.25">
      <c r="B7" t="s">
        <v>27</v>
      </c>
      <c r="C7" s="5">
        <v>2.5000000000000002E-10</v>
      </c>
      <c r="D7" t="s">
        <v>28</v>
      </c>
    </row>
    <row r="8" spans="2:4" x14ac:dyDescent="0.25">
      <c r="B8" t="s">
        <v>60</v>
      </c>
      <c r="C8" s="5">
        <f>C6/(C4*C5)*10000</f>
        <v>44.642857142857139</v>
      </c>
      <c r="D8" t="s">
        <v>53</v>
      </c>
    </row>
    <row r="9" spans="2:4" x14ac:dyDescent="0.25">
      <c r="C9" s="5"/>
    </row>
    <row r="10" spans="2:4" x14ac:dyDescent="0.25">
      <c r="B10" s="3" t="s">
        <v>19</v>
      </c>
      <c r="C10" s="4">
        <v>2</v>
      </c>
      <c r="D10" s="3"/>
    </row>
    <row r="11" spans="2:4" x14ac:dyDescent="0.25">
      <c r="B11" t="s">
        <v>20</v>
      </c>
      <c r="C11" s="5" t="s">
        <v>30</v>
      </c>
    </row>
    <row r="12" spans="2:4" x14ac:dyDescent="0.25">
      <c r="B12" t="s">
        <v>21</v>
      </c>
      <c r="C12" s="5">
        <v>8960</v>
      </c>
      <c r="D12" t="s">
        <v>22</v>
      </c>
    </row>
    <row r="13" spans="2:4" x14ac:dyDescent="0.25">
      <c r="B13" t="s">
        <v>23</v>
      </c>
      <c r="C13" s="5">
        <v>50</v>
      </c>
      <c r="D13" t="s">
        <v>24</v>
      </c>
    </row>
    <row r="14" spans="2:4" x14ac:dyDescent="0.25">
      <c r="B14" t="s">
        <v>25</v>
      </c>
      <c r="C14" s="5">
        <v>2000</v>
      </c>
      <c r="D14" t="s">
        <v>26</v>
      </c>
    </row>
    <row r="15" spans="2:4" x14ac:dyDescent="0.25">
      <c r="B15" t="s">
        <v>27</v>
      </c>
      <c r="C15" s="5">
        <v>9.9999999999999998E-17</v>
      </c>
      <c r="D15" t="s">
        <v>28</v>
      </c>
    </row>
    <row r="16" spans="2:4" x14ac:dyDescent="0.25">
      <c r="C16" s="5"/>
    </row>
    <row r="17" spans="2:4" x14ac:dyDescent="0.25">
      <c r="B17" s="3" t="s">
        <v>19</v>
      </c>
      <c r="C17" s="4">
        <v>3</v>
      </c>
      <c r="D17" s="3"/>
    </row>
    <row r="18" spans="2:4" x14ac:dyDescent="0.25">
      <c r="B18" t="s">
        <v>20</v>
      </c>
      <c r="C18" s="5" t="s">
        <v>31</v>
      </c>
    </row>
    <row r="19" spans="2:4" x14ac:dyDescent="0.25">
      <c r="B19" t="s">
        <v>21</v>
      </c>
      <c r="C19" s="5">
        <v>1420</v>
      </c>
      <c r="D19" t="s">
        <v>22</v>
      </c>
    </row>
    <row r="20" spans="2:4" x14ac:dyDescent="0.25">
      <c r="B20" t="s">
        <v>23</v>
      </c>
      <c r="C20" s="5">
        <v>60</v>
      </c>
      <c r="D20" t="s">
        <v>24</v>
      </c>
    </row>
    <row r="21" spans="2:4" x14ac:dyDescent="0.25">
      <c r="B21" t="s">
        <v>25</v>
      </c>
      <c r="C21" s="5">
        <v>0.05</v>
      </c>
      <c r="D21" t="s">
        <v>26</v>
      </c>
    </row>
    <row r="22" spans="2:4" x14ac:dyDescent="0.25">
      <c r="B22" t="s">
        <v>60</v>
      </c>
      <c r="C22" s="5">
        <f>C21/(C19*C20)*10000</f>
        <v>5.8685446009389668E-3</v>
      </c>
      <c r="D22" t="s">
        <v>53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Heat Deposition</vt:lpstr>
      <vt:lpstr>Sheet2</vt:lpstr>
      <vt:lpstr>Heat Deposition for tests</vt:lpstr>
      <vt:lpstr>G10 element characteristics</vt:lpstr>
      <vt:lpstr>critical_T</vt:lpstr>
      <vt:lpstr>linear material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2019-08-23T08:13:04Z</dcterms:modified>
</cp:coreProperties>
</file>