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1" firstSheet="3" activeTab="3"/>
  </bookViews>
  <sheets>
    <sheet name="Heat Deposition" sheetId="3" r:id="rId1"/>
    <sheet name="Sheet2" sheetId="6" r:id="rId2"/>
    <sheet name="Heat Deposition for tests" sheetId="4" r:id="rId3"/>
    <sheet name="G10 element characteristics" sheetId="1" r:id="rId4"/>
    <sheet name="critical_T" sheetId="5" r:id="rId5"/>
    <sheet name="linear material properties" sheetId="2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59" i="1"/>
  <c r="C62" i="1" s="1"/>
  <c r="C63" i="1" s="1"/>
  <c r="C58" i="1"/>
  <c r="C57" i="1"/>
  <c r="C64" i="1" s="1"/>
  <c r="C56" i="1"/>
  <c r="C55" i="1"/>
  <c r="C61" i="1"/>
  <c r="C32" i="1" l="1"/>
  <c r="C34" i="1" s="1"/>
  <c r="C50" i="1"/>
  <c r="C45" i="1"/>
  <c r="C46" i="1" s="1"/>
  <c r="C43" i="1"/>
  <c r="C44" i="1" s="1"/>
  <c r="C33" i="1" l="1"/>
  <c r="C47" i="1"/>
  <c r="C48" i="1"/>
  <c r="C49" i="1" s="1"/>
  <c r="C51" i="1" s="1"/>
  <c r="C52" i="1" s="1"/>
  <c r="C9" i="6"/>
  <c r="C12" i="6"/>
  <c r="C8" i="6"/>
  <c r="C4" i="6"/>
  <c r="C3" i="6"/>
  <c r="C5" i="5"/>
  <c r="H24" i="1"/>
  <c r="H25" i="1"/>
  <c r="G25" i="1"/>
  <c r="G24" i="1"/>
  <c r="C18" i="4"/>
  <c r="C2" i="3" l="1"/>
  <c r="H23" i="1"/>
  <c r="H22" i="1"/>
  <c r="G23" i="1"/>
  <c r="C13" i="4"/>
  <c r="C11" i="4"/>
  <c r="C27" i="4"/>
  <c r="C24" i="4"/>
  <c r="C4" i="4"/>
  <c r="C5" i="4" s="1"/>
  <c r="C15" i="4" s="1"/>
  <c r="C16" i="4" s="1"/>
  <c r="C7" i="4" l="1"/>
  <c r="C30" i="1" l="1"/>
  <c r="C31" i="1" s="1"/>
  <c r="G22" i="1"/>
  <c r="C23" i="1"/>
  <c r="C35" i="1" l="1"/>
  <c r="C8" i="2"/>
  <c r="C22" i="2"/>
  <c r="C13" i="3"/>
  <c r="C17" i="3"/>
  <c r="C36" i="1" l="1"/>
  <c r="C38" i="1" s="1"/>
  <c r="C39" i="1" s="1"/>
  <c r="C20" i="3"/>
  <c r="C4" i="1"/>
  <c r="C14" i="3"/>
  <c r="C15" i="3" s="1"/>
  <c r="C4" i="3"/>
  <c r="C5" i="3" s="1"/>
  <c r="C9" i="3" s="1"/>
  <c r="C21" i="3" l="1"/>
  <c r="C7" i="3"/>
  <c r="C11" i="3"/>
  <c r="C16" i="3" s="1"/>
  <c r="C18" i="3" s="1"/>
  <c r="C13" i="1"/>
  <c r="C14" i="1" l="1"/>
  <c r="C6" i="1"/>
  <c r="C8" i="1" l="1"/>
  <c r="C10" i="1" s="1"/>
  <c r="C15" i="1" s="1"/>
  <c r="C17" i="1" s="1"/>
  <c r="C18" i="1" s="1"/>
  <c r="C22" i="4" l="1"/>
  <c r="C28" i="4"/>
  <c r="C23" i="4" l="1"/>
  <c r="C25" i="4" s="1"/>
</calcChain>
</file>

<file path=xl/sharedStrings.xml><?xml version="1.0" encoding="utf-8"?>
<sst xmlns="http://schemas.openxmlformats.org/spreadsheetml/2006/main" count="234" uniqueCount="114">
  <si>
    <t>strand_diameter</t>
  </si>
  <si>
    <t>mm</t>
  </si>
  <si>
    <t>winding_side</t>
  </si>
  <si>
    <t>-</t>
  </si>
  <si>
    <t>strand_area</t>
  </si>
  <si>
    <t>mm2</t>
  </si>
  <si>
    <t>winding_area</t>
  </si>
  <si>
    <t>G10_volume_per_winding</t>
  </si>
  <si>
    <t>mm3</t>
  </si>
  <si>
    <t>G10_element_length</t>
  </si>
  <si>
    <t>number_of_windings</t>
  </si>
  <si>
    <t>G10_total_volume</t>
  </si>
  <si>
    <t>number_of_divisions_per_winding</t>
  </si>
  <si>
    <t xml:space="preserve">number_of_G10_elements_per_winding </t>
  </si>
  <si>
    <t>total_number_of_G10_elements</t>
  </si>
  <si>
    <t xml:space="preserve">volume_per_G10_element </t>
  </si>
  <si>
    <t xml:space="preserve">G10_element_area </t>
  </si>
  <si>
    <t>length_per_winding</t>
  </si>
  <si>
    <t>case 1D + 1D</t>
  </si>
  <si>
    <t>Material number</t>
  </si>
  <si>
    <t>Material name</t>
  </si>
  <si>
    <t xml:space="preserve">Density </t>
  </si>
  <si>
    <t>kg/m3</t>
  </si>
  <si>
    <t>Specific heat</t>
  </si>
  <si>
    <t>J/(kg*K)</t>
  </si>
  <si>
    <t>Thermal cond.</t>
  </si>
  <si>
    <t>W/(m*K)</t>
  </si>
  <si>
    <t>Resistivity</t>
  </si>
  <si>
    <t>Ohm*m</t>
  </si>
  <si>
    <t>Quenched Superconductor</t>
  </si>
  <si>
    <t>Non-Quenched Superconductor</t>
  </si>
  <si>
    <t>G10</t>
  </si>
  <si>
    <t xml:space="preserve">Strand area </t>
  </si>
  <si>
    <t>m2</t>
  </si>
  <si>
    <t>Quench Init Length</t>
  </si>
  <si>
    <t xml:space="preserve">m </t>
  </si>
  <si>
    <t>Current</t>
  </si>
  <si>
    <t>A</t>
  </si>
  <si>
    <t>Power</t>
  </si>
  <si>
    <t>W</t>
  </si>
  <si>
    <t>time_step</t>
  </si>
  <si>
    <t>s</t>
  </si>
  <si>
    <t>Energy_deposition</t>
  </si>
  <si>
    <t>J</t>
  </si>
  <si>
    <t>J/kg*K</t>
  </si>
  <si>
    <t>mass</t>
  </si>
  <si>
    <t>density</t>
  </si>
  <si>
    <t xml:space="preserve">kg </t>
  </si>
  <si>
    <t>delta_T</t>
  </si>
  <si>
    <t>K</t>
  </si>
  <si>
    <t>specific heat</t>
  </si>
  <si>
    <t>Resistance</t>
  </si>
  <si>
    <t xml:space="preserve">Ohm </t>
  </si>
  <si>
    <t>mm2/s</t>
  </si>
  <si>
    <t>final_T</t>
  </si>
  <si>
    <t>Voltage</t>
  </si>
  <si>
    <t>V</t>
  </si>
  <si>
    <t>initial_T</t>
  </si>
  <si>
    <t>copper thermal diffusivity</t>
  </si>
  <si>
    <t>copper thermal conductivity</t>
  </si>
  <si>
    <t>Thermal diffusivity</t>
  </si>
  <si>
    <t>case 1D+1D+1D - quadrupole</t>
  </si>
  <si>
    <t>long_side</t>
  </si>
  <si>
    <t>short_side</t>
  </si>
  <si>
    <t>radius</t>
  </si>
  <si>
    <t>division_long_side</t>
  </si>
  <si>
    <t>division_short_side</t>
  </si>
  <si>
    <t>division_radius</t>
  </si>
  <si>
    <t>number_of_windings_in_reel</t>
  </si>
  <si>
    <t>number_of_reels</t>
  </si>
  <si>
    <t>total_coil_length</t>
  </si>
  <si>
    <t>coil_length_reel_#</t>
  </si>
  <si>
    <t>radius [mm]</t>
  </si>
  <si>
    <t>coil_length_per_reel</t>
  </si>
  <si>
    <t>total_G10_volume</t>
  </si>
  <si>
    <t>number_of_transverse_insulation_elements_1</t>
  </si>
  <si>
    <t>number_of_transverse_insulation_elements_2</t>
  </si>
  <si>
    <t>total_number_of_insulation_elements</t>
  </si>
  <si>
    <t>G10_volume_per_element</t>
  </si>
  <si>
    <t>G10_element_area</t>
  </si>
  <si>
    <t>number_of_nodes</t>
  </si>
  <si>
    <t>power_per_node</t>
  </si>
  <si>
    <t>Power_heat</t>
  </si>
  <si>
    <t>Power_current</t>
  </si>
  <si>
    <t xml:space="preserve">Total_energy </t>
  </si>
  <si>
    <t>T_0</t>
  </si>
  <si>
    <t>B_0</t>
  </si>
  <si>
    <t>T</t>
  </si>
  <si>
    <t xml:space="preserve">B </t>
  </si>
  <si>
    <t>T_critical</t>
  </si>
  <si>
    <t>m</t>
  </si>
  <si>
    <t>element_divisions</t>
  </si>
  <si>
    <t>insulation_length</t>
  </si>
  <si>
    <t>insulation_element_length</t>
  </si>
  <si>
    <t>python_time_steps #</t>
  </si>
  <si>
    <t>simulation_time</t>
  </si>
  <si>
    <t>python_time_step</t>
  </si>
  <si>
    <t>ansys_min_step</t>
  </si>
  <si>
    <t>ansys_max_step</t>
  </si>
  <si>
    <t>max_#_substeps</t>
  </si>
  <si>
    <t>case 1D+1D+1D - quadrupole - conservative assumption</t>
  </si>
  <si>
    <t>rounded part negligible</t>
  </si>
  <si>
    <t>case 1D+1D+1D effective length and area</t>
  </si>
  <si>
    <t>effective_conduction_side</t>
  </si>
  <si>
    <t xml:space="preserve">winding_length </t>
  </si>
  <si>
    <t>no_insulation_elements</t>
  </si>
  <si>
    <t>total_insulation_area</t>
  </si>
  <si>
    <t>average_insulation_perimeter</t>
  </si>
  <si>
    <t xml:space="preserve">mm </t>
  </si>
  <si>
    <t>insulation_thickness</t>
  </si>
  <si>
    <t>effective_insulation_area</t>
  </si>
  <si>
    <t>insulation_volume</t>
  </si>
  <si>
    <t>element_insulation_area_constant (method1)</t>
  </si>
  <si>
    <t>element_insulation_area_constant (method2)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</si>
</sst>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4" xfId="0" applyFont="1" applyBorder="1"/>
    <xf numFmtId="0" fontId="3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4" xfId="0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lab/steam-ansys-modelling/quadrupole_experimental_results/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Quadrupole Measurements"/>
      <sheetName val="Quench Heaters Power"/>
      <sheetName val="Application of heat source"/>
      <sheetName val="Inductance"/>
    </sheetNames>
    <sheetDataSet>
      <sheetData sheetId="0" refreshError="1"/>
      <sheetData sheetId="1" refreshError="1"/>
      <sheetData sheetId="2">
        <row r="4">
          <cell r="K4">
            <v>50</v>
          </cell>
        </row>
        <row r="5">
          <cell r="K5">
            <v>8960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Normal="100" workbookViewId="0">
      <selection activeCell="H30" sqref="H30"/>
    </sheetView>
  </sheetViews>
  <sheetFormatPr defaultRowHeight="15" x14ac:dyDescent="0.25"/>
  <cols>
    <col min="2" max="2" width="27" bestFit="1" customWidth="1"/>
    <col min="3" max="3" width="12" bestFit="1" customWidth="1"/>
    <col min="6" max="6" width="12" bestFit="1" customWidth="1"/>
  </cols>
  <sheetData>
    <row r="2" spans="2:8" x14ac:dyDescent="0.25">
      <c r="B2" t="s">
        <v>32</v>
      </c>
      <c r="C2" s="2">
        <f>2.64581006294515E-07</f>
        <v>2.64581006294515E-7</v>
      </c>
      <c r="D2" t="s">
        <v>33</v>
      </c>
    </row>
    <row r="3" spans="2:8" x14ac:dyDescent="0.25">
      <c r="B3" t="s">
        <v>34</v>
      </c>
      <c r="C3">
        <v>1</v>
      </c>
      <c r="D3" t="s">
        <v>35</v>
      </c>
    </row>
    <row r="4" spans="2:8" x14ac:dyDescent="0.25">
      <c r="B4" t="s">
        <v>27</v>
      </c>
      <c r="C4">
        <f>'linear material properties'!C7</f>
        <v>2.5000000000000002E-10</v>
      </c>
      <c r="D4" t="s">
        <v>28</v>
      </c>
      <c r="F4" s="2"/>
    </row>
    <row r="5" spans="2:8" x14ac:dyDescent="0.25">
      <c r="B5" t="s">
        <v>51</v>
      </c>
      <c r="C5" s="2">
        <f>C4*C3/C2</f>
        <v>9.4489020017451931E-4</v>
      </c>
      <c r="D5" t="s">
        <v>52</v>
      </c>
    </row>
    <row r="6" spans="2:8" x14ac:dyDescent="0.25">
      <c r="B6" s="1" t="s">
        <v>36</v>
      </c>
      <c r="C6" s="1">
        <v>100</v>
      </c>
      <c r="D6" s="1" t="s">
        <v>37</v>
      </c>
    </row>
    <row r="7" spans="2:8" x14ac:dyDescent="0.25">
      <c r="B7" t="s">
        <v>55</v>
      </c>
      <c r="C7" s="2">
        <f>C5*C6</f>
        <v>9.4489020017451936E-2</v>
      </c>
      <c r="D7" t="s">
        <v>56</v>
      </c>
      <c r="E7" s="3"/>
    </row>
    <row r="9" spans="2:8" x14ac:dyDescent="0.25">
      <c r="B9" t="s">
        <v>38</v>
      </c>
      <c r="C9" s="2">
        <f>C5*C6^2</f>
        <v>9.4489020017451928</v>
      </c>
      <c r="D9" t="s">
        <v>39</v>
      </c>
      <c r="G9" s="2"/>
    </row>
    <row r="10" spans="2:8" x14ac:dyDescent="0.25">
      <c r="B10" t="s">
        <v>40</v>
      </c>
      <c r="C10">
        <v>0.5</v>
      </c>
      <c r="D10" t="s">
        <v>41</v>
      </c>
    </row>
    <row r="11" spans="2:8" x14ac:dyDescent="0.25">
      <c r="B11" t="s">
        <v>42</v>
      </c>
      <c r="C11">
        <f>C9*C10</f>
        <v>4.7244510008725964</v>
      </c>
      <c r="D11" t="s">
        <v>43</v>
      </c>
      <c r="G11" s="2"/>
    </row>
    <row r="13" spans="2:8" x14ac:dyDescent="0.25">
      <c r="B13" t="s">
        <v>50</v>
      </c>
      <c r="C13">
        <f>'linear material properties'!C13</f>
        <v>50</v>
      </c>
      <c r="D13" t="s">
        <v>44</v>
      </c>
    </row>
    <row r="14" spans="2:8" x14ac:dyDescent="0.25">
      <c r="B14" t="s">
        <v>46</v>
      </c>
      <c r="C14">
        <f>'linear material properties'!C4</f>
        <v>8960</v>
      </c>
      <c r="D14" t="s">
        <v>22</v>
      </c>
    </row>
    <row r="15" spans="2:8" x14ac:dyDescent="0.25">
      <c r="B15" t="s">
        <v>45</v>
      </c>
      <c r="C15" s="2">
        <f>C14*C3*C2</f>
        <v>2.3706458163988546E-3</v>
      </c>
      <c r="D15" t="s">
        <v>47</v>
      </c>
      <c r="G15" s="2"/>
      <c r="H15" s="2"/>
    </row>
    <row r="16" spans="2:8" x14ac:dyDescent="0.25">
      <c r="B16" t="s">
        <v>48</v>
      </c>
      <c r="C16" s="2">
        <f>C11/(C15*C13)</f>
        <v>39.857923677939418</v>
      </c>
      <c r="D16" t="s">
        <v>49</v>
      </c>
      <c r="G16" s="2"/>
    </row>
    <row r="17" spans="2:5" x14ac:dyDescent="0.25">
      <c r="B17" t="s">
        <v>57</v>
      </c>
      <c r="C17">
        <f>20</f>
        <v>20</v>
      </c>
      <c r="D17" t="s">
        <v>49</v>
      </c>
    </row>
    <row r="18" spans="2:5" x14ac:dyDescent="0.25">
      <c r="B18" s="3" t="s">
        <v>54</v>
      </c>
      <c r="C18" s="4">
        <f>C16+C17</f>
        <v>59.857923677939418</v>
      </c>
      <c r="D18" s="3" t="s">
        <v>49</v>
      </c>
      <c r="E18" s="3"/>
    </row>
    <row r="20" spans="2:5" x14ac:dyDescent="0.25">
      <c r="B20" t="s">
        <v>59</v>
      </c>
      <c r="C20">
        <f>'linear material properties'!C6</f>
        <v>2000</v>
      </c>
      <c r="D20" t="s">
        <v>26</v>
      </c>
    </row>
    <row r="21" spans="2:5" x14ac:dyDescent="0.25">
      <c r="B21" t="s">
        <v>58</v>
      </c>
      <c r="C21">
        <f>C20/(C14*C13)*10000</f>
        <v>44.642857142857139</v>
      </c>
      <c r="D2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C14" sqref="C14"/>
    </sheetView>
  </sheetViews>
  <sheetFormatPr defaultRowHeight="15" x14ac:dyDescent="0.25"/>
  <cols>
    <col min="2" max="2" width="25.7109375" bestFit="1" customWidth="1"/>
  </cols>
  <sheetData>
    <row r="2" spans="2:4" x14ac:dyDescent="0.25">
      <c r="B2" t="s">
        <v>92</v>
      </c>
      <c r="C2" s="2">
        <v>9.41E-4</v>
      </c>
      <c r="D2" t="s">
        <v>90</v>
      </c>
    </row>
    <row r="3" spans="2:4" x14ac:dyDescent="0.25">
      <c r="B3" t="s">
        <v>91</v>
      </c>
      <c r="C3">
        <f>5</f>
        <v>5</v>
      </c>
    </row>
    <row r="4" spans="2:4" x14ac:dyDescent="0.25">
      <c r="B4" t="s">
        <v>93</v>
      </c>
      <c r="C4" s="2">
        <f>C2/C3</f>
        <v>1.8819999999999999E-4</v>
      </c>
      <c r="D4" t="s">
        <v>90</v>
      </c>
    </row>
    <row r="6" spans="2:4" x14ac:dyDescent="0.25">
      <c r="B6" t="s">
        <v>95</v>
      </c>
      <c r="C6">
        <v>0.15</v>
      </c>
      <c r="D6" t="s">
        <v>41</v>
      </c>
    </row>
    <row r="7" spans="2:4" x14ac:dyDescent="0.25">
      <c r="B7" t="s">
        <v>94</v>
      </c>
      <c r="C7">
        <v>20</v>
      </c>
    </row>
    <row r="8" spans="2:4" x14ac:dyDescent="0.25">
      <c r="B8" t="s">
        <v>96</v>
      </c>
      <c r="C8">
        <f>C6/C7</f>
        <v>7.4999999999999997E-3</v>
      </c>
      <c r="D8" t="s">
        <v>41</v>
      </c>
    </row>
    <row r="9" spans="2:4" x14ac:dyDescent="0.25">
      <c r="B9" t="s">
        <v>97</v>
      </c>
      <c r="C9" s="2">
        <f>0.0001</f>
        <v>1E-4</v>
      </c>
      <c r="D9" t="s">
        <v>41</v>
      </c>
    </row>
    <row r="10" spans="2:4" x14ac:dyDescent="0.25">
      <c r="B10" t="s">
        <v>98</v>
      </c>
      <c r="C10" s="2">
        <v>1E-3</v>
      </c>
      <c r="D10" t="s">
        <v>41</v>
      </c>
    </row>
    <row r="12" spans="2:4" x14ac:dyDescent="0.25">
      <c r="B12" t="s">
        <v>99</v>
      </c>
      <c r="C12" s="5">
        <f>C8/C9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12" bestFit="1" customWidth="1"/>
  </cols>
  <sheetData>
    <row r="2" spans="2:4" x14ac:dyDescent="0.25">
      <c r="B2" t="s">
        <v>32</v>
      </c>
      <c r="C2" s="2">
        <v>9.9999999999999995E-8</v>
      </c>
      <c r="D2" t="s">
        <v>33</v>
      </c>
    </row>
    <row r="3" spans="2:4" x14ac:dyDescent="0.25">
      <c r="B3" t="s">
        <v>34</v>
      </c>
      <c r="C3">
        <v>0.1</v>
      </c>
      <c r="D3" t="s">
        <v>35</v>
      </c>
    </row>
    <row r="4" spans="2:4" x14ac:dyDescent="0.25">
      <c r="B4" t="s">
        <v>27</v>
      </c>
      <c r="C4">
        <f>'linear material properties'!C7</f>
        <v>2.5000000000000002E-10</v>
      </c>
      <c r="D4" t="s">
        <v>28</v>
      </c>
    </row>
    <row r="5" spans="2:4" x14ac:dyDescent="0.25">
      <c r="B5" t="s">
        <v>51</v>
      </c>
      <c r="C5" s="2">
        <f>C4*C3/C2</f>
        <v>2.5000000000000006E-4</v>
      </c>
      <c r="D5" t="s">
        <v>52</v>
      </c>
    </row>
    <row r="6" spans="2:4" x14ac:dyDescent="0.25">
      <c r="B6" s="1" t="s">
        <v>36</v>
      </c>
      <c r="C6" s="6">
        <v>50</v>
      </c>
      <c r="D6" s="1" t="s">
        <v>37</v>
      </c>
    </row>
    <row r="7" spans="2:4" x14ac:dyDescent="0.25">
      <c r="B7" t="s">
        <v>55</v>
      </c>
      <c r="C7" s="5">
        <f>C5*C6</f>
        <v>1.2500000000000002E-2</v>
      </c>
      <c r="D7" t="s">
        <v>56</v>
      </c>
    </row>
    <row r="8" spans="2:4" x14ac:dyDescent="0.25">
      <c r="C8" s="5"/>
    </row>
    <row r="9" spans="2:4" x14ac:dyDescent="0.25">
      <c r="B9" t="s">
        <v>80</v>
      </c>
      <c r="C9" s="5">
        <v>101</v>
      </c>
      <c r="D9" t="s">
        <v>3</v>
      </c>
    </row>
    <row r="10" spans="2:4" x14ac:dyDescent="0.25">
      <c r="B10" t="s">
        <v>81</v>
      </c>
      <c r="C10" s="5">
        <v>1E-3</v>
      </c>
    </row>
    <row r="11" spans="2:4" x14ac:dyDescent="0.25">
      <c r="B11" t="s">
        <v>82</v>
      </c>
      <c r="C11" s="5">
        <f>C10*C9</f>
        <v>0.10100000000000001</v>
      </c>
      <c r="D11" t="s">
        <v>39</v>
      </c>
    </row>
    <row r="12" spans="2:4" x14ac:dyDescent="0.25">
      <c r="B12" t="s">
        <v>40</v>
      </c>
      <c r="C12" s="5">
        <v>1</v>
      </c>
      <c r="D12" t="s">
        <v>41</v>
      </c>
    </row>
    <row r="13" spans="2:4" x14ac:dyDescent="0.25">
      <c r="B13" t="s">
        <v>42</v>
      </c>
      <c r="C13" s="5">
        <f>C11*C12</f>
        <v>0.10100000000000001</v>
      </c>
      <c r="D13" t="s">
        <v>43</v>
      </c>
    </row>
    <row r="14" spans="2:4" x14ac:dyDescent="0.25">
      <c r="C14" s="5"/>
    </row>
    <row r="15" spans="2:4" x14ac:dyDescent="0.25">
      <c r="B15" t="s">
        <v>83</v>
      </c>
      <c r="C15" s="5">
        <f>C5*C6^2</f>
        <v>0.62500000000000011</v>
      </c>
      <c r="D15" t="s">
        <v>39</v>
      </c>
    </row>
    <row r="16" spans="2:4" x14ac:dyDescent="0.25">
      <c r="B16" t="s">
        <v>42</v>
      </c>
      <c r="C16" s="5">
        <f>C15*C12</f>
        <v>0.62500000000000011</v>
      </c>
      <c r="D16" t="s">
        <v>43</v>
      </c>
    </row>
    <row r="17" spans="2:4" x14ac:dyDescent="0.25">
      <c r="C17" s="5"/>
    </row>
    <row r="18" spans="2:4" x14ac:dyDescent="0.25">
      <c r="B18" t="s">
        <v>84</v>
      </c>
      <c r="C18" s="5">
        <f>C16+C13</f>
        <v>0.72600000000000009</v>
      </c>
    </row>
    <row r="19" spans="2:4" x14ac:dyDescent="0.25">
      <c r="C19" s="5"/>
    </row>
    <row r="20" spans="2:4" x14ac:dyDescent="0.25">
      <c r="C20" s="5"/>
    </row>
    <row r="21" spans="2:4" x14ac:dyDescent="0.25">
      <c r="C21" s="5"/>
    </row>
    <row r="22" spans="2:4" x14ac:dyDescent="0.25">
      <c r="B22" t="s">
        <v>45</v>
      </c>
      <c r="C22" s="5">
        <f>'[1]Quench Heaters Power'!K5*C3*C2</f>
        <v>8.9599999999999996E-5</v>
      </c>
      <c r="D22" t="s">
        <v>47</v>
      </c>
    </row>
    <row r="23" spans="2:4" x14ac:dyDescent="0.25">
      <c r="B23" t="s">
        <v>48</v>
      </c>
      <c r="C23" s="5">
        <f>C18/(C22*'[1]Quench Heaters Power'!K4)</f>
        <v>162.05357142857147</v>
      </c>
      <c r="D23" t="s">
        <v>49</v>
      </c>
    </row>
    <row r="24" spans="2:4" x14ac:dyDescent="0.25">
      <c r="B24" t="s">
        <v>57</v>
      </c>
      <c r="C24" s="5">
        <f>20</f>
        <v>20</v>
      </c>
      <c r="D24" t="s">
        <v>49</v>
      </c>
    </row>
    <row r="25" spans="2:4" x14ac:dyDescent="0.25">
      <c r="B25" s="3" t="s">
        <v>54</v>
      </c>
      <c r="C25" s="4">
        <f>C23+C24</f>
        <v>182.05357142857147</v>
      </c>
      <c r="D25" s="3" t="s">
        <v>49</v>
      </c>
    </row>
    <row r="26" spans="2:4" x14ac:dyDescent="0.25">
      <c r="C26" s="5"/>
    </row>
    <row r="27" spans="2:4" x14ac:dyDescent="0.25">
      <c r="B27" t="s">
        <v>59</v>
      </c>
      <c r="C27" s="5">
        <f>'linear material properties'!C6</f>
        <v>2000</v>
      </c>
      <c r="D27" t="s">
        <v>26</v>
      </c>
    </row>
    <row r="28" spans="2:4" x14ac:dyDescent="0.25">
      <c r="B28" t="s">
        <v>58</v>
      </c>
      <c r="C28" s="5">
        <f>C27/('[1]Quench Heaters Power'!K5*'[1]Quench Heaters Power'!K4)*10000</f>
        <v>44.642857142857139</v>
      </c>
      <c r="D2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4"/>
  <sheetViews>
    <sheetView tabSelected="1" topLeftCell="A4" workbookViewId="0">
      <selection activeCell="J10" sqref="J10"/>
    </sheetView>
  </sheetViews>
  <sheetFormatPr defaultRowHeight="15" x14ac:dyDescent="0.25"/>
  <cols>
    <col min="2" max="2" width="43.5703125" bestFit="1" customWidth="1"/>
    <col min="3" max="3" width="12" bestFit="1" customWidth="1"/>
    <col min="5" max="5" width="5" customWidth="1"/>
    <col min="6" max="6" width="17.7109375" bestFit="1" customWidth="1"/>
    <col min="7" max="7" width="11.7109375" bestFit="1" customWidth="1"/>
    <col min="8" max="8" width="19.7109375" bestFit="1" customWidth="1"/>
  </cols>
  <sheetData>
    <row r="1" spans="2:4" ht="15.75" thickBot="1" x14ac:dyDescent="0.3"/>
    <row r="2" spans="2:4" x14ac:dyDescent="0.25">
      <c r="B2" s="28" t="s">
        <v>18</v>
      </c>
      <c r="C2" s="29"/>
      <c r="D2" s="30"/>
    </row>
    <row r="3" spans="2:4" x14ac:dyDescent="0.25">
      <c r="B3" s="7" t="s">
        <v>0</v>
      </c>
      <c r="C3" s="8">
        <v>0.7</v>
      </c>
      <c r="D3" s="9" t="s">
        <v>1</v>
      </c>
    </row>
    <row r="4" spans="2:4" x14ac:dyDescent="0.25">
      <c r="B4" s="7" t="s">
        <v>4</v>
      </c>
      <c r="C4" s="8">
        <f xml:space="preserve"> C3^2/4*PI()</f>
        <v>0.38484510006474959</v>
      </c>
      <c r="D4" s="9" t="s">
        <v>5</v>
      </c>
    </row>
    <row r="5" spans="2:4" x14ac:dyDescent="0.25">
      <c r="B5" s="7" t="s">
        <v>2</v>
      </c>
      <c r="C5" s="8">
        <v>0.94099999999999995</v>
      </c>
      <c r="D5" s="9" t="s">
        <v>1</v>
      </c>
    </row>
    <row r="6" spans="2:4" x14ac:dyDescent="0.25">
      <c r="B6" s="7" t="s">
        <v>6</v>
      </c>
      <c r="C6" s="8">
        <f>C5^2</f>
        <v>0.88548099999999985</v>
      </c>
      <c r="D6" s="9" t="s">
        <v>5</v>
      </c>
    </row>
    <row r="7" spans="2:4" x14ac:dyDescent="0.25">
      <c r="B7" s="10" t="s">
        <v>17</v>
      </c>
      <c r="C7" s="11">
        <v>1000</v>
      </c>
      <c r="D7" s="12" t="s">
        <v>1</v>
      </c>
    </row>
    <row r="8" spans="2:4" x14ac:dyDescent="0.25">
      <c r="B8" s="7" t="s">
        <v>7</v>
      </c>
      <c r="C8" s="8">
        <f>(C6-C4)*C7</f>
        <v>500.63589993525028</v>
      </c>
      <c r="D8" s="9" t="s">
        <v>8</v>
      </c>
    </row>
    <row r="9" spans="2:4" x14ac:dyDescent="0.25">
      <c r="B9" s="7" t="s">
        <v>10</v>
      </c>
      <c r="C9" s="8">
        <v>5</v>
      </c>
      <c r="D9" s="9" t="s">
        <v>3</v>
      </c>
    </row>
    <row r="10" spans="2:4" x14ac:dyDescent="0.25">
      <c r="B10" s="7" t="s">
        <v>11</v>
      </c>
      <c r="C10" s="8">
        <f>C9*C8</f>
        <v>2503.1794996762515</v>
      </c>
      <c r="D10" s="9" t="s">
        <v>8</v>
      </c>
    </row>
    <row r="11" spans="2:4" x14ac:dyDescent="0.25">
      <c r="B11" s="7"/>
      <c r="C11" s="8"/>
      <c r="D11" s="9"/>
    </row>
    <row r="12" spans="2:4" x14ac:dyDescent="0.25">
      <c r="B12" s="10" t="s">
        <v>12</v>
      </c>
      <c r="C12" s="11">
        <v>100</v>
      </c>
      <c r="D12" s="9"/>
    </row>
    <row r="13" spans="2:4" x14ac:dyDescent="0.25">
      <c r="B13" s="7" t="s">
        <v>13</v>
      </c>
      <c r="C13" s="8">
        <f>C12+1</f>
        <v>101</v>
      </c>
      <c r="D13" s="9"/>
    </row>
    <row r="14" spans="2:4" x14ac:dyDescent="0.25">
      <c r="B14" s="7" t="s">
        <v>14</v>
      </c>
      <c r="C14" s="8">
        <f>C13*(C9-1)</f>
        <v>404</v>
      </c>
      <c r="D14" s="9"/>
    </row>
    <row r="15" spans="2:4" x14ac:dyDescent="0.25">
      <c r="B15" s="7" t="s">
        <v>15</v>
      </c>
      <c r="C15" s="8">
        <f>C10/C14</f>
        <v>6.195988860584781</v>
      </c>
      <c r="D15" s="9" t="s">
        <v>8</v>
      </c>
    </row>
    <row r="16" spans="2:4" x14ac:dyDescent="0.25">
      <c r="B16" s="7" t="s">
        <v>9</v>
      </c>
      <c r="C16" s="8">
        <v>0.94099999999999995</v>
      </c>
      <c r="D16" s="9" t="s">
        <v>1</v>
      </c>
    </row>
    <row r="17" spans="2:8" x14ac:dyDescent="0.25">
      <c r="B17" s="7" t="s">
        <v>16</v>
      </c>
      <c r="C17" s="8">
        <f>C15/C16</f>
        <v>6.5844727530125198</v>
      </c>
      <c r="D17" s="9" t="s">
        <v>5</v>
      </c>
    </row>
    <row r="18" spans="2:8" ht="15.75" thickBot="1" x14ac:dyDescent="0.3">
      <c r="B18" s="13" t="s">
        <v>16</v>
      </c>
      <c r="C18" s="14">
        <f>C17*0.000001</f>
        <v>6.5844727530125191E-6</v>
      </c>
      <c r="D18" s="15" t="s">
        <v>33</v>
      </c>
    </row>
    <row r="19" spans="2:8" ht="15.75" thickBot="1" x14ac:dyDescent="0.3"/>
    <row r="20" spans="2:8" x14ac:dyDescent="0.25">
      <c r="B20" s="28" t="s">
        <v>61</v>
      </c>
      <c r="C20" s="29"/>
      <c r="D20" s="29"/>
      <c r="E20" s="29"/>
      <c r="F20" s="29"/>
      <c r="G20" s="29"/>
      <c r="H20" s="30"/>
    </row>
    <row r="21" spans="2:8" x14ac:dyDescent="0.25">
      <c r="B21" s="7" t="s">
        <v>62</v>
      </c>
      <c r="C21" s="8">
        <v>413.21</v>
      </c>
      <c r="D21" s="8" t="s">
        <v>1</v>
      </c>
      <c r="E21" s="8"/>
      <c r="F21" s="8" t="s">
        <v>71</v>
      </c>
      <c r="G21" s="8" t="s">
        <v>72</v>
      </c>
      <c r="H21" s="9" t="s">
        <v>73</v>
      </c>
    </row>
    <row r="22" spans="2:8" x14ac:dyDescent="0.25">
      <c r="B22" s="7" t="s">
        <v>63</v>
      </c>
      <c r="C22" s="8">
        <v>126.81</v>
      </c>
      <c r="D22" s="8" t="s">
        <v>1</v>
      </c>
      <c r="E22" s="8"/>
      <c r="F22" s="8">
        <v>1</v>
      </c>
      <c r="G22" s="8">
        <f>C23</f>
        <v>9.15</v>
      </c>
      <c r="H22" s="9">
        <f>$C$28*(2*$C$21+2*$C$22+PI()*G22^2)</f>
        <v>6715.3099547008569</v>
      </c>
    </row>
    <row r="23" spans="2:8" x14ac:dyDescent="0.25">
      <c r="B23" s="7" t="s">
        <v>64</v>
      </c>
      <c r="C23" s="8">
        <f>(9+0.15)</f>
        <v>9.15</v>
      </c>
      <c r="D23" s="8" t="s">
        <v>1</v>
      </c>
      <c r="E23" s="8"/>
      <c r="F23" s="8">
        <v>2</v>
      </c>
      <c r="G23" s="8">
        <f>G22+$C$5</f>
        <v>10.091000000000001</v>
      </c>
      <c r="H23" s="9">
        <f>$C$28*(2*$C$21+2*$C$22+PI()*G23^2)</f>
        <v>6999.7148975863856</v>
      </c>
    </row>
    <row r="24" spans="2:8" x14ac:dyDescent="0.25">
      <c r="B24" s="7" t="s">
        <v>65</v>
      </c>
      <c r="C24" s="8">
        <v>100</v>
      </c>
      <c r="D24" s="8" t="s">
        <v>3</v>
      </c>
      <c r="E24" s="8"/>
      <c r="F24" s="8">
        <v>3</v>
      </c>
      <c r="G24" s="8">
        <f>G23+$C$5</f>
        <v>11.032000000000002</v>
      </c>
      <c r="H24" s="9">
        <f t="shared" ref="H24:H25" si="0">$C$28*(2*$C$21+2*$C$22+PI()*G24^2)</f>
        <v>7311.9380465168479</v>
      </c>
    </row>
    <row r="25" spans="2:8" x14ac:dyDescent="0.25">
      <c r="B25" s="7" t="s">
        <v>66</v>
      </c>
      <c r="C25" s="8">
        <v>30</v>
      </c>
      <c r="D25" s="8" t="s">
        <v>3</v>
      </c>
      <c r="E25" s="8"/>
      <c r="F25" s="8">
        <v>4</v>
      </c>
      <c r="G25" s="8">
        <f>G24+$C$5</f>
        <v>11.973000000000003</v>
      </c>
      <c r="H25" s="9">
        <f t="shared" si="0"/>
        <v>7651.9794014922436</v>
      </c>
    </row>
    <row r="26" spans="2:8" x14ac:dyDescent="0.25">
      <c r="B26" s="7" t="s">
        <v>67</v>
      </c>
      <c r="C26" s="8">
        <v>5</v>
      </c>
      <c r="D26" s="8" t="s">
        <v>3</v>
      </c>
      <c r="E26" s="8"/>
      <c r="F26" s="8"/>
      <c r="G26" s="8"/>
      <c r="H26" s="9"/>
    </row>
    <row r="27" spans="2:8" x14ac:dyDescent="0.25">
      <c r="B27" s="7" t="s">
        <v>10</v>
      </c>
      <c r="C27" s="8">
        <v>45</v>
      </c>
      <c r="D27" s="8" t="s">
        <v>3</v>
      </c>
      <c r="E27" s="8"/>
      <c r="F27" s="8"/>
      <c r="G27" s="8"/>
      <c r="H27" s="9"/>
    </row>
    <row r="28" spans="2:8" x14ac:dyDescent="0.25">
      <c r="B28" s="7" t="s">
        <v>68</v>
      </c>
      <c r="C28" s="8">
        <v>5</v>
      </c>
      <c r="D28" s="8" t="s">
        <v>3</v>
      </c>
      <c r="E28" s="8"/>
      <c r="F28" s="8"/>
      <c r="G28" s="8"/>
      <c r="H28" s="9"/>
    </row>
    <row r="29" spans="2:8" x14ac:dyDescent="0.25">
      <c r="B29" s="7" t="s">
        <v>69</v>
      </c>
      <c r="C29" s="8">
        <v>9</v>
      </c>
      <c r="D29" s="8" t="s">
        <v>3</v>
      </c>
      <c r="E29" s="8"/>
      <c r="F29" s="8"/>
      <c r="G29" s="8"/>
      <c r="H29" s="9"/>
    </row>
    <row r="30" spans="2:8" x14ac:dyDescent="0.25">
      <c r="B30" s="16" t="s">
        <v>70</v>
      </c>
      <c r="C30" s="17">
        <f>SUM(H22:H27)</f>
        <v>28678.942300296334</v>
      </c>
      <c r="D30" s="17" t="s">
        <v>1</v>
      </c>
      <c r="E30" s="8"/>
      <c r="F30" s="8"/>
      <c r="G30" s="8"/>
      <c r="H30" s="9"/>
    </row>
    <row r="31" spans="2:8" x14ac:dyDescent="0.25">
      <c r="B31" s="7" t="s">
        <v>74</v>
      </c>
      <c r="C31" s="8">
        <f>C30*(C6-C4)</f>
        <v>14357.708087699972</v>
      </c>
      <c r="D31" s="8" t="s">
        <v>8</v>
      </c>
      <c r="E31" s="8"/>
      <c r="F31" s="8"/>
      <c r="G31" s="8"/>
      <c r="H31" s="9"/>
    </row>
    <row r="32" spans="2:8" x14ac:dyDescent="0.25">
      <c r="B32" s="7" t="s">
        <v>12</v>
      </c>
      <c r="C32" s="8">
        <f>(2*C24+2*C25)</f>
        <v>260</v>
      </c>
      <c r="D32" s="8"/>
      <c r="E32" s="8"/>
      <c r="F32" s="8"/>
      <c r="G32" s="8"/>
      <c r="H32" s="9"/>
    </row>
    <row r="33" spans="2:8" x14ac:dyDescent="0.25">
      <c r="B33" s="7" t="s">
        <v>75</v>
      </c>
      <c r="C33" s="8">
        <f>(C32+1)*(C28-1)*C29</f>
        <v>9396</v>
      </c>
      <c r="D33" s="8"/>
      <c r="E33" s="8"/>
      <c r="F33" s="8"/>
      <c r="G33" s="8"/>
      <c r="H33" s="9"/>
    </row>
    <row r="34" spans="2:8" x14ac:dyDescent="0.25">
      <c r="B34" s="7" t="s">
        <v>76</v>
      </c>
      <c r="C34" s="8">
        <f>(C29-1)*(C32+1)*C28</f>
        <v>10440</v>
      </c>
      <c r="D34" s="8"/>
      <c r="E34" s="8"/>
      <c r="F34" s="8"/>
      <c r="G34" s="8"/>
      <c r="H34" s="9"/>
    </row>
    <row r="35" spans="2:8" x14ac:dyDescent="0.25">
      <c r="B35" s="7" t="s">
        <v>77</v>
      </c>
      <c r="C35" s="8">
        <f>SUM(C33:C34)</f>
        <v>19836</v>
      </c>
      <c r="D35" s="8"/>
      <c r="E35" s="8"/>
      <c r="F35" s="8"/>
      <c r="G35" s="8"/>
      <c r="H35" s="9"/>
    </row>
    <row r="36" spans="2:8" x14ac:dyDescent="0.25">
      <c r="B36" s="7" t="s">
        <v>78</v>
      </c>
      <c r="C36" s="8">
        <f>C31/C35</f>
        <v>0.72382073440713712</v>
      </c>
      <c r="D36" s="8" t="s">
        <v>8</v>
      </c>
      <c r="E36" s="8"/>
      <c r="F36" s="8"/>
      <c r="G36" s="8"/>
      <c r="H36" s="9"/>
    </row>
    <row r="37" spans="2:8" x14ac:dyDescent="0.25">
      <c r="B37" s="7" t="s">
        <v>9</v>
      </c>
      <c r="C37" s="8">
        <v>0.94099999999999995</v>
      </c>
      <c r="D37" s="8" t="s">
        <v>1</v>
      </c>
      <c r="E37" s="8"/>
      <c r="F37" s="8"/>
      <c r="G37" s="8"/>
      <c r="H37" s="9"/>
    </row>
    <row r="38" spans="2:8" x14ac:dyDescent="0.25">
      <c r="B38" s="7" t="s">
        <v>79</v>
      </c>
      <c r="C38" s="8">
        <f>C36/C37</f>
        <v>0.76920375601183544</v>
      </c>
      <c r="D38" s="8" t="s">
        <v>5</v>
      </c>
      <c r="E38" s="8"/>
      <c r="F38" s="8"/>
      <c r="G38" s="8"/>
      <c r="H38" s="9"/>
    </row>
    <row r="39" spans="2:8" ht="15.75" thickBot="1" x14ac:dyDescent="0.3">
      <c r="B39" s="13" t="s">
        <v>79</v>
      </c>
      <c r="C39" s="14">
        <f>C38*0.000001</f>
        <v>7.6920375601183543E-7</v>
      </c>
      <c r="D39" s="14" t="s">
        <v>33</v>
      </c>
      <c r="E39" s="18"/>
      <c r="F39" s="18"/>
      <c r="G39" s="18"/>
      <c r="H39" s="19"/>
    </row>
    <row r="41" spans="2:8" ht="15.75" thickBot="1" x14ac:dyDescent="0.3"/>
    <row r="42" spans="2:8" x14ac:dyDescent="0.25">
      <c r="B42" s="28" t="s">
        <v>100</v>
      </c>
      <c r="C42" s="29"/>
      <c r="D42" s="29"/>
      <c r="E42" s="29"/>
      <c r="F42" s="30"/>
    </row>
    <row r="43" spans="2:8" x14ac:dyDescent="0.25">
      <c r="B43" s="7" t="s">
        <v>70</v>
      </c>
      <c r="C43" s="8">
        <f>(C27)*(2*C21+2*C22)</f>
        <v>48601.799999999996</v>
      </c>
      <c r="D43" s="8" t="s">
        <v>1</v>
      </c>
      <c r="E43" s="20" t="s">
        <v>101</v>
      </c>
      <c r="F43" s="21"/>
    </row>
    <row r="44" spans="2:8" x14ac:dyDescent="0.25">
      <c r="B44" s="7" t="s">
        <v>74</v>
      </c>
      <c r="C44" s="8">
        <f>C43*(C6-C4)</f>
        <v>24331.805881473043</v>
      </c>
      <c r="D44" s="8" t="s">
        <v>8</v>
      </c>
      <c r="E44" s="8"/>
      <c r="F44" s="9"/>
    </row>
    <row r="45" spans="2:8" x14ac:dyDescent="0.25">
      <c r="B45" s="7" t="s">
        <v>12</v>
      </c>
      <c r="C45" s="8">
        <f>2*C24+2*C25</f>
        <v>260</v>
      </c>
      <c r="D45" s="8"/>
      <c r="E45" s="8"/>
      <c r="F45" s="9"/>
    </row>
    <row r="46" spans="2:8" x14ac:dyDescent="0.25">
      <c r="B46" s="7" t="s">
        <v>75</v>
      </c>
      <c r="C46" s="8">
        <f>(C28-1)*(C45+1)*C29</f>
        <v>9396</v>
      </c>
      <c r="D46" s="8"/>
      <c r="E46" s="8"/>
      <c r="F46" s="9"/>
    </row>
    <row r="47" spans="2:8" x14ac:dyDescent="0.25">
      <c r="B47" s="7" t="s">
        <v>76</v>
      </c>
      <c r="C47" s="8">
        <f>(C29-1)*(C45+1)*C28</f>
        <v>10440</v>
      </c>
      <c r="D47" s="8"/>
      <c r="E47" s="8"/>
      <c r="F47" s="9"/>
    </row>
    <row r="48" spans="2:8" x14ac:dyDescent="0.25">
      <c r="B48" s="7" t="s">
        <v>77</v>
      </c>
      <c r="C48" s="8">
        <f>SUM(C46:C47)</f>
        <v>19836</v>
      </c>
      <c r="D48" s="8"/>
      <c r="E48" s="8"/>
      <c r="F48" s="9"/>
    </row>
    <row r="49" spans="2:6" x14ac:dyDescent="0.25">
      <c r="B49" s="7" t="s">
        <v>78</v>
      </c>
      <c r="C49" s="8">
        <f>C44/C48</f>
        <v>1.226648814351333</v>
      </c>
      <c r="D49" s="8" t="s">
        <v>8</v>
      </c>
      <c r="E49" s="8"/>
      <c r="F49" s="9"/>
    </row>
    <row r="50" spans="2:6" x14ac:dyDescent="0.25">
      <c r="B50" s="7" t="s">
        <v>9</v>
      </c>
      <c r="C50" s="8">
        <f>C37</f>
        <v>0.94099999999999995</v>
      </c>
      <c r="D50" s="8" t="s">
        <v>1</v>
      </c>
      <c r="E50" s="8"/>
      <c r="F50" s="9"/>
    </row>
    <row r="51" spans="2:6" x14ac:dyDescent="0.25">
      <c r="B51" s="7" t="s">
        <v>79</v>
      </c>
      <c r="C51" s="8">
        <f>C49/C50</f>
        <v>1.3035587825200139</v>
      </c>
      <c r="D51" s="8" t="s">
        <v>5</v>
      </c>
      <c r="E51" s="8"/>
      <c r="F51" s="9"/>
    </row>
    <row r="52" spans="2:6" ht="15.75" thickBot="1" x14ac:dyDescent="0.3">
      <c r="B52" s="13" t="s">
        <v>79</v>
      </c>
      <c r="C52" s="14">
        <f>C51*0.000001</f>
        <v>1.3035587825200137E-6</v>
      </c>
      <c r="D52" s="14" t="s">
        <v>33</v>
      </c>
      <c r="E52" s="18"/>
      <c r="F52" s="19"/>
    </row>
    <row r="53" spans="2:6" ht="15.75" thickBot="1" x14ac:dyDescent="0.3"/>
    <row r="54" spans="2:6" x14ac:dyDescent="0.25">
      <c r="B54" s="28" t="s">
        <v>102</v>
      </c>
      <c r="C54" s="29"/>
      <c r="D54" s="29"/>
      <c r="E54" s="29"/>
      <c r="F54" s="30"/>
    </row>
    <row r="55" spans="2:6" x14ac:dyDescent="0.25">
      <c r="B55" s="7" t="s">
        <v>106</v>
      </c>
      <c r="C55" s="8">
        <f>C6-C4</f>
        <v>0.50063589993525026</v>
      </c>
      <c r="D55" s="8" t="s">
        <v>5</v>
      </c>
      <c r="E55" s="8"/>
      <c r="F55" s="9"/>
    </row>
    <row r="56" spans="2:6" x14ac:dyDescent="0.25">
      <c r="B56" s="7" t="s">
        <v>107</v>
      </c>
      <c r="C56" s="8">
        <f>(C3*PI()+4*C5)/2</f>
        <v>2.9815574287564273</v>
      </c>
      <c r="D56" s="8" t="s">
        <v>108</v>
      </c>
      <c r="E56" s="8"/>
      <c r="F56" s="9"/>
    </row>
    <row r="57" spans="2:6" x14ac:dyDescent="0.25">
      <c r="B57" s="7" t="s">
        <v>103</v>
      </c>
      <c r="C57" s="8">
        <f>C56/4</f>
        <v>0.74538935718910682</v>
      </c>
      <c r="D57" s="8" t="s">
        <v>1</v>
      </c>
      <c r="E57" s="8"/>
      <c r="F57" s="9"/>
    </row>
    <row r="58" spans="2:6" x14ac:dyDescent="0.25">
      <c r="B58" s="7" t="s">
        <v>109</v>
      </c>
      <c r="C58" s="8">
        <f>C55/C56</f>
        <v>0.16791086936871769</v>
      </c>
      <c r="D58" s="8" t="s">
        <v>1</v>
      </c>
      <c r="E58" s="8"/>
      <c r="F58" s="9"/>
    </row>
    <row r="59" spans="2:6" x14ac:dyDescent="0.25">
      <c r="B59" s="7" t="s">
        <v>110</v>
      </c>
      <c r="C59" s="8">
        <f>C55/4</f>
        <v>0.12515897498381257</v>
      </c>
      <c r="D59" s="8" t="s">
        <v>5</v>
      </c>
      <c r="E59" s="8"/>
      <c r="F59" s="9"/>
    </row>
    <row r="60" spans="2:6" x14ac:dyDescent="0.25">
      <c r="B60" s="7" t="s">
        <v>104</v>
      </c>
      <c r="C60" s="8">
        <f>(2*C22+2*C21)</f>
        <v>1080.04</v>
      </c>
      <c r="D60" s="8" t="s">
        <v>1</v>
      </c>
      <c r="E60" s="8"/>
      <c r="F60" s="9"/>
    </row>
    <row r="61" spans="2:6" x14ac:dyDescent="0.25">
      <c r="B61" s="7" t="s">
        <v>105</v>
      </c>
      <c r="C61" s="8">
        <f>2*(1+C24)+2*(1+C25)</f>
        <v>264</v>
      </c>
      <c r="D61" s="8" t="s">
        <v>3</v>
      </c>
      <c r="E61" s="8"/>
      <c r="F61" s="9"/>
    </row>
    <row r="62" spans="2:6" x14ac:dyDescent="0.25">
      <c r="B62" s="24" t="s">
        <v>111</v>
      </c>
      <c r="C62" s="8">
        <f>C60*C59</f>
        <v>135.17669934151692</v>
      </c>
      <c r="D62" s="22" t="s">
        <v>8</v>
      </c>
      <c r="E62" s="8"/>
      <c r="F62" s="9"/>
    </row>
    <row r="63" spans="2:6" x14ac:dyDescent="0.25">
      <c r="B63" s="25" t="s">
        <v>112</v>
      </c>
      <c r="C63" s="11">
        <f>(C62/C58)/C61*0.001^2</f>
        <v>3.0494330353731926E-6</v>
      </c>
      <c r="D63" s="23" t="s">
        <v>33</v>
      </c>
      <c r="E63" s="8"/>
      <c r="F63" s="9"/>
    </row>
    <row r="64" spans="2:6" ht="15.75" thickBot="1" x14ac:dyDescent="0.3">
      <c r="B64" s="26" t="s">
        <v>113</v>
      </c>
      <c r="C64" s="14">
        <f>C57*C60/C61*0.001^2</f>
        <v>3.0494330353731922E-6</v>
      </c>
      <c r="D64" s="27" t="s">
        <v>33</v>
      </c>
      <c r="E64" s="18"/>
      <c r="F64" s="19"/>
    </row>
  </sheetData>
  <mergeCells count="5">
    <mergeCell ref="B2:D2"/>
    <mergeCell ref="E43:F43"/>
    <mergeCell ref="B54:F54"/>
    <mergeCell ref="B42:F42"/>
    <mergeCell ref="B20:H2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G34" sqref="G34"/>
    </sheetView>
  </sheetViews>
  <sheetFormatPr defaultRowHeight="15" x14ac:dyDescent="0.25"/>
  <cols>
    <col min="2" max="2" width="11.85546875" customWidth="1"/>
  </cols>
  <sheetData>
    <row r="2" spans="2:4" x14ac:dyDescent="0.25">
      <c r="B2" t="s">
        <v>85</v>
      </c>
      <c r="C2">
        <v>9.1999999999999993</v>
      </c>
      <c r="D2" t="s">
        <v>49</v>
      </c>
    </row>
    <row r="3" spans="2:4" x14ac:dyDescent="0.25">
      <c r="B3" t="s">
        <v>86</v>
      </c>
      <c r="C3">
        <v>14.5</v>
      </c>
      <c r="D3" t="s">
        <v>87</v>
      </c>
    </row>
    <row r="4" spans="2:4" x14ac:dyDescent="0.25">
      <c r="B4" t="s">
        <v>88</v>
      </c>
      <c r="C4">
        <v>3</v>
      </c>
      <c r="D4" t="s">
        <v>87</v>
      </c>
    </row>
    <row r="5" spans="2:4" x14ac:dyDescent="0.25">
      <c r="B5" t="s">
        <v>89</v>
      </c>
      <c r="C5">
        <f>C2*(1-C4/C3)^0.59</f>
        <v>8.0240279324073658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3" sqref="D23"/>
    </sheetView>
  </sheetViews>
  <sheetFormatPr defaultRowHeight="15" x14ac:dyDescent="0.25"/>
  <cols>
    <col min="2" max="2" width="18" bestFit="1" customWidth="1"/>
    <col min="3" max="3" width="29.7109375" bestFit="1" customWidth="1"/>
  </cols>
  <sheetData>
    <row r="2" spans="2:4" x14ac:dyDescent="0.25">
      <c r="B2" s="3" t="s">
        <v>19</v>
      </c>
      <c r="C2" s="3">
        <v>1</v>
      </c>
      <c r="D2" s="1"/>
    </row>
    <row r="3" spans="2:4" x14ac:dyDescent="0.25">
      <c r="B3" t="s">
        <v>20</v>
      </c>
      <c r="C3" t="s">
        <v>29</v>
      </c>
    </row>
    <row r="4" spans="2:4" x14ac:dyDescent="0.25">
      <c r="B4" t="s">
        <v>21</v>
      </c>
      <c r="C4" s="5">
        <v>8960</v>
      </c>
      <c r="D4" t="s">
        <v>22</v>
      </c>
    </row>
    <row r="5" spans="2:4" x14ac:dyDescent="0.25">
      <c r="B5" t="s">
        <v>23</v>
      </c>
      <c r="C5" s="5">
        <v>50</v>
      </c>
      <c r="D5" t="s">
        <v>24</v>
      </c>
    </row>
    <row r="6" spans="2:4" x14ac:dyDescent="0.25">
      <c r="B6" t="s">
        <v>25</v>
      </c>
      <c r="C6" s="5">
        <v>2000</v>
      </c>
      <c r="D6" t="s">
        <v>26</v>
      </c>
    </row>
    <row r="7" spans="2:4" x14ac:dyDescent="0.25">
      <c r="B7" t="s">
        <v>27</v>
      </c>
      <c r="C7" s="5">
        <v>2.5000000000000002E-10</v>
      </c>
      <c r="D7" t="s">
        <v>28</v>
      </c>
    </row>
    <row r="8" spans="2:4" x14ac:dyDescent="0.25">
      <c r="B8" t="s">
        <v>60</v>
      </c>
      <c r="C8" s="5">
        <f>C6/(C4*C5)*10000</f>
        <v>44.642857142857139</v>
      </c>
      <c r="D8" t="s">
        <v>53</v>
      </c>
    </row>
    <row r="9" spans="2:4" x14ac:dyDescent="0.25">
      <c r="C9" s="5"/>
    </row>
    <row r="10" spans="2:4" x14ac:dyDescent="0.25">
      <c r="B10" s="3" t="s">
        <v>19</v>
      </c>
      <c r="C10" s="4">
        <v>2</v>
      </c>
      <c r="D10" s="3"/>
    </row>
    <row r="11" spans="2:4" x14ac:dyDescent="0.25">
      <c r="B11" t="s">
        <v>20</v>
      </c>
      <c r="C11" s="5" t="s">
        <v>30</v>
      </c>
    </row>
    <row r="12" spans="2:4" x14ac:dyDescent="0.25">
      <c r="B12" t="s">
        <v>21</v>
      </c>
      <c r="C12" s="5">
        <v>8960</v>
      </c>
      <c r="D12" t="s">
        <v>22</v>
      </c>
    </row>
    <row r="13" spans="2:4" x14ac:dyDescent="0.25">
      <c r="B13" t="s">
        <v>23</v>
      </c>
      <c r="C13" s="5">
        <v>50</v>
      </c>
      <c r="D13" t="s">
        <v>24</v>
      </c>
    </row>
    <row r="14" spans="2:4" x14ac:dyDescent="0.25">
      <c r="B14" t="s">
        <v>25</v>
      </c>
      <c r="C14" s="5">
        <v>2000</v>
      </c>
      <c r="D14" t="s">
        <v>26</v>
      </c>
    </row>
    <row r="15" spans="2:4" x14ac:dyDescent="0.25">
      <c r="B15" t="s">
        <v>27</v>
      </c>
      <c r="C15" s="5">
        <v>9.9999999999999998E-17</v>
      </c>
      <c r="D15" t="s">
        <v>28</v>
      </c>
    </row>
    <row r="16" spans="2:4" x14ac:dyDescent="0.25">
      <c r="C16" s="5"/>
    </row>
    <row r="17" spans="2:4" x14ac:dyDescent="0.25">
      <c r="B17" s="3" t="s">
        <v>19</v>
      </c>
      <c r="C17" s="4">
        <v>3</v>
      </c>
      <c r="D17" s="3"/>
    </row>
    <row r="18" spans="2:4" x14ac:dyDescent="0.25">
      <c r="B18" t="s">
        <v>20</v>
      </c>
      <c r="C18" s="5" t="s">
        <v>31</v>
      </c>
    </row>
    <row r="19" spans="2:4" x14ac:dyDescent="0.25">
      <c r="B19" t="s">
        <v>21</v>
      </c>
      <c r="C19" s="5">
        <v>1420</v>
      </c>
      <c r="D19" t="s">
        <v>22</v>
      </c>
    </row>
    <row r="20" spans="2:4" x14ac:dyDescent="0.25">
      <c r="B20" t="s">
        <v>23</v>
      </c>
      <c r="C20" s="5">
        <v>60</v>
      </c>
      <c r="D20" t="s">
        <v>24</v>
      </c>
    </row>
    <row r="21" spans="2:4" x14ac:dyDescent="0.25">
      <c r="B21" t="s">
        <v>25</v>
      </c>
      <c r="C21" s="5">
        <v>0.05</v>
      </c>
      <c r="D21" t="s">
        <v>26</v>
      </c>
    </row>
    <row r="22" spans="2:4" x14ac:dyDescent="0.25">
      <c r="B22" t="s">
        <v>60</v>
      </c>
      <c r="C22" s="5">
        <f>C21/(C19*C20)*10000</f>
        <v>5.8685446009389668E-3</v>
      </c>
      <c r="D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Deposition</vt:lpstr>
      <vt:lpstr>Sheet2</vt:lpstr>
      <vt:lpstr>Heat Deposition for tests</vt:lpstr>
      <vt:lpstr>G10 element characteristics</vt:lpstr>
      <vt:lpstr>critical_T</vt:lpstr>
      <vt:lpstr>linear 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2019-09-04T11:51:32Z</dcterms:modified>
</cp:coreProperties>
</file>