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My Drive\Thesis\"/>
    </mc:Choice>
  </mc:AlternateContent>
  <xr:revisionPtr revIDLastSave="0" documentId="13_ncr:1_{9833673F-5712-4CDF-9E45-4D50283C0D8D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contents" sheetId="1" r:id="rId1"/>
    <sheet name="MARS lookups" sheetId="4" r:id="rId2"/>
    <sheet name="effect lookups" sheetId="3" r:id="rId3"/>
    <sheet name="scenario switches" sheetId="2" r:id="rId4"/>
  </sheets>
  <externalReferences>
    <externalReference r:id="rId5"/>
  </externalReferences>
  <definedNames>
    <definedName name="Change_ldc">[1]callibration!$D$40</definedName>
    <definedName name="Change_ldp">[1]callibration!$D$48</definedName>
    <definedName name="old">[1]callibration!$D$52</definedName>
    <definedName name="switch_early">'effect lookups'!$B$289</definedName>
    <definedName name="switch_late">'effect lookups'!$B$306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9" i="3" l="1"/>
  <c r="C360" i="3" s="1"/>
  <c r="D360" i="3" s="1"/>
  <c r="D358" i="3"/>
  <c r="D357" i="3"/>
  <c r="D356" i="3"/>
  <c r="D355" i="3"/>
  <c r="C352" i="3"/>
  <c r="E11" i="4"/>
  <c r="G11" i="4" s="1"/>
  <c r="F11" i="4"/>
  <c r="H11" i="4"/>
  <c r="E12" i="4"/>
  <c r="G12" i="4" s="1"/>
  <c r="F12" i="4"/>
  <c r="H12" i="4" s="1"/>
  <c r="E13" i="4"/>
  <c r="F13" i="4"/>
  <c r="H13" i="4" s="1"/>
  <c r="G13" i="4"/>
  <c r="E14" i="4"/>
  <c r="F14" i="4"/>
  <c r="G14" i="4"/>
  <c r="H14" i="4"/>
  <c r="E15" i="4"/>
  <c r="G15" i="4" s="1"/>
  <c r="F15" i="4"/>
  <c r="H15" i="4"/>
  <c r="E16" i="4"/>
  <c r="G16" i="4" s="1"/>
  <c r="F16" i="4"/>
  <c r="H16" i="4" s="1"/>
  <c r="E17" i="4"/>
  <c r="F17" i="4"/>
  <c r="H17" i="4" s="1"/>
  <c r="G17" i="4"/>
  <c r="E18" i="4"/>
  <c r="F18" i="4"/>
  <c r="G18" i="4"/>
  <c r="H18" i="4"/>
  <c r="E19" i="4"/>
  <c r="G19" i="4" s="1"/>
  <c r="F19" i="4"/>
  <c r="H19" i="4"/>
  <c r="E20" i="4"/>
  <c r="G20" i="4" s="1"/>
  <c r="F20" i="4"/>
  <c r="H20" i="4" s="1"/>
  <c r="E21" i="4"/>
  <c r="F21" i="4"/>
  <c r="H21" i="4" s="1"/>
  <c r="G21" i="4"/>
  <c r="E22" i="4"/>
  <c r="F22" i="4"/>
  <c r="G22" i="4"/>
  <c r="H22" i="4"/>
  <c r="E23" i="4"/>
  <c r="G23" i="4" s="1"/>
  <c r="F23" i="4"/>
  <c r="H23" i="4"/>
  <c r="E24" i="4"/>
  <c r="G24" i="4" s="1"/>
  <c r="F24" i="4"/>
  <c r="H24" i="4" s="1"/>
  <c r="E25" i="4"/>
  <c r="F25" i="4"/>
  <c r="H25" i="4" s="1"/>
  <c r="G25" i="4"/>
  <c r="E26" i="4"/>
  <c r="F26" i="4"/>
  <c r="G26" i="4"/>
  <c r="H26" i="4"/>
  <c r="E27" i="4"/>
  <c r="G27" i="4" s="1"/>
  <c r="F27" i="4"/>
  <c r="H27" i="4"/>
  <c r="E28" i="4"/>
  <c r="G28" i="4" s="1"/>
  <c r="F28" i="4"/>
  <c r="H28" i="4" s="1"/>
  <c r="E29" i="4"/>
  <c r="F29" i="4"/>
  <c r="H29" i="4" s="1"/>
  <c r="G29" i="4"/>
  <c r="E30" i="4"/>
  <c r="G30" i="4"/>
  <c r="H30" i="4"/>
  <c r="E31" i="4"/>
  <c r="G31" i="4" s="1"/>
  <c r="H31" i="4"/>
  <c r="E32" i="4"/>
  <c r="G32" i="4"/>
  <c r="H32" i="4"/>
  <c r="E33" i="4"/>
  <c r="G33" i="4" s="1"/>
  <c r="H33" i="4"/>
  <c r="E34" i="4"/>
  <c r="G34" i="4"/>
  <c r="H34" i="4"/>
  <c r="E40" i="4"/>
  <c r="I40" i="4" s="1"/>
  <c r="F40" i="4"/>
  <c r="J40" i="4" s="1"/>
  <c r="G40" i="4"/>
  <c r="K40" i="4" s="1"/>
  <c r="H40" i="4"/>
  <c r="L40" i="4"/>
  <c r="E41" i="4"/>
  <c r="F41" i="4"/>
  <c r="G41" i="4"/>
  <c r="H41" i="4"/>
  <c r="I41" i="4"/>
  <c r="J41" i="4"/>
  <c r="K41" i="4"/>
  <c r="L41" i="4"/>
  <c r="E42" i="4"/>
  <c r="I42" i="4" s="1"/>
  <c r="F42" i="4"/>
  <c r="J42" i="4" s="1"/>
  <c r="G42" i="4"/>
  <c r="K42" i="4" s="1"/>
  <c r="H42" i="4"/>
  <c r="L42" i="4"/>
  <c r="D43" i="4"/>
  <c r="E43" i="4" s="1"/>
  <c r="H43" i="4"/>
  <c r="L43" i="4" s="1"/>
  <c r="I43" i="4"/>
  <c r="D44" i="4"/>
  <c r="F44" i="4" s="1"/>
  <c r="E44" i="4"/>
  <c r="I44" i="4" s="1"/>
  <c r="J44" i="4"/>
  <c r="C13" i="3"/>
  <c r="C16" i="3"/>
  <c r="D16" i="3" s="1"/>
  <c r="B17" i="3"/>
  <c r="M17" i="3"/>
  <c r="L22" i="3" s="1"/>
  <c r="B18" i="3"/>
  <c r="B19" i="3" s="1"/>
  <c r="B20" i="3" s="1"/>
  <c r="C21" i="3"/>
  <c r="D21" i="3" s="1"/>
  <c r="B22" i="3"/>
  <c r="B23" i="3" s="1"/>
  <c r="D23" i="3" s="1"/>
  <c r="C26" i="3"/>
  <c r="D26" i="3" s="1"/>
  <c r="C41" i="3"/>
  <c r="D41" i="3" s="1"/>
  <c r="M41" i="3"/>
  <c r="B43" i="3"/>
  <c r="B44" i="3" s="1"/>
  <c r="B45" i="3" s="1"/>
  <c r="B46" i="3" s="1"/>
  <c r="B51" i="3"/>
  <c r="C60" i="3"/>
  <c r="B66" i="3" s="1"/>
  <c r="D66" i="3" s="1"/>
  <c r="C62" i="3"/>
  <c r="C65" i="3"/>
  <c r="D65" i="3" s="1"/>
  <c r="D71" i="3"/>
  <c r="B72" i="3"/>
  <c r="D72" i="3" s="1"/>
  <c r="D76" i="3"/>
  <c r="C77" i="3"/>
  <c r="D77" i="3" s="1"/>
  <c r="C86" i="3"/>
  <c r="C91" i="3" s="1"/>
  <c r="D91" i="3" s="1"/>
  <c r="C88" i="3"/>
  <c r="B92" i="3"/>
  <c r="B93" i="3" s="1"/>
  <c r="B94" i="3" s="1"/>
  <c r="B95" i="3" s="1"/>
  <c r="M92" i="3"/>
  <c r="L97" i="3" s="1"/>
  <c r="B97" i="3"/>
  <c r="B98" i="3" s="1"/>
  <c r="B99" i="3" s="1"/>
  <c r="B100" i="3" s="1"/>
  <c r="B101" i="3" s="1"/>
  <c r="C113" i="3"/>
  <c r="M116" i="3"/>
  <c r="B117" i="3"/>
  <c r="B118" i="3" s="1"/>
  <c r="B119" i="3" s="1"/>
  <c r="B120" i="3" s="1"/>
  <c r="M117" i="3"/>
  <c r="B127" i="3"/>
  <c r="B122" i="3" s="1"/>
  <c r="B123" i="3" s="1"/>
  <c r="B124" i="3" s="1"/>
  <c r="B125" i="3" s="1"/>
  <c r="B126" i="3" s="1"/>
  <c r="C141" i="3"/>
  <c r="D141" i="3" s="1"/>
  <c r="M142" i="3"/>
  <c r="L147" i="3" s="1"/>
  <c r="B143" i="3"/>
  <c r="B144" i="3" s="1"/>
  <c r="B145" i="3" s="1"/>
  <c r="C166" i="3"/>
  <c r="D166" i="3" s="1"/>
  <c r="M167" i="3"/>
  <c r="L172" i="3" s="1"/>
  <c r="B168" i="3"/>
  <c r="B169" i="3" s="1"/>
  <c r="B170" i="3" s="1"/>
  <c r="C190" i="3"/>
  <c r="D190" i="3" s="1"/>
  <c r="B192" i="3"/>
  <c r="B193" i="3" s="1"/>
  <c r="B194" i="3" s="1"/>
  <c r="B195" i="3" s="1"/>
  <c r="L196" i="3"/>
  <c r="M196" i="3" s="1"/>
  <c r="D209" i="3"/>
  <c r="M214" i="3" s="1"/>
  <c r="L220" i="3" s="1"/>
  <c r="M220" i="3" s="1"/>
  <c r="C211" i="3"/>
  <c r="B224" i="3" s="1"/>
  <c r="B216" i="3"/>
  <c r="B217" i="3" s="1"/>
  <c r="B218" i="3" s="1"/>
  <c r="B219" i="3" s="1"/>
  <c r="B225" i="3"/>
  <c r="C234" i="3"/>
  <c r="C239" i="3" s="1"/>
  <c r="D239" i="3" s="1"/>
  <c r="C236" i="3"/>
  <c r="B250" i="3" s="1"/>
  <c r="B241" i="3"/>
  <c r="B242" i="3" s="1"/>
  <c r="B243" i="3" s="1"/>
  <c r="C248" i="3"/>
  <c r="C250" i="3"/>
  <c r="C251" i="3" s="1"/>
  <c r="D251" i="3" s="1"/>
  <c r="C265" i="3"/>
  <c r="D265" i="3" s="1"/>
  <c r="D266" i="3"/>
  <c r="D267" i="3"/>
  <c r="M267" i="3"/>
  <c r="L274" i="3" s="1"/>
  <c r="D268" i="3"/>
  <c r="D269" i="3"/>
  <c r="D270" i="3"/>
  <c r="B272" i="3"/>
  <c r="D272" i="3" s="1"/>
  <c r="C276" i="3"/>
  <c r="C277" i="3" s="1"/>
  <c r="D277" i="3" s="1"/>
  <c r="C290" i="3"/>
  <c r="C303" i="3" s="1"/>
  <c r="C293" i="3"/>
  <c r="D293" i="3"/>
  <c r="B294" i="3"/>
  <c r="B295" i="3" s="1"/>
  <c r="B296" i="3" s="1"/>
  <c r="B297" i="3" s="1"/>
  <c r="M296" i="3"/>
  <c r="L303" i="3" s="1"/>
  <c r="C307" i="3"/>
  <c r="C322" i="3" s="1"/>
  <c r="C310" i="3"/>
  <c r="D310" i="3" s="1"/>
  <c r="B311" i="3"/>
  <c r="B312" i="3" s="1"/>
  <c r="J313" i="3"/>
  <c r="D321" i="3"/>
  <c r="I329" i="3"/>
  <c r="J329" i="3"/>
  <c r="I330" i="3"/>
  <c r="C333" i="3"/>
  <c r="D336" i="3"/>
  <c r="D337" i="3"/>
  <c r="D338" i="3"/>
  <c r="D339" i="3"/>
  <c r="C340" i="3"/>
  <c r="C341" i="3" s="1"/>
  <c r="D341" i="3" s="1"/>
  <c r="D8" i="2"/>
  <c r="L8" i="2"/>
  <c r="D9" i="2"/>
  <c r="L9" i="2"/>
  <c r="D10" i="2"/>
  <c r="L10" i="2"/>
  <c r="C11" i="2"/>
  <c r="D11" i="2" s="1"/>
  <c r="K11" i="2"/>
  <c r="L11" i="2" s="1"/>
  <c r="D359" i="3" l="1"/>
  <c r="C361" i="3" s="1"/>
  <c r="D340" i="3"/>
  <c r="C342" i="3" s="1"/>
  <c r="B273" i="3"/>
  <c r="D273" i="3" s="1"/>
  <c r="D250" i="3"/>
  <c r="M172" i="3"/>
  <c r="N172" i="3" s="1"/>
  <c r="M240" i="3"/>
  <c r="L247" i="3" s="1"/>
  <c r="M247" i="3" s="1"/>
  <c r="B220" i="3"/>
  <c r="B221" i="3" s="1"/>
  <c r="B222" i="3" s="1"/>
  <c r="B223" i="3" s="1"/>
  <c r="D311" i="3"/>
  <c r="L122" i="3"/>
  <c r="M122" i="3" s="1"/>
  <c r="N122" i="3" s="1"/>
  <c r="C214" i="3"/>
  <c r="D214" i="3" s="1"/>
  <c r="C12" i="2"/>
  <c r="K12" i="2"/>
  <c r="B313" i="3"/>
  <c r="D312" i="3"/>
  <c r="J320" i="3"/>
  <c r="D322" i="3"/>
  <c r="B146" i="3"/>
  <c r="B147" i="3" s="1"/>
  <c r="B148" i="3" s="1"/>
  <c r="B149" i="3" s="1"/>
  <c r="B150" i="3" s="1"/>
  <c r="B151" i="3" s="1"/>
  <c r="M147" i="3"/>
  <c r="N147" i="3" s="1"/>
  <c r="C143" i="3" s="1"/>
  <c r="D143" i="3" s="1"/>
  <c r="N196" i="3"/>
  <c r="L197" i="3" s="1"/>
  <c r="L125" i="3"/>
  <c r="B73" i="3"/>
  <c r="D73" i="3" s="1"/>
  <c r="C27" i="3"/>
  <c r="D27" i="3" s="1"/>
  <c r="M303" i="3"/>
  <c r="N303" i="3" s="1"/>
  <c r="C294" i="3" s="1"/>
  <c r="D294" i="3" s="1"/>
  <c r="B67" i="3"/>
  <c r="D67" i="3" s="1"/>
  <c r="B244" i="3"/>
  <c r="B245" i="3" s="1"/>
  <c r="C304" i="3"/>
  <c r="D304" i="3" s="1"/>
  <c r="J302" i="3"/>
  <c r="N220" i="3"/>
  <c r="C216" i="3" s="1"/>
  <c r="D216" i="3" s="1"/>
  <c r="L47" i="3"/>
  <c r="B298" i="3"/>
  <c r="B196" i="3"/>
  <c r="B197" i="3" s="1"/>
  <c r="B198" i="3" s="1"/>
  <c r="B199" i="3" s="1"/>
  <c r="B200" i="3" s="1"/>
  <c r="M274" i="3"/>
  <c r="N274" i="3" s="1"/>
  <c r="C271" i="3" s="1"/>
  <c r="D271" i="3" s="1"/>
  <c r="B24" i="3"/>
  <c r="B171" i="3"/>
  <c r="M22" i="3"/>
  <c r="N22" i="3" s="1"/>
  <c r="C18" i="3" s="1"/>
  <c r="D18" i="3" s="1"/>
  <c r="F35" i="4"/>
  <c r="M97" i="3"/>
  <c r="N97" i="3" s="1"/>
  <c r="C95" i="3" s="1"/>
  <c r="D95" i="3" s="1"/>
  <c r="E35" i="4"/>
  <c r="G43" i="4"/>
  <c r="K43" i="4" s="1"/>
  <c r="D45" i="4"/>
  <c r="F43" i="4"/>
  <c r="J43" i="4" s="1"/>
  <c r="H44" i="4"/>
  <c r="L44" i="4" s="1"/>
  <c r="G44" i="4"/>
  <c r="K44" i="4" s="1"/>
  <c r="N247" i="3" l="1"/>
  <c r="C243" i="3" s="1"/>
  <c r="D243" i="3" s="1"/>
  <c r="B274" i="3"/>
  <c r="B275" i="3" s="1"/>
  <c r="C168" i="3"/>
  <c r="D168" i="3" s="1"/>
  <c r="C167" i="3"/>
  <c r="D167" i="3" s="1"/>
  <c r="L173" i="3"/>
  <c r="C169" i="3"/>
  <c r="D169" i="3" s="1"/>
  <c r="C170" i="3"/>
  <c r="D170" i="3" s="1"/>
  <c r="B68" i="3"/>
  <c r="B69" i="3" s="1"/>
  <c r="C146" i="3"/>
  <c r="B74" i="3"/>
  <c r="B75" i="3" s="1"/>
  <c r="D75" i="3" s="1"/>
  <c r="C92" i="3"/>
  <c r="D92" i="3" s="1"/>
  <c r="C93" i="3"/>
  <c r="D93" i="3" s="1"/>
  <c r="L148" i="3"/>
  <c r="C297" i="3"/>
  <c r="D297" i="3" s="1"/>
  <c r="C119" i="3"/>
  <c r="D119" i="3" s="1"/>
  <c r="C116" i="3"/>
  <c r="D116" i="3" s="1"/>
  <c r="C121" i="3"/>
  <c r="D121" i="3" s="1"/>
  <c r="L123" i="3"/>
  <c r="C194" i="3"/>
  <c r="D194" i="3" s="1"/>
  <c r="C145" i="3"/>
  <c r="D145" i="3" s="1"/>
  <c r="C296" i="3"/>
  <c r="D296" i="3" s="1"/>
  <c r="C144" i="3"/>
  <c r="D144" i="3" s="1"/>
  <c r="L23" i="3"/>
  <c r="C195" i="3"/>
  <c r="D195" i="3" s="1"/>
  <c r="C120" i="3"/>
  <c r="D120" i="3" s="1"/>
  <c r="L304" i="3"/>
  <c r="C191" i="3"/>
  <c r="D191" i="3" s="1"/>
  <c r="C142" i="3"/>
  <c r="D142" i="3" s="1"/>
  <c r="C295" i="3"/>
  <c r="D295" i="3" s="1"/>
  <c r="C192" i="3"/>
  <c r="D192" i="3" s="1"/>
  <c r="C193" i="3"/>
  <c r="D193" i="3" s="1"/>
  <c r="D313" i="3"/>
  <c r="B314" i="3"/>
  <c r="C215" i="3"/>
  <c r="D215" i="3" s="1"/>
  <c r="C219" i="3"/>
  <c r="M47" i="3"/>
  <c r="D298" i="3"/>
  <c r="B299" i="3"/>
  <c r="B300" i="3" s="1"/>
  <c r="B301" i="3" s="1"/>
  <c r="B302" i="3" s="1"/>
  <c r="B303" i="3" s="1"/>
  <c r="D303" i="3" s="1"/>
  <c r="C218" i="3"/>
  <c r="D218" i="3" s="1"/>
  <c r="L221" i="3"/>
  <c r="C171" i="3"/>
  <c r="B172" i="3"/>
  <c r="B173" i="3" s="1"/>
  <c r="B174" i="3" s="1"/>
  <c r="B175" i="3" s="1"/>
  <c r="B176" i="3" s="1"/>
  <c r="D46" i="4"/>
  <c r="F45" i="4"/>
  <c r="J45" i="4" s="1"/>
  <c r="E45" i="4"/>
  <c r="I45" i="4" s="1"/>
  <c r="H45" i="4"/>
  <c r="L45" i="4" s="1"/>
  <c r="G45" i="4"/>
  <c r="K45" i="4" s="1"/>
  <c r="D24" i="3"/>
  <c r="B25" i="3"/>
  <c r="D25" i="3" s="1"/>
  <c r="B246" i="3"/>
  <c r="D245" i="3"/>
  <c r="L98" i="3"/>
  <c r="C96" i="3"/>
  <c r="C94" i="3"/>
  <c r="D94" i="3" s="1"/>
  <c r="C217" i="3"/>
  <c r="D217" i="3" s="1"/>
  <c r="C19" i="3"/>
  <c r="D19" i="3" s="1"/>
  <c r="C17" i="3"/>
  <c r="D17" i="3" s="1"/>
  <c r="D146" i="3"/>
  <c r="C118" i="3"/>
  <c r="D118" i="3" s="1"/>
  <c r="C20" i="3"/>
  <c r="L275" i="3"/>
  <c r="C117" i="3"/>
  <c r="D117" i="3" s="1"/>
  <c r="C244" i="3" l="1"/>
  <c r="D244" i="3" s="1"/>
  <c r="D274" i="3"/>
  <c r="C240" i="3"/>
  <c r="D240" i="3" s="1"/>
  <c r="L248" i="3"/>
  <c r="C242" i="3"/>
  <c r="D242" i="3" s="1"/>
  <c r="C241" i="3"/>
  <c r="D241" i="3" s="1"/>
  <c r="C147" i="3"/>
  <c r="D147" i="3" s="1"/>
  <c r="D68" i="3"/>
  <c r="D74" i="3"/>
  <c r="C299" i="3"/>
  <c r="D299" i="3" s="1"/>
  <c r="C122" i="3"/>
  <c r="D122" i="3" s="1"/>
  <c r="B315" i="3"/>
  <c r="D314" i="3"/>
  <c r="C196" i="3"/>
  <c r="D196" i="3" s="1"/>
  <c r="D20" i="3"/>
  <c r="C22" i="3"/>
  <c r="D22" i="3" s="1"/>
  <c r="N47" i="3"/>
  <c r="C45" i="3" s="1"/>
  <c r="D45" i="3" s="1"/>
  <c r="D69" i="3"/>
  <c r="B70" i="3"/>
  <c r="D70" i="3" s="1"/>
  <c r="C97" i="3"/>
  <c r="D96" i="3"/>
  <c r="C220" i="3"/>
  <c r="D219" i="3"/>
  <c r="D275" i="3"/>
  <c r="B276" i="3"/>
  <c r="D276" i="3" s="1"/>
  <c r="D246" i="3"/>
  <c r="B247" i="3"/>
  <c r="C148" i="3"/>
  <c r="E46" i="4"/>
  <c r="I46" i="4" s="1"/>
  <c r="F46" i="4"/>
  <c r="J46" i="4" s="1"/>
  <c r="G46" i="4"/>
  <c r="K46" i="4" s="1"/>
  <c r="D47" i="4"/>
  <c r="H46" i="4"/>
  <c r="L46" i="4" s="1"/>
  <c r="C172" i="3"/>
  <c r="D171" i="3"/>
  <c r="C300" i="3" l="1"/>
  <c r="D300" i="3" s="1"/>
  <c r="C278" i="3"/>
  <c r="C123" i="3"/>
  <c r="C124" i="3" s="1"/>
  <c r="C197" i="3"/>
  <c r="D197" i="3" s="1"/>
  <c r="C28" i="3"/>
  <c r="B316" i="3"/>
  <c r="D315" i="3"/>
  <c r="C43" i="3"/>
  <c r="D43" i="3" s="1"/>
  <c r="C44" i="3"/>
  <c r="D44" i="3" s="1"/>
  <c r="L48" i="3"/>
  <c r="C46" i="3"/>
  <c r="D172" i="3"/>
  <c r="C173" i="3"/>
  <c r="D220" i="3"/>
  <c r="C221" i="3"/>
  <c r="D48" i="4"/>
  <c r="F47" i="4"/>
  <c r="J47" i="4" s="1"/>
  <c r="G47" i="4"/>
  <c r="K47" i="4" s="1"/>
  <c r="H47" i="4"/>
  <c r="L47" i="4" s="1"/>
  <c r="E47" i="4"/>
  <c r="I47" i="4" s="1"/>
  <c r="C42" i="3"/>
  <c r="D42" i="3" s="1"/>
  <c r="B248" i="3"/>
  <c r="D247" i="3"/>
  <c r="C98" i="3"/>
  <c r="D97" i="3"/>
  <c r="D148" i="3"/>
  <c r="C149" i="3"/>
  <c r="C78" i="3"/>
  <c r="C301" i="3" l="1"/>
  <c r="C302" i="3" s="1"/>
  <c r="D302" i="3" s="1"/>
  <c r="C198" i="3"/>
  <c r="D198" i="3" s="1"/>
  <c r="D123" i="3"/>
  <c r="B317" i="3"/>
  <c r="D316" i="3"/>
  <c r="D124" i="3"/>
  <c r="C125" i="3"/>
  <c r="C174" i="3"/>
  <c r="D173" i="3"/>
  <c r="B249" i="3"/>
  <c r="D249" i="3" s="1"/>
  <c r="D248" i="3"/>
  <c r="D46" i="3"/>
  <c r="C47" i="3"/>
  <c r="C150" i="3"/>
  <c r="D149" i="3"/>
  <c r="C99" i="3"/>
  <c r="D98" i="3"/>
  <c r="D221" i="3"/>
  <c r="C222" i="3"/>
  <c r="E48" i="4"/>
  <c r="I48" i="4" s="1"/>
  <c r="G48" i="4"/>
  <c r="K48" i="4" s="1"/>
  <c r="H48" i="4"/>
  <c r="L48" i="4" s="1"/>
  <c r="D49" i="4"/>
  <c r="F48" i="4"/>
  <c r="J48" i="4" s="1"/>
  <c r="D301" i="3" l="1"/>
  <c r="C305" i="3" s="1"/>
  <c r="C199" i="3"/>
  <c r="D199" i="3" s="1"/>
  <c r="C252" i="3"/>
  <c r="B318" i="3"/>
  <c r="D317" i="3"/>
  <c r="E49" i="4"/>
  <c r="I49" i="4" s="1"/>
  <c r="F49" i="4"/>
  <c r="J49" i="4" s="1"/>
  <c r="G49" i="4"/>
  <c r="K49" i="4" s="1"/>
  <c r="H49" i="4"/>
  <c r="L49" i="4" s="1"/>
  <c r="D50" i="4"/>
  <c r="D222" i="3"/>
  <c r="C223" i="3"/>
  <c r="D174" i="3"/>
  <c r="C175" i="3"/>
  <c r="C126" i="3"/>
  <c r="D125" i="3"/>
  <c r="D150" i="3"/>
  <c r="C151" i="3"/>
  <c r="C48" i="3"/>
  <c r="D47" i="3"/>
  <c r="D99" i="3"/>
  <c r="C100" i="3"/>
  <c r="C200" i="3" l="1"/>
  <c r="D200" i="3" s="1"/>
  <c r="C201" i="3" s="1"/>
  <c r="B319" i="3"/>
  <c r="D318" i="3"/>
  <c r="D126" i="3"/>
  <c r="C127" i="3"/>
  <c r="D127" i="3" s="1"/>
  <c r="E50" i="4"/>
  <c r="I50" i="4" s="1"/>
  <c r="F50" i="4"/>
  <c r="J50" i="4" s="1"/>
  <c r="G50" i="4"/>
  <c r="K50" i="4" s="1"/>
  <c r="H50" i="4"/>
  <c r="L50" i="4" s="1"/>
  <c r="D51" i="4"/>
  <c r="D151" i="3"/>
  <c r="C152" i="3"/>
  <c r="D152" i="3" s="1"/>
  <c r="C101" i="3"/>
  <c r="D100" i="3"/>
  <c r="C176" i="3"/>
  <c r="D176" i="3" s="1"/>
  <c r="D175" i="3"/>
  <c r="C224" i="3"/>
  <c r="D223" i="3"/>
  <c r="C49" i="3"/>
  <c r="D48" i="3"/>
  <c r="C128" i="3" l="1"/>
  <c r="C153" i="3"/>
  <c r="B320" i="3"/>
  <c r="D320" i="3" s="1"/>
  <c r="D319" i="3"/>
  <c r="D224" i="3"/>
  <c r="C225" i="3"/>
  <c r="D225" i="3" s="1"/>
  <c r="D101" i="3"/>
  <c r="C102" i="3"/>
  <c r="D102" i="3" s="1"/>
  <c r="D49" i="3"/>
  <c r="C50" i="3"/>
  <c r="C177" i="3"/>
  <c r="G51" i="4"/>
  <c r="K51" i="4" s="1"/>
  <c r="H51" i="4"/>
  <c r="L51" i="4" s="1"/>
  <c r="D52" i="4"/>
  <c r="E51" i="4"/>
  <c r="I51" i="4" s="1"/>
  <c r="F51" i="4"/>
  <c r="J51" i="4" s="1"/>
  <c r="C103" i="3" l="1"/>
  <c r="C226" i="3"/>
  <c r="C323" i="3"/>
  <c r="G52" i="4"/>
  <c r="K52" i="4" s="1"/>
  <c r="E52" i="4"/>
  <c r="I52" i="4" s="1"/>
  <c r="F52" i="4"/>
  <c r="J52" i="4" s="1"/>
  <c r="H52" i="4"/>
  <c r="L52" i="4" s="1"/>
  <c r="D53" i="4"/>
  <c r="D50" i="3"/>
  <c r="C51" i="3"/>
  <c r="D51" i="3" s="1"/>
  <c r="C52" i="3" l="1"/>
  <c r="E53" i="4"/>
  <c r="I53" i="4" s="1"/>
  <c r="F53" i="4"/>
  <c r="J53" i="4" s="1"/>
  <c r="G53" i="4"/>
  <c r="K53" i="4" s="1"/>
  <c r="H53" i="4"/>
  <c r="L53" i="4" s="1"/>
  <c r="D54" i="4"/>
  <c r="D55" i="4" l="1"/>
  <c r="E54" i="4"/>
  <c r="I54" i="4" s="1"/>
  <c r="H54" i="4"/>
  <c r="L54" i="4" s="1"/>
  <c r="G54" i="4"/>
  <c r="K54" i="4" s="1"/>
  <c r="F54" i="4"/>
  <c r="J54" i="4" s="1"/>
  <c r="E55" i="4" l="1"/>
  <c r="I55" i="4" s="1"/>
  <c r="F55" i="4"/>
  <c r="J55" i="4" s="1"/>
  <c r="H55" i="4"/>
  <c r="L55" i="4" s="1"/>
  <c r="G55" i="4"/>
  <c r="K55" i="4" s="1"/>
  <c r="D56" i="4"/>
  <c r="D57" i="4" l="1"/>
  <c r="F56" i="4"/>
  <c r="J56" i="4" s="1"/>
  <c r="G56" i="4"/>
  <c r="K56" i="4" s="1"/>
  <c r="H56" i="4"/>
  <c r="L56" i="4" s="1"/>
  <c r="E56" i="4"/>
  <c r="I56" i="4" s="1"/>
  <c r="F57" i="4" l="1"/>
  <c r="J57" i="4" s="1"/>
  <c r="G57" i="4"/>
  <c r="K57" i="4" s="1"/>
  <c r="H57" i="4"/>
  <c r="L57" i="4" s="1"/>
  <c r="D58" i="4"/>
  <c r="E57" i="4"/>
  <c r="I57" i="4" s="1"/>
  <c r="H58" i="4" l="1"/>
  <c r="L58" i="4" s="1"/>
  <c r="H59" i="4" s="1"/>
  <c r="E58" i="4"/>
  <c r="I58" i="4" s="1"/>
  <c r="E59" i="4" s="1"/>
  <c r="F58" i="4"/>
  <c r="J58" i="4" s="1"/>
  <c r="F59" i="4" s="1"/>
  <c r="G58" i="4"/>
  <c r="K58" i="4" s="1"/>
  <c r="G59" i="4" s="1"/>
</calcChain>
</file>

<file path=xl/sharedStrings.xml><?xml version="1.0" encoding="utf-8"?>
<sst xmlns="http://schemas.openxmlformats.org/spreadsheetml/2006/main" count="554" uniqueCount="194">
  <si>
    <t>LATE</t>
  </si>
  <si>
    <t>EARLY</t>
  </si>
  <si>
    <t>TIPPING POINT</t>
  </si>
  <si>
    <t>Variable name:</t>
  </si>
  <si>
    <t>Array:</t>
  </si>
  <si>
    <t>Share</t>
  </si>
  <si>
    <t>Time</t>
  </si>
  <si>
    <t>STEEP</t>
  </si>
  <si>
    <t>GENTLE</t>
  </si>
  <si>
    <t>EBIKE UPTAKE</t>
  </si>
  <si>
    <t>Uncertainty:</t>
  </si>
  <si>
    <t>Construction rate</t>
  </si>
  <si>
    <t>Homes per land area</t>
  </si>
  <si>
    <t>Shape:</t>
  </si>
  <si>
    <t>(based on difference between city and ring: half the density, 1.5x the construction rate)</t>
  </si>
  <si>
    <t>At double point</t>
  </si>
  <si>
    <t>(reference situation)</t>
  </si>
  <si>
    <t>At reference point:</t>
  </si>
  <si>
    <t>At half point</t>
  </si>
  <si>
    <t>(current construction rate)</t>
  </si>
  <si>
    <t>Multiplied with:</t>
  </si>
  <si>
    <t>(current home density)</t>
  </si>
  <si>
    <t>Reference value:</t>
  </si>
  <si>
    <t>Multiplicative</t>
  </si>
  <si>
    <t>Type:</t>
  </si>
  <si>
    <t>EFFECT OF HOME DENSITY ON CONSTRUCTION RATE</t>
  </si>
  <si>
    <t>Function</t>
  </si>
  <si>
    <t>Points</t>
  </si>
  <si>
    <t>c</t>
  </si>
  <si>
    <t>b</t>
  </si>
  <si>
    <t>a</t>
  </si>
  <si>
    <t>Parabole:</t>
  </si>
  <si>
    <t>(Point 3)</t>
  </si>
  <si>
    <t>Point 2</t>
  </si>
  <si>
    <t>Point 1</t>
  </si>
  <si>
    <t>m</t>
  </si>
  <si>
    <t>y</t>
  </si>
  <si>
    <t>x</t>
  </si>
  <si>
    <t>Points and slopes:</t>
  </si>
  <si>
    <t>End point (2)</t>
  </si>
  <si>
    <t>At zero point</t>
  </si>
  <si>
    <t>(current immigration rate)</t>
  </si>
  <si>
    <t>Relatively certain</t>
  </si>
  <si>
    <t>Dmnl</t>
  </si>
  <si>
    <t>Dmnl/Year</t>
  </si>
  <si>
    <t>Scale</t>
  </si>
  <si>
    <t>Effect on population susceptible to cycling</t>
  </si>
  <si>
    <t>Bike network completion</t>
  </si>
  <si>
    <t>End point</t>
  </si>
  <si>
    <t>(assuming entering tipping point for cautious majority)</t>
  </si>
  <si>
    <t>Reference susceptiveness</t>
  </si>
  <si>
    <t>LATE: the tipping point happens between 40-60% completion and stabilizes at 90% completion</t>
  </si>
  <si>
    <t>(assuming halfway through tipping point for cautious majority)</t>
  </si>
  <si>
    <t>EARLY: the tipping point happens between 20- 60%completion and stabilizes at 80% completion</t>
  </si>
  <si>
    <t>(=maximum fraction receptive)</t>
  </si>
  <si>
    <t>At end point</t>
  </si>
  <si>
    <t>Never</t>
  </si>
  <si>
    <t>(if zero infrastructure)</t>
  </si>
  <si>
    <t>During tipping point</t>
  </si>
  <si>
    <t>reference fraction susceptible to cycling</t>
  </si>
  <si>
    <t>Before tipping point</t>
  </si>
  <si>
    <t>(bike network completion)</t>
  </si>
  <si>
    <t>Reference point</t>
  </si>
  <si>
    <t>Comfortable cyclists: 16- 25% of participants, Cautious Majority: 62- 65% of participants, Uncomfortable or Uninterested: 13- 19% of participants</t>
  </si>
  <si>
    <t>(=minum fraction receptive)</t>
  </si>
  <si>
    <t>Fraction with bike access:</t>
  </si>
  <si>
    <t>EFFECT OF BIKE NETWORK COMPLETION ON POPULATION SUSCEPTIBLE TO CYCLING</t>
  </si>
  <si>
    <t xml:space="preserve">Car adoption </t>
  </si>
  <si>
    <t xml:space="preserve">Car trips per car </t>
  </si>
  <si>
    <t>Increases increasingly from (0,0.8) until inflection point (1, 1) after which increasing decreasingly to flatten at (2,1.2)</t>
  </si>
  <si>
    <t>(assuming 30% larger shift in car adoption when car usages grows by 50%)</t>
  </si>
  <si>
    <t>(assuming 30% larger shift in car adoption when car usage falls by 50%)</t>
  </si>
  <si>
    <t>(reference shift, uncertain)</t>
  </si>
  <si>
    <t>EFFECT OF CAR USAGE ON SHIFT IN YOUNG ADULT CAR ADOPTION</t>
  </si>
  <si>
    <t>Parking search and egress time</t>
  </si>
  <si>
    <t>City parking spots per car in greater city</t>
  </si>
  <si>
    <t>Decreases increasingly, with inflection point at (1, 1), then decreases decreasingly until flatting after end point (3, 0.25)</t>
  </si>
  <si>
    <t>(assuming that four city parking spot per city car is the maximum possible, and would reduce search and agress time to 5 minutes)</t>
  </si>
  <si>
    <t>End point (3, 0.25)</t>
  </si>
  <si>
    <t>(assuming max parking search and egress time is 14 minutes)</t>
  </si>
  <si>
    <t>(reference parking search and egress time city)</t>
  </si>
  <si>
    <t>(current city parking spots per city car)</t>
  </si>
  <si>
    <t>EFFECT OF PARKING SPOTS ON PARKING SEARCH AND EGRESS TIME</t>
  </si>
  <si>
    <t>Effect on renewal rate</t>
  </si>
  <si>
    <t>Population with bike</t>
  </si>
  <si>
    <t>Decreases increasingly until reference point, then decreases decreasingly to flatten at 2</t>
  </si>
  <si>
    <t>Assuming renewal rate increases to 4/3 of current rate when 50% is a cyclist</t>
  </si>
  <si>
    <t>At max point:</t>
  </si>
  <si>
    <t>Assuming renewal rate declines to 2/3 of current rate when no cyclists</t>
  </si>
  <si>
    <t>At zero point:</t>
  </si>
  <si>
    <t>(reference renewal rate)</t>
  </si>
  <si>
    <t>(reference fraction of population with bike access)</t>
  </si>
  <si>
    <t>EFFECT OF BIKE UPTAKE ON RENEWAL RATE OF PUBLIC SPACE</t>
  </si>
  <si>
    <t>Efect on PT access egress time</t>
  </si>
  <si>
    <t>Sidewalk width</t>
  </si>
  <si>
    <t>assuming access and egress time halves when pedestrian space doubles</t>
  </si>
  <si>
    <t>assuming 4x higher access and egress time when zero sidewalks exist</t>
  </si>
  <si>
    <t>(reference PT access egress time)</t>
  </si>
  <si>
    <t>Minutes</t>
  </si>
  <si>
    <t>(reference sidewalk width)</t>
  </si>
  <si>
    <t>m/road</t>
  </si>
  <si>
    <t>EFFECT OF SIDEWALK WIDTH ON PT ACCESS EGRESS TIME</t>
  </si>
  <si>
    <t>Efect on bike subjective travel time</t>
  </si>
  <si>
    <t>Bike parking per bike user</t>
  </si>
  <si>
    <t>Increases increasingly until reference point, then increases decreasingly to flatten at 2</t>
  </si>
  <si>
    <t>(assuming 100% higher word of mouth adoption (so 3%) when bike parking is twice as abundant as today)</t>
  </si>
  <si>
    <t>(assuming 0 word of mouth adoption when zero parking available)</t>
  </si>
  <si>
    <t>(current contact fruitfulness)</t>
  </si>
  <si>
    <t>(current daily bike trips per person with bike access)</t>
  </si>
  <si>
    <t>trips/persons</t>
  </si>
  <si>
    <t>EFFECT OF BIKE USAGE ON CONTACT FRUITFULNESS</t>
  </si>
  <si>
    <t>Efect on contact fruitfulness</t>
  </si>
  <si>
    <t>(current parking per user)</t>
  </si>
  <si>
    <t>EFFECT OF BIKE PARKING PER BIKE USER ON CONTACT FRUITFULNESS</t>
  </si>
  <si>
    <t>Effect on car network distance</t>
  </si>
  <si>
    <t>Change in car lanes</t>
  </si>
  <si>
    <t>Decreases increasingly until reference point, then decreases decreasingly to flatten at 0.83</t>
  </si>
  <si>
    <t>(assuming network to euclidian distance ratio is 1.1 when roads have on average 4 car lanes)</t>
  </si>
  <si>
    <t>(assuming network to euclidian distance ratio is 1.8 there's on average 0.5 car lanes per road)</t>
  </si>
  <si>
    <t>(current car distance relative to euclidian distance)</t>
  </si>
  <si>
    <t>(current car lanes per road)</t>
  </si>
  <si>
    <t>EFFECT OF CAR LANES PER ROAD ON NETWORK TO EUCLIDIAN DISTANCE RATIO</t>
  </si>
  <si>
    <t>Added effect on bike subjective travel time</t>
  </si>
  <si>
    <t>Bike lane continuity</t>
  </si>
  <si>
    <t>(assuming network to euclidian distance ratio is 1.1 when all roads have bike lanes)</t>
  </si>
  <si>
    <t>(assuming 50% distance penalty when zero roads have bike lanes)</t>
  </si>
  <si>
    <t>(current network distance relative to euclidian distance)</t>
  </si>
  <si>
    <t>(current bike lanes per road)</t>
  </si>
  <si>
    <t>EFFECT OF BIKE LANES PER ROAD ON NETWORK TO EUCLIDIAN DISTANCE RATIO</t>
  </si>
  <si>
    <t>Car lanes per road</t>
  </si>
  <si>
    <t>Increases increasingly between average road being oneway and average road being four-lane</t>
  </si>
  <si>
    <t>(assuming max additive effect on current subj. multiplier is +0.2 and occurs when average road is four-lane)</t>
  </si>
  <si>
    <t>At max point (2)</t>
  </si>
  <si>
    <t>(assuming subj. value of travel time is currently affected by 10%)</t>
  </si>
  <si>
    <t>(assuming min additive effect on current subj. multiplier is -0.1 and occurs when average road is oneway)</t>
  </si>
  <si>
    <t>Min point:</t>
  </si>
  <si>
    <t>UNINTERRUPTED MID TRIP TRAVEL TIME</t>
  </si>
  <si>
    <t>(reference car lanes per road)</t>
  </si>
  <si>
    <t>lanes/road</t>
  </si>
  <si>
    <t>Additive</t>
  </si>
  <si>
    <t>EFFECT OF CAR LANES PER ROAD ON BIKE SUBJECTIVE TRAVEL TIME</t>
  </si>
  <si>
    <t>Parking spots per meter</t>
  </si>
  <si>
    <t>Increases increasingly until reference value, then decreasingly to flatten at double the ref value</t>
  </si>
  <si>
    <t>(assuming max additive effect on current subj. multiplier is +0.05 and occurs at double current value)</t>
  </si>
  <si>
    <t>At max point</t>
  </si>
  <si>
    <t>(assuming min additive effect on current subj. multiplier is -0.05)</t>
  </si>
  <si>
    <t>(reference parking spots per meter)</t>
  </si>
  <si>
    <t>EFFECT OF PARKING SPOTS PER METER ON BIKE SUBJECTIVE TRAVEL TIME</t>
  </si>
  <si>
    <t>Bike lanes per road</t>
  </si>
  <si>
    <t>Decreases increasingly through (1,0), then decreasingly until flattening at (2.5,-0.5)</t>
  </si>
  <si>
    <t>(assuming min additive effect on current subj. multiplier is -0.2)</t>
  </si>
  <si>
    <t>(assuming max additive effect on current subj. multiplier is +0.2)</t>
  </si>
  <si>
    <t>REFERENCE BIKE SUBJECTIVE TRAVEL TIME MULTIPLIER</t>
  </si>
  <si>
    <t>EFFECT OF BIKE LANES PER ROAD ON BIKE SUBJECTIVE TRAVEL TIME</t>
  </si>
  <si>
    <t>Effect lookups are either additive or multiplicative, the former passing through a 0,0 point and the latter through a 1, 1 point</t>
  </si>
  <si>
    <t>Effect lookups</t>
  </si>
  <si>
    <t>C</t>
  </si>
  <si>
    <t>B</t>
  </si>
  <si>
    <t>A</t>
  </si>
  <si>
    <t>Value</t>
  </si>
  <si>
    <t>Parameter</t>
  </si>
  <si>
    <t>Waiting time</t>
  </si>
  <si>
    <t>Changing time</t>
  </si>
  <si>
    <t>Access/egress time</t>
  </si>
  <si>
    <t>Linear</t>
  </si>
  <si>
    <t>In vehicle time</t>
  </si>
  <si>
    <t>Physical time</t>
  </si>
  <si>
    <t>In-vehicle time</t>
  </si>
  <si>
    <t>Public transport seperated from other traffic (metro, rail)</t>
  </si>
  <si>
    <t>In model to avoid out of range, added points to parking search effect: (14.5,145),(15,155),(20,155)</t>
  </si>
  <si>
    <t>Parking search and walking time</t>
  </si>
  <si>
    <t>Parking search and out vehicle time</t>
  </si>
  <si>
    <t>Car</t>
  </si>
  <si>
    <t>The subjective valuation factor takes the form A + B * EXP(C*t) where t is physical time and A, B, and C are function parameters. The factor is multiplied by physical time</t>
  </si>
  <si>
    <t>The subjective valuation factors used within the MARS model originate from empirical research by Walther, K. (1997)</t>
  </si>
  <si>
    <t>Trip components for public transport and car trips have their own subjective value functions.</t>
  </si>
  <si>
    <t>This tab converts subjective value functions as used within the MARS model (Pfaffenbichler, 2010) and converts them into Vensim lookup functions</t>
  </si>
  <si>
    <t>Contents</t>
  </si>
  <si>
    <t>This sheet has the following contents:</t>
  </si>
  <si>
    <t>MARS lookups</t>
  </si>
  <si>
    <t>effect lookups</t>
  </si>
  <si>
    <t>scenario switches</t>
  </si>
  <si>
    <t>Subjective value functions from MARS model</t>
  </si>
  <si>
    <t>Scenario switches</t>
  </si>
  <si>
    <t>This tab defines the two scenario switches in the mode: EBIKE UPTAKE and TIPPING POINT</t>
  </si>
  <si>
    <t>See tab effect lookups: early</t>
  </si>
  <si>
    <t>See tab effect lookup: late</t>
  </si>
  <si>
    <t>Moderately uncertain</t>
  </si>
  <si>
    <t>Very uncertain</t>
  </si>
  <si>
    <t>It also mentions the assumptions for the extremes and whether the effect is very uncertain, moderately uncertain, or relatively certain</t>
  </si>
  <si>
    <t>EFFECT OF POPULATION DENSITY ON IMMIGRATION RATE</t>
  </si>
  <si>
    <t>(current population density)</t>
  </si>
  <si>
    <t>(matches home construction rate assuming home availability is limiting factor)</t>
  </si>
  <si>
    <t>This tab defines the 15 effect lookups used within the model to define non-linear relationships between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</si>
</sst>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2" xfId="0" applyFon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3" xfId="0" applyFont="1" applyFill="1" applyBorder="1"/>
    <xf numFmtId="0" fontId="3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left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6" fillId="0" borderId="0" xfId="0" applyFont="1"/>
    <xf numFmtId="0" fontId="0" fillId="0" borderId="1" xfId="0" applyBorder="1" applyAlignment="1">
      <alignment horizontal="left"/>
    </xf>
    <xf numFmtId="164" fontId="0" fillId="0" borderId="0" xfId="0" applyNumberFormat="1"/>
    <xf numFmtId="0" fontId="0" fillId="0" borderId="9" xfId="0" applyBorder="1"/>
    <xf numFmtId="2" fontId="0" fillId="0" borderId="0" xfId="0" applyNumberFormat="1" applyAlignment="1">
      <alignment horizontal="left"/>
    </xf>
    <xf numFmtId="0" fontId="7" fillId="0" borderId="0" xfId="0" applyFont="1"/>
    <xf numFmtId="0" fontId="0" fillId="4" borderId="3" xfId="0" applyFill="1" applyBorder="1"/>
    <xf numFmtId="0" fontId="0" fillId="4" borderId="4" xfId="0" applyFill="1" applyBorder="1"/>
    <xf numFmtId="0" fontId="3" fillId="4" borderId="5" xfId="0" applyFont="1" applyFill="1" applyBorder="1"/>
    <xf numFmtId="9" fontId="0" fillId="0" borderId="0" xfId="0" applyNumberFormat="1"/>
    <xf numFmtId="0" fontId="0" fillId="4" borderId="1" xfId="0" applyFill="1" applyBorder="1"/>
    <xf numFmtId="0" fontId="0" fillId="4" borderId="0" xfId="0" applyFill="1"/>
    <xf numFmtId="0" fontId="3" fillId="4" borderId="2" xfId="0" applyFont="1" applyFill="1" applyBorder="1"/>
    <xf numFmtId="9" fontId="8" fillId="0" borderId="0" xfId="0" applyNumberFormat="1" applyFont="1"/>
    <xf numFmtId="0" fontId="8" fillId="0" borderId="0" xfId="0" applyFont="1"/>
    <xf numFmtId="0" fontId="0" fillId="3" borderId="0" xfId="0" applyFill="1"/>
    <xf numFmtId="165" fontId="0" fillId="0" borderId="2" xfId="0" applyNumberFormat="1" applyBorder="1"/>
    <xf numFmtId="2" fontId="0" fillId="0" borderId="2" xfId="0" applyNumberFormat="1" applyBorder="1"/>
    <xf numFmtId="0" fontId="1" fillId="3" borderId="4" xfId="0" applyFont="1" applyFill="1" applyBorder="1" applyAlignment="1">
      <alignment horizontal="left"/>
    </xf>
    <xf numFmtId="165" fontId="0" fillId="0" borderId="0" xfId="0" applyNumberFormat="1"/>
    <xf numFmtId="0" fontId="0" fillId="5" borderId="1" xfId="0" applyFill="1" applyBorder="1" applyAlignment="1">
      <alignment horizontal="left"/>
    </xf>
    <xf numFmtId="0" fontId="9" fillId="0" borderId="0" xfId="0" applyFont="1"/>
    <xf numFmtId="0" fontId="0" fillId="0" borderId="10" xfId="0" applyBorder="1"/>
    <xf numFmtId="0" fontId="3" fillId="4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3" fillId="3" borderId="4" xfId="0" applyFont="1" applyFill="1" applyBorder="1"/>
    <xf numFmtId="0" fontId="3" fillId="0" borderId="0" xfId="0" applyFont="1"/>
    <xf numFmtId="0" fontId="3" fillId="4" borderId="0" xfId="0" applyFont="1" applyFill="1"/>
    <xf numFmtId="0" fontId="3" fillId="0" borderId="2" xfId="0" applyFont="1" applyBorder="1"/>
    <xf numFmtId="0" fontId="11" fillId="0" borderId="0" xfId="1" applyFont="1"/>
    <xf numFmtId="0" fontId="0" fillId="0" borderId="0" xfId="0" applyFill="1"/>
    <xf numFmtId="0" fontId="0" fillId="0" borderId="0" xfId="0" applyAlignment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right"/>
    </xf>
    <xf numFmtId="0" fontId="11" fillId="0" borderId="0" xfId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'MARS lookups'!$D$10</c:f>
              <c:strCache>
                <c:ptCount val="1"/>
                <c:pt idx="0">
                  <c:v>Physical time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lookups'!$D$11:$D$34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F-41DB-9C71-6324C5258C44}"/>
            </c:ext>
          </c:extLst>
        </c:ser>
        <c:ser>
          <c:idx val="1"/>
          <c:order val="1"/>
          <c:tx>
            <c:strRef>
              <c:f>'MARS lookups'!$E$10</c:f>
              <c:strCache>
                <c:ptCount val="1"/>
                <c:pt idx="0">
                  <c:v>In vehicle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'MARS lookups'!$E$11:$E$34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F-41DB-9C71-6324C5258C44}"/>
            </c:ext>
          </c:extLst>
        </c:ser>
        <c:ser>
          <c:idx val="2"/>
          <c:order val="2"/>
          <c:tx>
            <c:strRef>
              <c:f>'MARS lookups'!$F$10</c:f>
              <c:strCache>
                <c:ptCount val="1"/>
                <c:pt idx="0">
                  <c:v>Parking search and out vehicle time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lookups'!$F$11:$F$34</c:f>
              <c:numCache>
                <c:formatCode>General</c:formatCode>
                <c:ptCount val="24"/>
                <c:pt idx="0">
                  <c:v>0</c:v>
                </c:pt>
                <c:pt idx="1">
                  <c:v>2.0002225540928493</c:v>
                </c:pt>
                <c:pt idx="2">
                  <c:v>4.000990606484879</c:v>
                </c:pt>
                <c:pt idx="3">
                  <c:v>6.0033069529141923</c:v>
                </c:pt>
                <c:pt idx="4">
                  <c:v>8.009813012078844</c:v>
                </c:pt>
                <c:pt idx="5">
                  <c:v>10.027299075016572</c:v>
                </c:pt>
                <c:pt idx="6">
                  <c:v>12.07290625051124</c:v>
                </c:pt>
                <c:pt idx="7">
                  <c:v>14.189298485198307</c:v>
                </c:pt>
                <c:pt idx="8">
                  <c:v>16.481476030297667</c:v>
                </c:pt>
                <c:pt idx="9">
                  <c:v>19.205487687954978</c:v>
                </c:pt>
                <c:pt idx="10">
                  <c:v>22.98095798704173</c:v>
                </c:pt>
                <c:pt idx="11">
                  <c:v>25.669420085084852</c:v>
                </c:pt>
                <c:pt idx="12">
                  <c:v>29.297668406905675</c:v>
                </c:pt>
                <c:pt idx="13">
                  <c:v>34.381698417555519</c:v>
                </c:pt>
                <c:pt idx="14">
                  <c:v>41.717737878692759</c:v>
                </c:pt>
                <c:pt idx="15">
                  <c:v>52.533082243508403</c:v>
                </c:pt>
                <c:pt idx="16">
                  <c:v>68.717513376776324</c:v>
                </c:pt>
                <c:pt idx="17">
                  <c:v>93.178081534115364</c:v>
                </c:pt>
                <c:pt idx="18">
                  <c:v>130.38261856678182</c:v>
                </c:pt>
                <c:pt idx="19">
                  <c:v>145</c:v>
                </c:pt>
                <c:pt idx="20">
                  <c:v>155</c:v>
                </c:pt>
                <c:pt idx="21">
                  <c:v>160</c:v>
                </c:pt>
                <c:pt idx="22">
                  <c:v>162</c:v>
                </c:pt>
                <c:pt idx="2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F-41DB-9C71-6324C525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393072"/>
        <c:axId val="765397872"/>
      </c:lineChart>
      <c:catAx>
        <c:axId val="7653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7872"/>
        <c:crosses val="autoZero"/>
        <c:auto val="1"/>
        <c:lblAlgn val="ctr"/>
        <c:lblOffset val="100"/>
        <c:noMultiLvlLbl val="0"/>
      </c:catAx>
      <c:valAx>
        <c:axId val="765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lookups'!$C$140</c:f>
              <c:strCache>
                <c:ptCount val="1"/>
                <c:pt idx="0">
                  <c:v>Efect on contact fruitfulness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lookups'!$C$141:$C$151</c:f>
              <c:numCache>
                <c:formatCode>0.00</c:formatCode>
                <c:ptCount val="11"/>
                <c:pt idx="0">
                  <c:v>0</c:v>
                </c:pt>
                <c:pt idx="1">
                  <c:v>4.0000000000000008E-2</c:v>
                </c:pt>
                <c:pt idx="2">
                  <c:v>0.16000000000000003</c:v>
                </c:pt>
                <c:pt idx="3">
                  <c:v>0.3600000000000001</c:v>
                </c:pt>
                <c:pt idx="4">
                  <c:v>0.64000000000000012</c:v>
                </c:pt>
                <c:pt idx="5">
                  <c:v>1</c:v>
                </c:pt>
                <c:pt idx="6">
                  <c:v>1.3599999999999999</c:v>
                </c:pt>
                <c:pt idx="7">
                  <c:v>1.64</c:v>
                </c:pt>
                <c:pt idx="8">
                  <c:v>1.8399999999999999</c:v>
                </c:pt>
                <c:pt idx="9">
                  <c:v>1.96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C-4CA0-A8CC-3F6B613E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lookups'!$C$165</c:f>
              <c:strCache>
                <c:ptCount val="1"/>
                <c:pt idx="0">
                  <c:v>Efect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lookups'!$C$166:$C$176</c:f>
              <c:numCache>
                <c:formatCode>0.00</c:formatCode>
                <c:ptCount val="11"/>
                <c:pt idx="0">
                  <c:v>0</c:v>
                </c:pt>
                <c:pt idx="1">
                  <c:v>4.0000000000000008E-2</c:v>
                </c:pt>
                <c:pt idx="2">
                  <c:v>0.16000000000000003</c:v>
                </c:pt>
                <c:pt idx="3">
                  <c:v>0.3600000000000001</c:v>
                </c:pt>
                <c:pt idx="4">
                  <c:v>0.64000000000000012</c:v>
                </c:pt>
                <c:pt idx="5">
                  <c:v>1</c:v>
                </c:pt>
                <c:pt idx="6">
                  <c:v>1.3599999999999999</c:v>
                </c:pt>
                <c:pt idx="7">
                  <c:v>1.64</c:v>
                </c:pt>
                <c:pt idx="8">
                  <c:v>1.8399999999999999</c:v>
                </c:pt>
                <c:pt idx="9">
                  <c:v>1.96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8-4787-B8BA-D6DB11A1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lookups'!$C$189</c:f>
              <c:strCache>
                <c:ptCount val="1"/>
                <c:pt idx="0">
                  <c:v>Efect on PT access egress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lookups'!$C$190:$C$200</c:f>
              <c:numCache>
                <c:formatCode>0.00</c:formatCode>
                <c:ptCount val="11"/>
                <c:pt idx="0">
                  <c:v>4</c:v>
                </c:pt>
                <c:pt idx="1">
                  <c:v>3.88</c:v>
                </c:pt>
                <c:pt idx="2">
                  <c:v>3.52</c:v>
                </c:pt>
                <c:pt idx="3">
                  <c:v>2.92</c:v>
                </c:pt>
                <c:pt idx="4">
                  <c:v>2.0799999999999996</c:v>
                </c:pt>
                <c:pt idx="5">
                  <c:v>1</c:v>
                </c:pt>
                <c:pt idx="6">
                  <c:v>0.82000000000000006</c:v>
                </c:pt>
                <c:pt idx="7">
                  <c:v>0.68</c:v>
                </c:pt>
                <c:pt idx="8">
                  <c:v>0.58000000000000007</c:v>
                </c:pt>
                <c:pt idx="9">
                  <c:v>0.52000000000000013</c:v>
                </c:pt>
                <c:pt idx="10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0-41CC-9221-236DCEE7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lookups'!$C$115</c:f>
              <c:strCache>
                <c:ptCount val="1"/>
                <c:pt idx="0">
                  <c:v>Effect on car network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lookups'!$C$116:$C$127</c:f>
              <c:numCache>
                <c:formatCode>0.00</c:formatCode>
                <c:ptCount val="12"/>
                <c:pt idx="0">
                  <c:v>1.5</c:v>
                </c:pt>
                <c:pt idx="1">
                  <c:v>1.48</c:v>
                </c:pt>
                <c:pt idx="2">
                  <c:v>1.42</c:v>
                </c:pt>
                <c:pt idx="3">
                  <c:v>1.3199999999999998</c:v>
                </c:pt>
                <c:pt idx="4">
                  <c:v>1.18</c:v>
                </c:pt>
                <c:pt idx="5">
                  <c:v>1</c:v>
                </c:pt>
                <c:pt idx="6">
                  <c:v>0.94217177125722862</c:v>
                </c:pt>
                <c:pt idx="7">
                  <c:v>0.89719426001285085</c:v>
                </c:pt>
                <c:pt idx="8">
                  <c:v>0.8650674662668667</c:v>
                </c:pt>
                <c:pt idx="9">
                  <c:v>0.84579139001927617</c:v>
                </c:pt>
                <c:pt idx="10">
                  <c:v>0.83936603127007936</c:v>
                </c:pt>
                <c:pt idx="11">
                  <c:v>0.83936603127007936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9C7-BA23-BA32D58D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lookups'!$C$189</c:f>
              <c:strCache>
                <c:ptCount val="1"/>
                <c:pt idx="0">
                  <c:v>Efect on PT access egress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lookups'!$B$214:$B$224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 formatCode="0.00">
                  <c:v>1.169</c:v>
                </c:pt>
                <c:pt idx="7" formatCode="0.00">
                  <c:v>1.3380000000000001</c:v>
                </c:pt>
                <c:pt idx="8" formatCode="0.00">
                  <c:v>1.5069999999999999</c:v>
                </c:pt>
                <c:pt idx="9" formatCode="0.00">
                  <c:v>1.6759999999999999</c:v>
                </c:pt>
                <c:pt idx="10" formatCode="0.00">
                  <c:v>1.845</c:v>
                </c:pt>
              </c:numCache>
            </c:numRef>
          </c:cat>
          <c:val>
            <c:numRef>
              <c:f>'effect lookups'!$C$214:$C$224</c:f>
              <c:numCache>
                <c:formatCode>0.00</c:formatCode>
                <c:ptCount val="11"/>
                <c:pt idx="0">
                  <c:v>0.66666666666666674</c:v>
                </c:pt>
                <c:pt idx="1">
                  <c:v>0.68</c:v>
                </c:pt>
                <c:pt idx="2">
                  <c:v>0.72000000000000008</c:v>
                </c:pt>
                <c:pt idx="3">
                  <c:v>0.78666666666666674</c:v>
                </c:pt>
                <c:pt idx="4">
                  <c:v>0.88000000000000012</c:v>
                </c:pt>
                <c:pt idx="5">
                  <c:v>1</c:v>
                </c:pt>
                <c:pt idx="6">
                  <c:v>1.1199999999999999</c:v>
                </c:pt>
                <c:pt idx="7">
                  <c:v>1.2133333333333334</c:v>
                </c:pt>
                <c:pt idx="8">
                  <c:v>1.28</c:v>
                </c:pt>
                <c:pt idx="9">
                  <c:v>1.32</c:v>
                </c:pt>
                <c:pt idx="10">
                  <c:v>1.3333333333333335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47D0-82A1-C2C2FE2EF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65383481777892516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lookups'!$C$292</c:f>
              <c:strCache>
                <c:ptCount val="1"/>
                <c:pt idx="0">
                  <c:v>Effect on population susceptible to cycling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lookups'!$B$293:$B$304</c:f>
              <c:numCache>
                <c:formatCode>General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4</c:v>
                </c:pt>
              </c:numCache>
            </c:numRef>
          </c:cat>
          <c:val>
            <c:numRef>
              <c:f>'effect lookups'!$C$293:$C$304</c:f>
              <c:numCache>
                <c:formatCode>General</c:formatCode>
                <c:ptCount val="12"/>
                <c:pt idx="0">
                  <c:v>0.01</c:v>
                </c:pt>
                <c:pt idx="1">
                  <c:v>4.0000000000000008E-2</c:v>
                </c:pt>
                <c:pt idx="2">
                  <c:v>0.16000000000000003</c:v>
                </c:pt>
                <c:pt idx="3">
                  <c:v>0.3600000000000001</c:v>
                </c:pt>
                <c:pt idx="4">
                  <c:v>0.64000000000000012</c:v>
                </c:pt>
                <c:pt idx="5">
                  <c:v>1</c:v>
                </c:pt>
                <c:pt idx="6" formatCode="0.00">
                  <c:v>1.2034782608695651</c:v>
                </c:pt>
                <c:pt idx="7" formatCode="0.00">
                  <c:v>1.3617391304347826</c:v>
                </c:pt>
                <c:pt idx="8" formatCode="0.00">
                  <c:v>1.4747826086956521</c:v>
                </c:pt>
                <c:pt idx="9" formatCode="0.00">
                  <c:v>1.5426086956521738</c:v>
                </c:pt>
                <c:pt idx="10" formatCode="0.00">
                  <c:v>1.5652173913043479</c:v>
                </c:pt>
                <c:pt idx="11" formatCode="0.00">
                  <c:v>1.5652173913043479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1E3-8D69-51583075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65383481777892516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lookups'!$C$309</c:f>
              <c:strCache>
                <c:ptCount val="1"/>
                <c:pt idx="0">
                  <c:v>Effect on population susceptible to cycling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lookups'!$B$310:$B$322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2.25</c:v>
                </c:pt>
                <c:pt idx="12">
                  <c:v>3</c:v>
                </c:pt>
              </c:numCache>
            </c:numRef>
          </c:cat>
          <c:val>
            <c:numRef>
              <c:f>'effect lookups'!$C$310:$C$322</c:f>
              <c:numCache>
                <c:formatCode>General</c:formatCode>
                <c:ptCount val="13"/>
                <c:pt idx="0">
                  <c:v>0.01</c:v>
                </c:pt>
                <c:pt idx="1">
                  <c:v>0.3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0.95</c:v>
                </c:pt>
                <c:pt idx="5">
                  <c:v>1</c:v>
                </c:pt>
                <c:pt idx="6" formatCode="0.00">
                  <c:v>1.1499999999999999</c:v>
                </c:pt>
                <c:pt idx="7" formatCode="0.00">
                  <c:v>1.4</c:v>
                </c:pt>
                <c:pt idx="8" formatCode="0.00">
                  <c:v>1.8</c:v>
                </c:pt>
                <c:pt idx="9" formatCode="0.00">
                  <c:v>2.6</c:v>
                </c:pt>
                <c:pt idx="10">
                  <c:v>2.85</c:v>
                </c:pt>
                <c:pt idx="11" formatCode="0.00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F-465B-8472-B36A31CC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lookups'!$C$335</c:f>
              <c:strCache>
                <c:ptCount val="1"/>
                <c:pt idx="0">
                  <c:v>Construction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lookups'!$B$336:$B$341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cat>
          <c:val>
            <c:numRef>
              <c:f>'effect lookups'!$C$336:$C$341</c:f>
              <c:numCache>
                <c:formatCode>0.00</c:formatCode>
                <c:ptCount val="6"/>
                <c:pt idx="0" formatCode="General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0.67</c:v>
                </c:pt>
                <c:pt idx="4">
                  <c:v>0.44666666666666671</c:v>
                </c:pt>
                <c:pt idx="5">
                  <c:v>0.29777777777777781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3-4850-AE72-7C0814A1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4150594404075"/>
          <c:y val="6.59339922935165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'scenario switches'!$C$7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switches'!$B$8:$B$11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  <c:pt idx="3">
                  <c:v>2060</c:v>
                </c:pt>
              </c:numCache>
            </c:numRef>
          </c:cat>
          <c:val>
            <c:numRef>
              <c:f>'scenario switches'!$C$8:$C$11</c:f>
              <c:numCache>
                <c:formatCode>General</c:formatCode>
                <c:ptCount val="4"/>
                <c:pt idx="0">
                  <c:v>0.03</c:v>
                </c:pt>
                <c:pt idx="1">
                  <c:v>0.09</c:v>
                </c:pt>
                <c:pt idx="2">
                  <c:v>0.27</c:v>
                </c:pt>
                <c:pt idx="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1-46C9-A1FC-22EEBF62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'scenario switches'!$K$7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switches'!$J$8:$J$11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  <c:pt idx="3">
                  <c:v>2060</c:v>
                </c:pt>
              </c:numCache>
            </c:numRef>
          </c:cat>
          <c:val>
            <c:numRef>
              <c:f>'scenario switches'!$K$8:$K$11</c:f>
              <c:numCache>
                <c:formatCode>General</c:formatCode>
                <c:ptCount val="4"/>
                <c:pt idx="0">
                  <c:v>0.03</c:v>
                </c:pt>
                <c:pt idx="1">
                  <c:v>0.09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B-4BD1-9A91-6EE8502E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'MARS lookups'!$D$39</c:f>
              <c:strCache>
                <c:ptCount val="1"/>
                <c:pt idx="0">
                  <c:v>Physical time</c:v>
                </c:pt>
              </c:strCache>
            </c:strRef>
          </c:tx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lookups'!$D$40:$D$58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F-45FA-8BC0-5228C68C8243}"/>
            </c:ext>
          </c:extLst>
        </c:ser>
        <c:ser>
          <c:idx val="1"/>
          <c:order val="1"/>
          <c:tx>
            <c:strRef>
              <c:f>'MARS lookups'!$E$39</c:f>
              <c:strCache>
                <c:ptCount val="1"/>
                <c:pt idx="0">
                  <c:v>In vehicle time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lookups'!$E$40:$E$58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F-45FA-8BC0-5228C68C8243}"/>
            </c:ext>
          </c:extLst>
        </c:ser>
        <c:ser>
          <c:idx val="2"/>
          <c:order val="2"/>
          <c:tx>
            <c:strRef>
              <c:f>'MARS lookups'!$F$39</c:f>
              <c:strCache>
                <c:ptCount val="1"/>
                <c:pt idx="0">
                  <c:v>Access/egress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'MARS lookups'!$F$40:$F$58</c:f>
              <c:numCache>
                <c:formatCode>General</c:formatCode>
                <c:ptCount val="19"/>
                <c:pt idx="0">
                  <c:v>0.84367400000000004</c:v>
                </c:pt>
                <c:pt idx="1">
                  <c:v>0.95584800616759935</c:v>
                </c:pt>
                <c:pt idx="2">
                  <c:v>2.2277251675669065</c:v>
                </c:pt>
                <c:pt idx="3">
                  <c:v>3.0391164432735378</c:v>
                </c:pt>
                <c:pt idx="4">
                  <c:v>4.0093522609412302</c:v>
                </c:pt>
                <c:pt idx="5">
                  <c:v>5.1794028246409782</c:v>
                </c:pt>
                <c:pt idx="6">
                  <c:v>6.600003585466931</c:v>
                </c:pt>
                <c:pt idx="7">
                  <c:v>8.3338742012118452</c:v>
                </c:pt>
                <c:pt idx="8">
                  <c:v>10.458425802242385</c:v>
                </c:pt>
                <c:pt idx="9">
                  <c:v>13.069061575902825</c:v>
                </c:pt>
                <c:pt idx="10">
                  <c:v>16.283197877185238</c:v>
                </c:pt>
                <c:pt idx="11">
                  <c:v>20.245159897044029</c:v>
                </c:pt>
                <c:pt idx="12">
                  <c:v>25.132138326283659</c:v>
                </c:pt>
                <c:pt idx="13">
                  <c:v>31.161432592272721</c:v>
                </c:pt>
                <c:pt idx="14">
                  <c:v>38.59925350249091</c:v>
                </c:pt>
                <c:pt idx="15">
                  <c:v>47.771415170140742</c:v>
                </c:pt>
                <c:pt idx="16">
                  <c:v>59.076314929374334</c:v>
                </c:pt>
                <c:pt idx="17">
                  <c:v>73.000682985993421</c:v>
                </c:pt>
                <c:pt idx="18">
                  <c:v>90.138683699468601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F-45FA-8BC0-5228C68C8243}"/>
            </c:ext>
          </c:extLst>
        </c:ser>
        <c:ser>
          <c:idx val="3"/>
          <c:order val="3"/>
          <c:tx>
            <c:strRef>
              <c:f>'MARS lookups'!$G$39</c:f>
              <c:strCache>
                <c:ptCount val="1"/>
                <c:pt idx="0">
                  <c:v>Changing time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lookups'!$G$40:$G$58</c:f>
              <c:numCache>
                <c:formatCode>General</c:formatCode>
                <c:ptCount val="19"/>
                <c:pt idx="0">
                  <c:v>0</c:v>
                </c:pt>
                <c:pt idx="1">
                  <c:v>1.2643572240560534</c:v>
                </c:pt>
                <c:pt idx="2">
                  <c:v>3.1000006080793923</c:v>
                </c:pt>
                <c:pt idx="3">
                  <c:v>4.3264672142909877</c:v>
                </c:pt>
                <c:pt idx="4">
                  <c:v>5.8265693156642948</c:v>
                </c:pt>
                <c:pt idx="5">
                  <c:v>7.6654763810716382</c:v>
                </c:pt>
                <c:pt idx="6">
                  <c:v>9.922671987525618</c:v>
                </c:pt>
                <c:pt idx="7">
                  <c:v>12.694948362585446</c:v>
                </c:pt>
                <c:pt idx="8">
                  <c:v>16.100007316942623</c:v>
                </c:pt>
                <c:pt idx="9">
                  <c:v>20.280787529583623</c:v>
                </c:pt>
                <c:pt idx="10">
                  <c:v>25.410661467773384</c:v>
                </c:pt>
                <c:pt idx="11">
                  <c:v>31.699673015675064</c:v>
                </c:pt>
                <c:pt idx="12">
                  <c:v>39.402019996869384</c:v>
                </c:pt>
                <c:pt idx="13">
                  <c:v>48.825025214944027</c:v>
                </c:pt>
                <c:pt idx="14">
                  <c:v>60.339886599452377</c:v>
                </c:pt>
                <c:pt idx="15">
                  <c:v>74.394552953095697</c:v>
                </c:pt>
                <c:pt idx="16">
                  <c:v>91.529138337400838</c:v>
                </c:pt>
                <c:pt idx="17">
                  <c:v>112.39436731164743</c:v>
                </c:pt>
                <c:pt idx="18">
                  <c:v>137.77363743099787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F-45FA-8BC0-5228C68C8243}"/>
            </c:ext>
          </c:extLst>
        </c:ser>
        <c:ser>
          <c:idx val="4"/>
          <c:order val="4"/>
          <c:tx>
            <c:strRef>
              <c:f>'MARS lookups'!$H$39</c:f>
              <c:strCache>
                <c:ptCount val="1"/>
                <c:pt idx="0">
                  <c:v>Waiting time</c:v>
                </c:pt>
              </c:strCache>
            </c:strRef>
          </c:tx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'MARS lookups'!$H$40:$H$58</c:f>
              <c:numCache>
                <c:formatCode>General</c:formatCode>
                <c:ptCount val="19"/>
                <c:pt idx="0">
                  <c:v>0</c:v>
                </c:pt>
                <c:pt idx="1">
                  <c:v>1.5069307673213665</c:v>
                </c:pt>
                <c:pt idx="2">
                  <c:v>3.6000014418211586</c:v>
                </c:pt>
                <c:pt idx="3">
                  <c:v>4.9716446543187702</c:v>
                </c:pt>
                <c:pt idx="4">
                  <c:v>6.6374095073949544</c:v>
                </c:pt>
                <c:pt idx="5">
                  <c:v>8.6729561827074448</c:v>
                </c:pt>
                <c:pt idx="6">
                  <c:v>11.171929333684503</c:v>
                </c:pt>
                <c:pt idx="7">
                  <c:v>14.250033439590618</c:v>
                </c:pt>
                <c:pt idx="8">
                  <c:v>18.050002498548739</c:v>
                </c:pt>
                <c:pt idx="9">
                  <c:v>22.74765585555059</c:v>
                </c:pt>
                <c:pt idx="10">
                  <c:v>28.559272386384698</c:v>
                </c:pt>
                <c:pt idx="11">
                  <c:v>35.750564089227886</c:v>
                </c:pt>
                <c:pt idx="12">
                  <c:v>44.647589101444524</c:v>
                </c:pt>
                <c:pt idx="13">
                  <c:v>55.650015341495937</c:v>
                </c:pt>
                <c:pt idx="14">
                  <c:v>69.247231880208702</c:v>
                </c:pt>
                <c:pt idx="15">
                  <c:v>86.037908786946076</c:v>
                </c:pt>
                <c:pt idx="16">
                  <c:v>106.75373120186424</c:v>
                </c:pt>
                <c:pt idx="17">
                  <c:v>132.28818411879314</c:v>
                </c:pt>
                <c:pt idx="18">
                  <c:v>163.73144607205813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F-45FA-8BC0-5228C68C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393072"/>
        <c:axId val="765397872"/>
      </c:lineChart>
      <c:catAx>
        <c:axId val="7653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7872"/>
        <c:crosses val="autoZero"/>
        <c:auto val="1"/>
        <c:lblAlgn val="ctr"/>
        <c:lblOffset val="100"/>
        <c:noMultiLvlLbl val="0"/>
      </c:catAx>
      <c:valAx>
        <c:axId val="765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lookups'!$C$15</c:f>
              <c:strCache>
                <c:ptCount val="1"/>
                <c:pt idx="0">
                  <c:v>Added effect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lookups'!$B$16:$B$27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  <c:pt idx="11" formatCode="General">
                  <c:v>6</c:v>
                </c:pt>
              </c:numCache>
            </c:numRef>
          </c:cat>
          <c:val>
            <c:numRef>
              <c:f>'effect lookups'!$C$16:$C$27</c:f>
              <c:numCache>
                <c:formatCode>0.00</c:formatCode>
                <c:ptCount val="12"/>
                <c:pt idx="0">
                  <c:v>0.1</c:v>
                </c:pt>
                <c:pt idx="1">
                  <c:v>9.6000000000000002E-2</c:v>
                </c:pt>
                <c:pt idx="2">
                  <c:v>8.4000000000000005E-2</c:v>
                </c:pt>
                <c:pt idx="3">
                  <c:v>6.4000000000000001E-2</c:v>
                </c:pt>
                <c:pt idx="4">
                  <c:v>3.599999999999999E-2</c:v>
                </c:pt>
                <c:pt idx="5">
                  <c:v>0</c:v>
                </c:pt>
                <c:pt idx="6">
                  <c:v>-3.599999999999999E-2</c:v>
                </c:pt>
                <c:pt idx="7">
                  <c:v>-8.5000000000000006E-2</c:v>
                </c:pt>
                <c:pt idx="8">
                  <c:v>-0.14000000000000001</c:v>
                </c:pt>
                <c:pt idx="9">
                  <c:v>-0.19</c:v>
                </c:pt>
                <c:pt idx="10">
                  <c:v>-0.2</c:v>
                </c:pt>
                <c:pt idx="11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7-499A-8D77-086AE04F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lookups'!$C$238</c:f>
              <c:strCache>
                <c:ptCount val="1"/>
                <c:pt idx="0">
                  <c:v>Parking search and egress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lookups'!$B$239:$B$251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 formatCode="0.0">
                  <c:v>2.2189999999999999</c:v>
                </c:pt>
                <c:pt idx="12">
                  <c:v>15</c:v>
                </c:pt>
              </c:numCache>
            </c:numRef>
          </c:cat>
          <c:val>
            <c:numRef>
              <c:f>'effect lookups'!$C$239:$C$251</c:f>
              <c:numCache>
                <c:formatCode>0.00</c:formatCode>
                <c:ptCount val="13"/>
                <c:pt idx="0">
                  <c:v>1.2301203760653721</c:v>
                </c:pt>
                <c:pt idx="1">
                  <c:v>1.2209155610227571</c:v>
                </c:pt>
                <c:pt idx="2">
                  <c:v>1.1933011158949125</c:v>
                </c:pt>
                <c:pt idx="3">
                  <c:v>1.147277040681838</c:v>
                </c:pt>
                <c:pt idx="4">
                  <c:v>1.0828433353835338</c:v>
                </c:pt>
                <c:pt idx="5">
                  <c:v>1</c:v>
                </c:pt>
                <c:pt idx="6">
                  <c:v>0.91</c:v>
                </c:pt>
                <c:pt idx="7">
                  <c:v>0.78</c:v>
                </c:pt>
                <c:pt idx="8">
                  <c:v>0.68</c:v>
                </c:pt>
                <c:pt idx="9">
                  <c:v>0.58000000000000007</c:v>
                </c:pt>
                <c:pt idx="10">
                  <c:v>0.52</c:v>
                </c:pt>
                <c:pt idx="11">
                  <c:v>0.43932870573763289</c:v>
                </c:pt>
                <c:pt idx="12">
                  <c:v>0.43932870573763289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C-489C-99F6-E914E2AA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65383481777892516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lookups'!$C$264</c:f>
              <c:strCache>
                <c:ptCount val="1"/>
                <c:pt idx="0">
                  <c:v>Car adoption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lookups'!$B$265:$B$277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1.2000000000000002</c:v>
                </c:pt>
                <c:pt idx="9">
                  <c:v>1.3000000000000003</c:v>
                </c:pt>
                <c:pt idx="10">
                  <c:v>1.4000000000000004</c:v>
                </c:pt>
                <c:pt idx="11">
                  <c:v>1.5000000000000004</c:v>
                </c:pt>
                <c:pt idx="12">
                  <c:v>4</c:v>
                </c:pt>
              </c:numCache>
            </c:numRef>
          </c:cat>
          <c:val>
            <c:numRef>
              <c:f>'effect lookups'!$C$265:$C$277</c:f>
              <c:numCache>
                <c:formatCode>0.00</c:formatCode>
                <c:ptCount val="13"/>
                <c:pt idx="0">
                  <c:v>1.3</c:v>
                </c:pt>
                <c:pt idx="1">
                  <c:v>1.3</c:v>
                </c:pt>
                <c:pt idx="2">
                  <c:v>1.29</c:v>
                </c:pt>
                <c:pt idx="3">
                  <c:v>1.27</c:v>
                </c:pt>
                <c:pt idx="4">
                  <c:v>1.23</c:v>
                </c:pt>
                <c:pt idx="5">
                  <c:v>1.1299999999999999</c:v>
                </c:pt>
                <c:pt idx="6">
                  <c:v>1</c:v>
                </c:pt>
                <c:pt idx="7">
                  <c:v>0.87</c:v>
                </c:pt>
                <c:pt idx="8">
                  <c:v>0.77</c:v>
                </c:pt>
                <c:pt idx="9">
                  <c:v>0.73</c:v>
                </c:pt>
                <c:pt idx="10">
                  <c:v>0.71</c:v>
                </c:pt>
                <c:pt idx="11">
                  <c:v>0.7</c:v>
                </c:pt>
                <c:pt idx="1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8-446D-9C07-CF8746DA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lookups'!$C$335</c:f>
              <c:strCache>
                <c:ptCount val="1"/>
                <c:pt idx="0">
                  <c:v>Construction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lookups'!$B$336:$B$341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cat>
          <c:val>
            <c:numRef>
              <c:f>'effect lookups'!$C$336:$C$341</c:f>
              <c:numCache>
                <c:formatCode>0.00</c:formatCode>
                <c:ptCount val="6"/>
                <c:pt idx="0" formatCode="General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0.67</c:v>
                </c:pt>
                <c:pt idx="4">
                  <c:v>0.44666666666666671</c:v>
                </c:pt>
                <c:pt idx="5">
                  <c:v>0.29777777777777781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4-4545-AACF-B6B45CD5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lookups'!$C$40</c:f>
              <c:strCache>
                <c:ptCount val="1"/>
                <c:pt idx="0">
                  <c:v>Added effect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lookups'!$B$41:$B$51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1.5999999999999999</c:v>
                </c:pt>
              </c:numCache>
            </c:numRef>
          </c:cat>
          <c:val>
            <c:numRef>
              <c:f>'effect lookups'!$C$41:$C$51</c:f>
              <c:numCache>
                <c:formatCode>0.00</c:formatCode>
                <c:ptCount val="11"/>
                <c:pt idx="0">
                  <c:v>-0.05</c:v>
                </c:pt>
                <c:pt idx="1">
                  <c:v>-4.8000000000000001E-2</c:v>
                </c:pt>
                <c:pt idx="2">
                  <c:v>-4.2000000000000003E-2</c:v>
                </c:pt>
                <c:pt idx="3">
                  <c:v>-3.2000000000000001E-2</c:v>
                </c:pt>
                <c:pt idx="4">
                  <c:v>-1.7999999999999995E-2</c:v>
                </c:pt>
                <c:pt idx="5">
                  <c:v>0</c:v>
                </c:pt>
                <c:pt idx="6">
                  <c:v>1.7999999999999995E-2</c:v>
                </c:pt>
                <c:pt idx="7">
                  <c:v>3.2000000000000001E-2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90A-8759-3A708AE7A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lookups'!$C$64</c:f>
              <c:strCache>
                <c:ptCount val="1"/>
                <c:pt idx="0">
                  <c:v>Added effect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lookups'!$B$66:$B$76</c:f>
              <c:numCache>
                <c:formatCode>0.00</c:formatCode>
                <c:ptCount val="11"/>
                <c:pt idx="0">
                  <c:v>0.42</c:v>
                </c:pt>
                <c:pt idx="1">
                  <c:v>0.53600000000000003</c:v>
                </c:pt>
                <c:pt idx="2">
                  <c:v>0.65200000000000002</c:v>
                </c:pt>
                <c:pt idx="3">
                  <c:v>0.76800000000000002</c:v>
                </c:pt>
                <c:pt idx="4">
                  <c:v>0.88400000000000001</c:v>
                </c:pt>
                <c:pt idx="5" formatCode="General">
                  <c:v>1</c:v>
                </c:pt>
                <c:pt idx="6">
                  <c:v>1.1339999999999999</c:v>
                </c:pt>
                <c:pt idx="7">
                  <c:v>1.2679999999999998</c:v>
                </c:pt>
                <c:pt idx="8">
                  <c:v>1.4019999999999997</c:v>
                </c:pt>
                <c:pt idx="9">
                  <c:v>1.5359999999999996</c:v>
                </c:pt>
                <c:pt idx="10">
                  <c:v>1.67</c:v>
                </c:pt>
              </c:numCache>
            </c:numRef>
          </c:cat>
          <c:val>
            <c:numRef>
              <c:f>'effect lookups'!$C$66:$C$76</c:f>
              <c:numCache>
                <c:formatCode>0.00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-7.4999999999999997E-2</c:v>
                </c:pt>
                <c:pt idx="3">
                  <c:v>-5.5E-2</c:v>
                </c:pt>
                <c:pt idx="4">
                  <c:v>-0.03</c:v>
                </c:pt>
                <c:pt idx="5">
                  <c:v>0</c:v>
                </c:pt>
                <c:pt idx="6">
                  <c:v>0.03</c:v>
                </c:pt>
                <c:pt idx="7">
                  <c:v>6.5000000000000002E-2</c:v>
                </c:pt>
                <c:pt idx="8">
                  <c:v>0.1</c:v>
                </c:pt>
                <c:pt idx="9">
                  <c:v>0.14499999999999999</c:v>
                </c:pt>
                <c:pt idx="1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42B7-B501-4D7DB91C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8001112264068E-2"/>
          <c:y val="6.5934065934065936E-2"/>
          <c:w val="0.86903904453803738"/>
          <c:h val="0.74946324017190158"/>
        </c:manualLayout>
      </c:layout>
      <c:lineChart>
        <c:grouping val="standard"/>
        <c:varyColors val="0"/>
        <c:ser>
          <c:idx val="1"/>
          <c:order val="0"/>
          <c:tx>
            <c:strRef>
              <c:f>'effect lookups'!$C$90</c:f>
              <c:strCache>
                <c:ptCount val="1"/>
                <c:pt idx="0">
                  <c:v>Added effect on bike subjective travel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 lookups'!$B$91:$B$101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 formatCode="General">
                  <c:v>1</c:v>
                </c:pt>
                <c:pt idx="6">
                  <c:v>1.3</c:v>
                </c:pt>
                <c:pt idx="7">
                  <c:v>1.6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2.5</c:v>
                </c:pt>
              </c:numCache>
            </c:numRef>
          </c:cat>
          <c:val>
            <c:numRef>
              <c:f>'effect lookups'!$C$91:$C$101</c:f>
              <c:numCache>
                <c:formatCode>0.00</c:formatCode>
                <c:ptCount val="11"/>
                <c:pt idx="0">
                  <c:v>1.5</c:v>
                </c:pt>
                <c:pt idx="1">
                  <c:v>1.48</c:v>
                </c:pt>
                <c:pt idx="2">
                  <c:v>1.42</c:v>
                </c:pt>
                <c:pt idx="3">
                  <c:v>1.3199999999999998</c:v>
                </c:pt>
                <c:pt idx="4">
                  <c:v>1.18</c:v>
                </c:pt>
                <c:pt idx="5">
                  <c:v>1</c:v>
                </c:pt>
                <c:pt idx="6">
                  <c:v>0.92800000000000005</c:v>
                </c:pt>
                <c:pt idx="7">
                  <c:v>0.87200000000000011</c:v>
                </c:pt>
                <c:pt idx="8">
                  <c:v>0.83200000000000007</c:v>
                </c:pt>
                <c:pt idx="9">
                  <c:v>0.80800000000000005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7-458D-923F-8F60DEB6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1343"/>
        <c:axId val="285491823"/>
      </c:lineChart>
      <c:catAx>
        <c:axId val="285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823"/>
        <c:crosses val="autoZero"/>
        <c:auto val="1"/>
        <c:lblAlgn val="ctr"/>
        <c:lblOffset val="100"/>
        <c:noMultiLvlLbl val="0"/>
      </c:catAx>
      <c:valAx>
        <c:axId val="285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54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9</xdr:row>
      <xdr:rowOff>83682</xdr:rowOff>
    </xdr:from>
    <xdr:to>
      <xdr:col>16</xdr:col>
      <xdr:colOff>187779</xdr:colOff>
      <xdr:row>24</xdr:row>
      <xdr:rowOff>104094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FCF98-B09F-489F-86E9-653DC3EA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318407</xdr:colOff>
      <xdr:row>40</xdr:row>
      <xdr:rowOff>95251</xdr:rowOff>
    </xdr:from>
    <xdr:to>
      <xdr:col>16</xdr:col>
      <xdr:colOff>338819</xdr:colOff>
      <xdr:row>55</xdr:row>
      <xdr:rowOff>87089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ACD2D-694F-4B2A-AF29-4EE46CD36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15</xdr:row>
      <xdr:rowOff>167640</xdr:rowOff>
    </xdr:from>
    <xdr:to>
      <xdr:col>9</xdr:col>
      <xdr:colOff>38100</xdr:colOff>
      <xdr:row>25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44265-1899-40B2-B133-79966618B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238</xdr:row>
      <xdr:rowOff>167640</xdr:rowOff>
    </xdr:from>
    <xdr:to>
      <xdr:col>9</xdr:col>
      <xdr:colOff>38100</xdr:colOff>
      <xdr:row>248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52A5F-C629-459B-8E8E-04E844135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265</xdr:row>
      <xdr:rowOff>60960</xdr:rowOff>
    </xdr:from>
    <xdr:to>
      <xdr:col>8</xdr:col>
      <xdr:colOff>213360</xdr:colOff>
      <xdr:row>275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C366ED-DD4E-4441-8E8C-698C955E1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91440</xdr:colOff>
      <xdr:row>335</xdr:row>
      <xdr:rowOff>60960</xdr:rowOff>
    </xdr:from>
    <xdr:to>
      <xdr:col>8</xdr:col>
      <xdr:colOff>601980</xdr:colOff>
      <xdr:row>340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9D3606-76EA-4CD5-BA6D-919937AF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137160</xdr:colOff>
      <xdr:row>40</xdr:row>
      <xdr:rowOff>167640</xdr:rowOff>
    </xdr:from>
    <xdr:to>
      <xdr:col>9</xdr:col>
      <xdr:colOff>38100</xdr:colOff>
      <xdr:row>50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D9D33F-A626-46CF-84C7-82159A8E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373380</xdr:colOff>
      <xdr:row>65</xdr:row>
      <xdr:rowOff>175260</xdr:rowOff>
    </xdr:from>
    <xdr:to>
      <xdr:col>10</xdr:col>
      <xdr:colOff>266700</xdr:colOff>
      <xdr:row>75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753BA2-EDC6-44E4-AD86-B154879D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137160</xdr:colOff>
      <xdr:row>90</xdr:row>
      <xdr:rowOff>167640</xdr:rowOff>
    </xdr:from>
    <xdr:to>
      <xdr:col>9</xdr:col>
      <xdr:colOff>38100</xdr:colOff>
      <xdr:row>100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46B119-2394-4F4E-975E-C95913373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137160</xdr:colOff>
      <xdr:row>140</xdr:row>
      <xdr:rowOff>167640</xdr:rowOff>
    </xdr:from>
    <xdr:to>
      <xdr:col>9</xdr:col>
      <xdr:colOff>38100</xdr:colOff>
      <xdr:row>150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96C42B-8FE6-4397-95EA-D2B1A40F7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137160</xdr:colOff>
      <xdr:row>165</xdr:row>
      <xdr:rowOff>167640</xdr:rowOff>
    </xdr:from>
    <xdr:to>
      <xdr:col>9</xdr:col>
      <xdr:colOff>38100</xdr:colOff>
      <xdr:row>175</xdr:row>
      <xdr:rowOff>72390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6EDE08-FAB9-4A86-973F-CBF0B5435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137160</xdr:colOff>
      <xdr:row>189</xdr:row>
      <xdr:rowOff>167640</xdr:rowOff>
    </xdr:from>
    <xdr:to>
      <xdr:col>9</xdr:col>
      <xdr:colOff>38100</xdr:colOff>
      <xdr:row>199</xdr:row>
      <xdr:rowOff>72390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B6EB62-B1EC-4C3B-96AB-46F634545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137160</xdr:colOff>
      <xdr:row>115</xdr:row>
      <xdr:rowOff>167640</xdr:rowOff>
    </xdr:from>
    <xdr:to>
      <xdr:col>9</xdr:col>
      <xdr:colOff>38100</xdr:colOff>
      <xdr:row>125</xdr:row>
      <xdr:rowOff>72390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D21E1E-4166-4763-B878-A8AA10F7A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137160</xdr:colOff>
      <xdr:row>213</xdr:row>
      <xdr:rowOff>167640</xdr:rowOff>
    </xdr:from>
    <xdr:to>
      <xdr:col>9</xdr:col>
      <xdr:colOff>38100</xdr:colOff>
      <xdr:row>223</xdr:row>
      <xdr:rowOff>72390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5B4510-35A6-45A8-83CF-8719ECF3A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620485</xdr:colOff>
      <xdr:row>292</xdr:row>
      <xdr:rowOff>76200</xdr:rowOff>
    </xdr:from>
    <xdr:to>
      <xdr:col>7</xdr:col>
      <xdr:colOff>470263</xdr:colOff>
      <xdr:row>302</xdr:row>
      <xdr:rowOff>106681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0BE855-FE3F-4BED-845D-4069C51F5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141514</xdr:colOff>
      <xdr:row>309</xdr:row>
      <xdr:rowOff>125185</xdr:rowOff>
    </xdr:from>
    <xdr:to>
      <xdr:col>8</xdr:col>
      <xdr:colOff>72934</xdr:colOff>
      <xdr:row>321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D8AF28-5257-43B6-A13F-A8767C783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91440</xdr:colOff>
      <xdr:row>354</xdr:row>
      <xdr:rowOff>60960</xdr:rowOff>
    </xdr:from>
    <xdr:to>
      <xdr:col>8</xdr:col>
      <xdr:colOff>601980</xdr:colOff>
      <xdr:row>359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683478-1BD9-491D-A47D-76B2A7448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7955</xdr:colOff>
      <xdr:row>6</xdr:row>
      <xdr:rowOff>21667</xdr:rowOff>
    </xdr:from>
    <xdr:to>
      <xdr:col>7</xdr:col>
      <xdr:colOff>742532</xdr:colOff>
      <xdr:row>13</xdr:row>
      <xdr:rowOff>97867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62B18-6DE6-4611-A504-A0CDB811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168519</xdr:colOff>
      <xdr:row>6</xdr:row>
      <xdr:rowOff>43961</xdr:rowOff>
    </xdr:from>
    <xdr:to>
      <xdr:col>15</xdr:col>
      <xdr:colOff>245871</xdr:colOff>
      <xdr:row>13</xdr:row>
      <xdr:rowOff>120161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65C57-C1C5-45C5-AE43-2463AEC1E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Thesis\params.xlsm" TargetMode="External"/><Relationship Id="rId1" Type="http://schemas.openxmlformats.org/officeDocument/2006/relationships/externalLinkPath" Target="para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demography"/>
      <sheetName val="public space"/>
      <sheetName val="reallocation policy"/>
      <sheetName val="vehicle adoption"/>
      <sheetName val="destination choice"/>
      <sheetName val="mode choice"/>
      <sheetName val="callib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0">
          <cell r="D40">
            <v>11.38069817403651</v>
          </cell>
        </row>
        <row r="48">
          <cell r="D48">
            <v>3.9392429667931514</v>
          </cell>
        </row>
        <row r="52">
          <cell r="D52">
            <v>4.8939972516282122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tabSelected="1" workbookViewId="0">
      <selection activeCell="C15" sqref="C15"/>
    </sheetView>
  </sheetViews>
  <sheetFormatPr defaultRowHeight="14.6" x14ac:dyDescent="0.4"/>
  <cols>
    <col min="1" max="1" width="3.61328125" customWidth="1"/>
    <col min="2" max="2" width="17.765625" customWidth="1"/>
  </cols>
  <sheetData>
    <row r="2" spans="2:3" ht="20.6" x14ac:dyDescent="0.55000000000000004">
      <c r="B2" s="46" t="s">
        <v>177</v>
      </c>
    </row>
    <row r="3" spans="2:3" x14ac:dyDescent="0.4">
      <c r="B3" t="s">
        <v>178</v>
      </c>
    </row>
    <row r="4" spans="2:3" x14ac:dyDescent="0.4">
      <c r="B4" s="61" t="s">
        <v>179</v>
      </c>
      <c r="C4" s="39" t="s">
        <v>176</v>
      </c>
    </row>
    <row r="5" spans="2:3" x14ac:dyDescent="0.4">
      <c r="B5" s="61" t="s">
        <v>180</v>
      </c>
      <c r="C5" s="39" t="s">
        <v>193</v>
      </c>
    </row>
    <row r="6" spans="2:3" x14ac:dyDescent="0.4">
      <c r="B6" s="61" t="s">
        <v>181</v>
      </c>
      <c r="C6" s="39" t="s">
        <v>184</v>
      </c>
    </row>
    <row r="7" spans="2:3" x14ac:dyDescent="0.4">
      <c r="B7" s="60"/>
    </row>
  </sheetData>
  <hyperlinks>
    <hyperlink ref="B4" location="'MARS lookups'!A1" display="MARS lookups" xr:uid="{BE104DE5-8D71-4EA5-8EEB-E804634069D7}"/>
    <hyperlink ref="B5" location="'effect lookups'!A1" display="effect lookups" xr:uid="{4324D426-1253-41FE-9214-B587B3993C4A}"/>
    <hyperlink ref="B6" location="'scenario switches'!A1" display="scenario switches" xr:uid="{3212E6B3-3629-40B0-8239-76BBA14F84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0E01-16AE-49C6-8F9D-DD1D1F6F6C8B}">
  <sheetPr codeName="Sheet9"/>
  <dimension ref="B2:Q62"/>
  <sheetViews>
    <sheetView workbookViewId="0">
      <selection activeCell="B3" sqref="B3"/>
    </sheetView>
  </sheetViews>
  <sheetFormatPr defaultRowHeight="14.6" x14ac:dyDescent="0.4"/>
  <cols>
    <col min="1" max="1" width="4" customWidth="1"/>
  </cols>
  <sheetData>
    <row r="2" spans="2:17" ht="28.75" customHeight="1" x14ac:dyDescent="0.55000000000000004">
      <c r="B2" s="46" t="s">
        <v>182</v>
      </c>
    </row>
    <row r="3" spans="2:17" x14ac:dyDescent="0.4">
      <c r="B3" t="s">
        <v>176</v>
      </c>
    </row>
    <row r="4" spans="2:17" x14ac:dyDescent="0.4">
      <c r="B4" t="s">
        <v>175</v>
      </c>
    </row>
    <row r="5" spans="2:17" x14ac:dyDescent="0.4">
      <c r="B5" t="s">
        <v>174</v>
      </c>
    </row>
    <row r="6" spans="2:17" x14ac:dyDescent="0.4">
      <c r="B6" t="s">
        <v>173</v>
      </c>
    </row>
    <row r="7" spans="2:17" ht="15" thickBot="1" x14ac:dyDescent="0.45"/>
    <row r="8" spans="2:17" ht="15" thickBot="1" x14ac:dyDescent="0.45">
      <c r="B8" s="12" t="s">
        <v>172</v>
      </c>
      <c r="C8" s="51"/>
      <c r="D8" s="12"/>
      <c r="E8" s="51"/>
      <c r="F8" s="51"/>
      <c r="G8" s="51"/>
      <c r="H8" s="51"/>
      <c r="I8" s="51"/>
      <c r="J8" s="51"/>
      <c r="K8" s="50"/>
      <c r="L8" s="50"/>
      <c r="M8" s="50"/>
      <c r="N8" s="50"/>
      <c r="O8" s="50"/>
      <c r="P8" s="50"/>
      <c r="Q8" s="49"/>
    </row>
    <row r="9" spans="2:17" x14ac:dyDescent="0.4">
      <c r="B9" s="33" t="s">
        <v>167</v>
      </c>
      <c r="C9" s="48"/>
      <c r="D9" s="54"/>
      <c r="E9" s="52"/>
      <c r="F9" s="52"/>
      <c r="G9" s="52"/>
      <c r="H9" s="52"/>
      <c r="I9" s="52"/>
      <c r="J9" s="52"/>
      <c r="Q9" s="17"/>
    </row>
    <row r="10" spans="2:17" x14ac:dyDescent="0.4">
      <c r="B10" s="18"/>
      <c r="D10" s="18" t="s">
        <v>166</v>
      </c>
      <c r="E10" t="s">
        <v>165</v>
      </c>
      <c r="F10" t="s">
        <v>171</v>
      </c>
      <c r="Q10" s="17"/>
    </row>
    <row r="11" spans="2:17" x14ac:dyDescent="0.4">
      <c r="B11" s="18" t="s">
        <v>164</v>
      </c>
      <c r="D11" s="18">
        <v>0</v>
      </c>
      <c r="E11">
        <f>D11</f>
        <v>0</v>
      </c>
      <c r="F11">
        <f>D11*($C$21+$C$22*EXP($C$23*D11))</f>
        <v>0</v>
      </c>
      <c r="G11" s="19" t="str">
        <f>"("&amp;_xlfn.TEXTJOIN(",",TRUE,$D11,TEXT($E11,"0.000")&amp;")")</f>
        <v>(0,0.000)</v>
      </c>
      <c r="H11" s="19" t="str">
        <f>"("&amp;_xlfn.TEXTJOIN(",",TRUE,$D11,TEXT($F11,"0.000")&amp;")")</f>
        <v>(0,0.000)</v>
      </c>
      <c r="Q11" s="17"/>
    </row>
    <row r="12" spans="2:17" x14ac:dyDescent="0.4">
      <c r="B12" s="18"/>
      <c r="D12" s="18">
        <v>1</v>
      </c>
      <c r="E12">
        <f>D12</f>
        <v>1</v>
      </c>
      <c r="F12">
        <f>D12*($C$21+$C$22*EXP($C$23*D12))</f>
        <v>2.0002225540928493</v>
      </c>
      <c r="G12" s="19" t="str">
        <f>"("&amp;_xlfn.TEXTJOIN(",",TRUE,$D12,TEXT($E12,"0.000")&amp;")")</f>
        <v>(1,1.000)</v>
      </c>
      <c r="H12" s="19" t="str">
        <f>"("&amp;_xlfn.TEXTJOIN(",",TRUE,$D12,TEXT($F12,"0.000")&amp;")")</f>
        <v>(1,2.000)</v>
      </c>
      <c r="Q12" s="17"/>
    </row>
    <row r="13" spans="2:17" x14ac:dyDescent="0.4">
      <c r="B13" s="18"/>
      <c r="D13" s="18">
        <v>2</v>
      </c>
      <c r="E13">
        <f>D13</f>
        <v>2</v>
      </c>
      <c r="F13">
        <f>D13*($C$21+$C$22*EXP($C$23*D13))</f>
        <v>4.000990606484879</v>
      </c>
      <c r="G13" s="19" t="str">
        <f>"("&amp;_xlfn.TEXTJOIN(",",TRUE,$D13,TEXT($E13,"0.000")&amp;")")</f>
        <v>(2,2.000)</v>
      </c>
      <c r="H13" s="19" t="str">
        <f>"("&amp;_xlfn.TEXTJOIN(",",TRUE,$D13,TEXT($F13,"0.000")&amp;")")</f>
        <v>(2,4.001)</v>
      </c>
      <c r="Q13" s="17"/>
    </row>
    <row r="14" spans="2:17" x14ac:dyDescent="0.4">
      <c r="B14" s="18"/>
      <c r="D14" s="18">
        <v>3</v>
      </c>
      <c r="E14">
        <f>D14</f>
        <v>3</v>
      </c>
      <c r="F14">
        <f>D14*($C$21+$C$22*EXP($C$23*D14))</f>
        <v>6.0033069529141923</v>
      </c>
      <c r="G14" s="19" t="str">
        <f>"("&amp;_xlfn.TEXTJOIN(",",TRUE,$D14,TEXT($E14,"0.000")&amp;")")</f>
        <v>(3,3.000)</v>
      </c>
      <c r="H14" s="19" t="str">
        <f>"("&amp;_xlfn.TEXTJOIN(",",TRUE,$D14,TEXT($F14,"0.000")&amp;")")</f>
        <v>(3,6.003)</v>
      </c>
      <c r="Q14" s="17"/>
    </row>
    <row r="15" spans="2:17" x14ac:dyDescent="0.4">
      <c r="B15" s="18"/>
      <c r="D15" s="18">
        <v>4</v>
      </c>
      <c r="E15">
        <f>D15</f>
        <v>4</v>
      </c>
      <c r="F15">
        <f>D15*($C$21+$C$22*EXP($C$23*D15))</f>
        <v>8.009813012078844</v>
      </c>
      <c r="G15" s="19" t="str">
        <f>"("&amp;_xlfn.TEXTJOIN(",",TRUE,$D15,TEXT($E15,"0.000")&amp;")")</f>
        <v>(4,4.000)</v>
      </c>
      <c r="H15" s="19" t="str">
        <f>"("&amp;_xlfn.TEXTJOIN(",",TRUE,$D15,TEXT($F15,"0.000")&amp;")")</f>
        <v>(4,8.010)</v>
      </c>
      <c r="Q15" s="17"/>
    </row>
    <row r="16" spans="2:17" x14ac:dyDescent="0.4">
      <c r="B16" s="18"/>
      <c r="D16" s="18">
        <v>5</v>
      </c>
      <c r="E16">
        <f>D16</f>
        <v>5</v>
      </c>
      <c r="F16">
        <f>D16*($C$21+$C$22*EXP($C$23*D16))</f>
        <v>10.027299075016572</v>
      </c>
      <c r="G16" s="19" t="str">
        <f>"("&amp;_xlfn.TEXTJOIN(",",TRUE,$D16,TEXT($E16,"0.000")&amp;")")</f>
        <v>(5,5.000)</v>
      </c>
      <c r="H16" s="19" t="str">
        <f>"("&amp;_xlfn.TEXTJOIN(",",TRUE,$D16,TEXT($F16,"0.000")&amp;")")</f>
        <v>(5,10.027)</v>
      </c>
      <c r="Q16" s="17"/>
    </row>
    <row r="17" spans="2:17" x14ac:dyDescent="0.4">
      <c r="B17" s="18"/>
      <c r="D17" s="18">
        <v>6</v>
      </c>
      <c r="E17">
        <f>D17</f>
        <v>6</v>
      </c>
      <c r="F17">
        <f>D17*($C$21+$C$22*EXP($C$23*D17))</f>
        <v>12.07290625051124</v>
      </c>
      <c r="G17" s="19" t="str">
        <f>"("&amp;_xlfn.TEXTJOIN(",",TRUE,$D17,TEXT($E17,"0.000")&amp;")")</f>
        <v>(6,6.000)</v>
      </c>
      <c r="H17" s="19" t="str">
        <f>"("&amp;_xlfn.TEXTJOIN(",",TRUE,$D17,TEXT($F17,"0.000")&amp;")")</f>
        <v>(6,12.073)</v>
      </c>
      <c r="Q17" s="17"/>
    </row>
    <row r="18" spans="2:17" x14ac:dyDescent="0.4">
      <c r="B18" s="37" t="s">
        <v>170</v>
      </c>
      <c r="C18" s="53"/>
      <c r="D18" s="18">
        <v>7</v>
      </c>
      <c r="E18">
        <f>D18</f>
        <v>7</v>
      </c>
      <c r="F18">
        <f>D18*($C$21+$C$22*EXP($C$23*D18))</f>
        <v>14.189298485198307</v>
      </c>
      <c r="G18" s="19" t="str">
        <f>"("&amp;_xlfn.TEXTJOIN(",",TRUE,$D18,TEXT($E18,"0.000")&amp;")")</f>
        <v>(7,7.000)</v>
      </c>
      <c r="H18" s="19" t="str">
        <f>"("&amp;_xlfn.TEXTJOIN(",",TRUE,$D18,TEXT($F18,"0.000")&amp;")")</f>
        <v>(7,14.189)</v>
      </c>
      <c r="Q18" s="17"/>
    </row>
    <row r="19" spans="2:17" x14ac:dyDescent="0.4">
      <c r="B19" s="18"/>
      <c r="D19" s="18">
        <v>8</v>
      </c>
      <c r="E19">
        <f>D19</f>
        <v>8</v>
      </c>
      <c r="F19">
        <f>D19*($C$21+$C$22*EXP($C$23*D19))</f>
        <v>16.481476030297667</v>
      </c>
      <c r="G19" s="19" t="str">
        <f>"("&amp;_xlfn.TEXTJOIN(",",TRUE,$D19,TEXT($E19,"0.000")&amp;")")</f>
        <v>(8,8.000)</v>
      </c>
      <c r="H19" s="19" t="str">
        <f>"("&amp;_xlfn.TEXTJOIN(",",TRUE,$D19,TEXT($F19,"0.000")&amp;")")</f>
        <v>(8,16.481)</v>
      </c>
      <c r="I19" s="52"/>
      <c r="Q19" s="17"/>
    </row>
    <row r="20" spans="2:17" x14ac:dyDescent="0.4">
      <c r="B20" s="18" t="s">
        <v>160</v>
      </c>
      <c r="C20" t="s">
        <v>159</v>
      </c>
      <c r="D20" s="18">
        <v>9</v>
      </c>
      <c r="E20">
        <f>D20</f>
        <v>9</v>
      </c>
      <c r="F20">
        <f>D20*($C$21+$C$22*EXP($C$23*D20))</f>
        <v>19.205487687954978</v>
      </c>
      <c r="G20" s="19" t="str">
        <f>"("&amp;_xlfn.TEXTJOIN(",",TRUE,$D20,TEXT($E20,"0.000")&amp;")")</f>
        <v>(9,9.000)</v>
      </c>
      <c r="H20" s="19" t="str">
        <f>"("&amp;_xlfn.TEXTJOIN(",",TRUE,$D20,TEXT($F20,"0.000")&amp;")")</f>
        <v>(9,19.205)</v>
      </c>
      <c r="Q20" s="17"/>
    </row>
    <row r="21" spans="2:17" x14ac:dyDescent="0.4">
      <c r="B21" s="18" t="s">
        <v>158</v>
      </c>
      <c r="C21">
        <v>2</v>
      </c>
      <c r="D21" s="18">
        <v>10</v>
      </c>
      <c r="E21">
        <f>D21</f>
        <v>10</v>
      </c>
      <c r="F21">
        <f>D21*($C$21+$C$22*EXP($C$23*D21))</f>
        <v>22.98095798704173</v>
      </c>
      <c r="G21" s="19" t="str">
        <f>"("&amp;_xlfn.TEXTJOIN(",",TRUE,$D21,TEXT($E21,"0.000")&amp;")")</f>
        <v>(10,10.000)</v>
      </c>
      <c r="H21" s="19" t="str">
        <f>"("&amp;_xlfn.TEXTJOIN(",",TRUE,$D21,TEXT($F21,"0.000")&amp;")")</f>
        <v>(10,22.981)</v>
      </c>
      <c r="Q21" s="17"/>
    </row>
    <row r="22" spans="2:17" x14ac:dyDescent="0.4">
      <c r="B22" s="18" t="s">
        <v>157</v>
      </c>
      <c r="C22">
        <v>1E-4</v>
      </c>
      <c r="D22" s="18">
        <v>10.5</v>
      </c>
      <c r="E22">
        <f>D22</f>
        <v>10.5</v>
      </c>
      <c r="F22">
        <f>D22*($C$21+$C$22*EXP($C$23*D22))</f>
        <v>25.669420085084852</v>
      </c>
      <c r="G22" s="19" t="str">
        <f>"("&amp;_xlfn.TEXTJOIN(",",TRUE,$D22,TEXT($E22,"0.000")&amp;")")</f>
        <v>(10.5,10.500)</v>
      </c>
      <c r="H22" s="19" t="str">
        <f>"("&amp;_xlfn.TEXTJOIN(",",TRUE,$D22,TEXT($F22,"0.000")&amp;")")</f>
        <v>(10.5,25.669)</v>
      </c>
      <c r="Q22" s="17"/>
    </row>
    <row r="23" spans="2:17" x14ac:dyDescent="0.4">
      <c r="B23" s="18" t="s">
        <v>156</v>
      </c>
      <c r="C23">
        <v>0.8</v>
      </c>
      <c r="D23" s="18">
        <v>11</v>
      </c>
      <c r="E23">
        <f>D23</f>
        <v>11</v>
      </c>
      <c r="F23">
        <f>D23*($C$21+$C$22*EXP($C$23*D23))</f>
        <v>29.297668406905675</v>
      </c>
      <c r="G23" s="19" t="str">
        <f>"("&amp;_xlfn.TEXTJOIN(",",TRUE,$D23,TEXT($E23,"0.000")&amp;")")</f>
        <v>(11,11.000)</v>
      </c>
      <c r="H23" s="19" t="str">
        <f>"("&amp;_xlfn.TEXTJOIN(",",TRUE,$D23,TEXT($F23,"0.000")&amp;")")</f>
        <v>(11,29.298)</v>
      </c>
      <c r="Q23" s="17"/>
    </row>
    <row r="24" spans="2:17" x14ac:dyDescent="0.4">
      <c r="B24" s="18"/>
      <c r="D24" s="18">
        <v>11.5</v>
      </c>
      <c r="E24">
        <f>D24</f>
        <v>11.5</v>
      </c>
      <c r="F24">
        <f>D24*($C$21+$C$22*EXP($C$23*D24))</f>
        <v>34.381698417555519</v>
      </c>
      <c r="G24" s="19" t="str">
        <f>"("&amp;_xlfn.TEXTJOIN(",",TRUE,$D24,TEXT($E24,"0.000")&amp;")")</f>
        <v>(11.5,11.500)</v>
      </c>
      <c r="H24" s="19" t="str">
        <f>"("&amp;_xlfn.TEXTJOIN(",",TRUE,$D24,TEXT($F24,"0.000")&amp;")")</f>
        <v>(11.5,34.382)</v>
      </c>
      <c r="Q24" s="17"/>
    </row>
    <row r="25" spans="2:17" x14ac:dyDescent="0.4">
      <c r="B25" s="18"/>
      <c r="D25" s="18">
        <v>12</v>
      </c>
      <c r="E25">
        <f>D25</f>
        <v>12</v>
      </c>
      <c r="F25">
        <f>D25*($C$21+$C$22*EXP($C$23*D25))</f>
        <v>41.717737878692759</v>
      </c>
      <c r="G25" s="19" t="str">
        <f>"("&amp;_xlfn.TEXTJOIN(",",TRUE,$D25,TEXT($E25,"0.000")&amp;")")</f>
        <v>(12,12.000)</v>
      </c>
      <c r="H25" s="19" t="str">
        <f>"("&amp;_xlfn.TEXTJOIN(",",TRUE,$D25,TEXT($F25,"0.000")&amp;")")</f>
        <v>(12,41.718)</v>
      </c>
      <c r="Q25" s="17"/>
    </row>
    <row r="26" spans="2:17" x14ac:dyDescent="0.4">
      <c r="B26" s="18"/>
      <c r="D26" s="18">
        <v>12.5</v>
      </c>
      <c r="E26">
        <f>D26</f>
        <v>12.5</v>
      </c>
      <c r="F26">
        <f>D26*($C$21+$C$22*EXP($C$23*D26))</f>
        <v>52.533082243508403</v>
      </c>
      <c r="G26" s="19" t="str">
        <f>"("&amp;_xlfn.TEXTJOIN(",",TRUE,$D26,TEXT($E26,"0.000")&amp;")")</f>
        <v>(12.5,12.500)</v>
      </c>
      <c r="H26" s="19" t="str">
        <f>"("&amp;_xlfn.TEXTJOIN(",",TRUE,$D26,TEXT($F26,"0.000")&amp;")")</f>
        <v>(12.5,52.533)</v>
      </c>
      <c r="Q26" s="17"/>
    </row>
    <row r="27" spans="2:17" x14ac:dyDescent="0.4">
      <c r="B27" s="18"/>
      <c r="D27" s="18">
        <v>13</v>
      </c>
      <c r="E27">
        <f>D27</f>
        <v>13</v>
      </c>
      <c r="F27">
        <f>D27*($C$21+$C$22*EXP($C$23*D27))</f>
        <v>68.717513376776324</v>
      </c>
      <c r="G27" s="19" t="str">
        <f>"("&amp;_xlfn.TEXTJOIN(",",TRUE,$D27,TEXT($E27,"0.000")&amp;")")</f>
        <v>(13,13.000)</v>
      </c>
      <c r="H27" s="19" t="str">
        <f>"("&amp;_xlfn.TEXTJOIN(",",TRUE,$D27,TEXT($F27,"0.000")&amp;")")</f>
        <v>(13,68.718)</v>
      </c>
      <c r="J27" t="s">
        <v>169</v>
      </c>
      <c r="Q27" s="17"/>
    </row>
    <row r="28" spans="2:17" x14ac:dyDescent="0.4">
      <c r="B28" s="18"/>
      <c r="D28" s="18">
        <v>13.5</v>
      </c>
      <c r="E28">
        <f>D28</f>
        <v>13.5</v>
      </c>
      <c r="F28">
        <f>D28*($C$21+$C$22*EXP($C$23*D28))</f>
        <v>93.178081534115364</v>
      </c>
      <c r="G28" s="19" t="str">
        <f>"("&amp;_xlfn.TEXTJOIN(",",TRUE,$D28,TEXT($E28,"0.000")&amp;")")</f>
        <v>(13.5,13.500)</v>
      </c>
      <c r="H28" s="19" t="str">
        <f>"("&amp;_xlfn.TEXTJOIN(",",TRUE,$D28,TEXT($F28,"0.000")&amp;")")</f>
        <v>(13.5,93.178)</v>
      </c>
      <c r="Q28" s="17"/>
    </row>
    <row r="29" spans="2:17" x14ac:dyDescent="0.4">
      <c r="B29" s="18"/>
      <c r="D29" s="18">
        <v>14</v>
      </c>
      <c r="E29">
        <f>D29</f>
        <v>14</v>
      </c>
      <c r="F29">
        <f>D29*($C$21+$C$22*EXP($C$23*D29))</f>
        <v>130.38261856678182</v>
      </c>
      <c r="G29" s="19" t="str">
        <f>"("&amp;_xlfn.TEXTJOIN(",",TRUE,$D29,TEXT($E29,"0.000")&amp;")")</f>
        <v>(14,14.000)</v>
      </c>
      <c r="H29" s="19" t="str">
        <f>"("&amp;_xlfn.TEXTJOIN(",",TRUE,$D29,TEXT($F29,"0.000")&amp;")")</f>
        <v>(14,130.383)</v>
      </c>
      <c r="Q29" s="17"/>
    </row>
    <row r="30" spans="2:17" x14ac:dyDescent="0.4">
      <c r="B30" s="18"/>
      <c r="D30" s="18">
        <v>14.5</v>
      </c>
      <c r="E30">
        <f>D30</f>
        <v>14.5</v>
      </c>
      <c r="F30">
        <v>145</v>
      </c>
      <c r="G30" s="19" t="str">
        <f>"("&amp;_xlfn.TEXTJOIN(",",TRUE,$D30,TEXT($E30,"0.000")&amp;")")</f>
        <v>(14.5,14.500)</v>
      </c>
      <c r="H30" s="19" t="str">
        <f>"("&amp;_xlfn.TEXTJOIN(",",TRUE,$D30,TEXT($F30,"0.000")&amp;")")</f>
        <v>(14.5,145.000)</v>
      </c>
      <c r="Q30" s="17"/>
    </row>
    <row r="31" spans="2:17" x14ac:dyDescent="0.4">
      <c r="B31" s="18"/>
      <c r="D31" s="18">
        <v>15</v>
      </c>
      <c r="E31">
        <f>D31</f>
        <v>15</v>
      </c>
      <c r="F31">
        <v>155</v>
      </c>
      <c r="G31" s="19" t="str">
        <f>"("&amp;_xlfn.TEXTJOIN(",",TRUE,$D31,TEXT($E31,"0.000")&amp;")")</f>
        <v>(15,15.000)</v>
      </c>
      <c r="H31" s="19" t="str">
        <f>"("&amp;_xlfn.TEXTJOIN(",",TRUE,$D31,TEXT($F31,"0.000")&amp;")")</f>
        <v>(15,155.000)</v>
      </c>
      <c r="Q31" s="17"/>
    </row>
    <row r="32" spans="2:17" x14ac:dyDescent="0.4">
      <c r="B32" s="18"/>
      <c r="D32" s="18">
        <v>15.5</v>
      </c>
      <c r="E32">
        <f>D32</f>
        <v>15.5</v>
      </c>
      <c r="F32">
        <v>160</v>
      </c>
      <c r="G32" s="19" t="str">
        <f>"("&amp;_xlfn.TEXTJOIN(",",TRUE,$D32,TEXT($E32,"0.000")&amp;")")</f>
        <v>(15.5,15.500)</v>
      </c>
      <c r="H32" s="19" t="str">
        <f>"("&amp;_xlfn.TEXTJOIN(",",TRUE,$D32,TEXT($F32,"0.000")&amp;")")</f>
        <v>(15.5,160.000)</v>
      </c>
      <c r="Q32" s="17"/>
    </row>
    <row r="33" spans="2:17" x14ac:dyDescent="0.4">
      <c r="B33" s="18"/>
      <c r="D33" s="18">
        <v>16</v>
      </c>
      <c r="E33">
        <f>D33</f>
        <v>16</v>
      </c>
      <c r="F33">
        <v>162</v>
      </c>
      <c r="G33" s="19" t="str">
        <f>"("&amp;_xlfn.TEXTJOIN(",",TRUE,$D33,TEXT($E33,"0.000")&amp;")")</f>
        <v>(16,16.000)</v>
      </c>
      <c r="H33" s="19" t="str">
        <f>"("&amp;_xlfn.TEXTJOIN(",",TRUE,$D33,TEXT($F33,"0.000")&amp;")")</f>
        <v>(16,162.000)</v>
      </c>
      <c r="Q33" s="17"/>
    </row>
    <row r="34" spans="2:17" x14ac:dyDescent="0.4">
      <c r="B34" s="18"/>
      <c r="D34" s="18">
        <v>25</v>
      </c>
      <c r="E34">
        <f>D34</f>
        <v>25</v>
      </c>
      <c r="F34">
        <v>162</v>
      </c>
      <c r="G34" s="19" t="str">
        <f>"("&amp;_xlfn.TEXTJOIN(",",TRUE,$D34,TEXT($E34,"0.000")&amp;")")</f>
        <v>(25,25.000)</v>
      </c>
      <c r="H34" s="19" t="str">
        <f>"("&amp;_xlfn.TEXTJOIN(",",TRUE,$D34,TEXT($F34,"0.000")&amp;")")</f>
        <v>(25,162.000)</v>
      </c>
      <c r="Q34" s="17"/>
    </row>
    <row r="35" spans="2:17" x14ac:dyDescent="0.4">
      <c r="B35" s="18"/>
      <c r="D35" s="18" t="s">
        <v>4</v>
      </c>
      <c r="E35" s="20" t="str">
        <f>_xlfn.TEXTJOIN(",",TRUE,G11:G34)</f>
        <v>(0,0.000),(1,1.000),(2,2.000),(3,3.000),(4,4.000),(5,5.000),(6,6.000),(7,7.000),(8,8.000),(9,9.000),(10,10.000),(10.5,10.500),(11,11.000),(11.5,11.500),(12,12.000),(12.5,12.500),(13,13.000),(13.5,13.500),(14,14.000),(14.5,14.500),(15,15.000),(15.5,15.500),(16,16.000),(25,25.000)</v>
      </c>
      <c r="F35" s="20" t="str">
        <f>_xlfn.TEXTJOIN(",",TRUE,H11:H34)</f>
        <v>(0,0.000),(1,2.000),(2,4.001),(3,6.003),(4,8.010),(5,10.027),(6,12.073),(7,14.189),(8,16.481),(9,19.205),(10,22.981),(10.5,25.669),(11,29.298),(11.5,34.382),(12,41.718),(12.5,52.533),(13,68.718),(13.5,93.178),(14,130.383),(14.5,145.000),(15,155.000),(15.5,160.000),(16,162.000),(25,162.000)</v>
      </c>
      <c r="Q35" s="17"/>
    </row>
    <row r="36" spans="2:17" ht="15" thickBot="1" x14ac:dyDescent="0.45">
      <c r="B36" s="18"/>
      <c r="D36" s="18"/>
      <c r="F36" s="20"/>
      <c r="G36" s="20"/>
      <c r="Q36" s="17"/>
    </row>
    <row r="37" spans="2:17" ht="15" thickBot="1" x14ac:dyDescent="0.45">
      <c r="B37" s="12" t="s">
        <v>168</v>
      </c>
      <c r="C37" s="51"/>
      <c r="D37" s="12"/>
      <c r="E37" s="51"/>
      <c r="F37" s="51"/>
      <c r="G37" s="51"/>
      <c r="H37" s="51"/>
      <c r="I37" s="51"/>
      <c r="J37" s="51"/>
      <c r="K37" s="50"/>
      <c r="L37" s="50"/>
      <c r="M37" s="50"/>
      <c r="N37" s="50"/>
      <c r="O37" s="50"/>
      <c r="P37" s="50"/>
      <c r="Q37" s="49"/>
    </row>
    <row r="38" spans="2:17" x14ac:dyDescent="0.4">
      <c r="B38" s="33" t="s">
        <v>167</v>
      </c>
      <c r="C38" s="48"/>
      <c r="D38" s="18"/>
      <c r="Q38" s="17"/>
    </row>
    <row r="39" spans="2:17" x14ac:dyDescent="0.4">
      <c r="B39" s="18"/>
      <c r="D39" s="18" t="s">
        <v>166</v>
      </c>
      <c r="E39" t="s">
        <v>165</v>
      </c>
      <c r="F39" t="s">
        <v>163</v>
      </c>
      <c r="G39" t="s">
        <v>162</v>
      </c>
      <c r="H39" t="s">
        <v>161</v>
      </c>
      <c r="Q39" s="17"/>
    </row>
    <row r="40" spans="2:17" x14ac:dyDescent="0.4">
      <c r="B40" s="18" t="s">
        <v>164</v>
      </c>
      <c r="D40" s="18">
        <v>0</v>
      </c>
      <c r="E40">
        <f>D40</f>
        <v>0</v>
      </c>
      <c r="F40">
        <f>$C$45+$C$46*EXP($C$47*D40)</f>
        <v>0.84367400000000004</v>
      </c>
      <c r="G40">
        <f>$D40*($C$52+$C$53*EXP($C$54*$D40))</f>
        <v>0</v>
      </c>
      <c r="H40">
        <f>$D40*($C$59+$C$60*EXP($C$61*$D40))</f>
        <v>0</v>
      </c>
      <c r="I40" s="19" t="str">
        <f>"("&amp;_xlfn.TEXTJOIN(",",TRUE,$D40,TEXT(E40,"0.000")&amp;")")</f>
        <v>(0,0.000)</v>
      </c>
      <c r="J40" s="19" t="str">
        <f>"("&amp;_xlfn.TEXTJOIN(",",TRUE,$D40,TEXT($F40,"0.000")&amp;")")</f>
        <v>(0,0.844)</v>
      </c>
      <c r="K40" s="19" t="str">
        <f>"("&amp;_xlfn.TEXTJOIN(",",TRUE,$D40,TEXT($G40,"0.000")&amp;")")</f>
        <v>(0,0.000)</v>
      </c>
      <c r="L40" s="19" t="str">
        <f>"("&amp;_xlfn.TEXTJOIN(",",TRUE,$D40,TEXT($H40,"0.000")&amp;")")</f>
        <v>(0,0.000)</v>
      </c>
      <c r="Q40" s="17"/>
    </row>
    <row r="41" spans="2:17" ht="15" thickBot="1" x14ac:dyDescent="0.45">
      <c r="B41" s="18"/>
      <c r="D41" s="18">
        <v>1</v>
      </c>
      <c r="E41">
        <f>D41</f>
        <v>1</v>
      </c>
      <c r="F41">
        <f>D41*($C$45+$C$46*EXP($C$47*D41))</f>
        <v>0.95584800616759935</v>
      </c>
      <c r="G41">
        <f>$D41*($C$52+$C$53*EXP($C$54*$D41))</f>
        <v>1.2643572240560534</v>
      </c>
      <c r="H41">
        <f>$D41*($C$59+$C$60*EXP($C$61*$D41))</f>
        <v>1.5069307673213665</v>
      </c>
      <c r="I41" s="19" t="str">
        <f>"("&amp;_xlfn.TEXTJOIN(",",TRUE,$D41,TEXT(E41,"0.000")&amp;")")</f>
        <v>(1,1.000)</v>
      </c>
      <c r="J41" s="19" t="str">
        <f>"("&amp;_xlfn.TEXTJOIN(",",TRUE,$D41,TEXT($F41,"0.000")&amp;")")</f>
        <v>(1,0.956)</v>
      </c>
      <c r="K41" s="19" t="str">
        <f>"("&amp;_xlfn.TEXTJOIN(",",TRUE,$D41,TEXT($G41,"0.000")&amp;")")</f>
        <v>(1,1.264)</v>
      </c>
      <c r="L41" s="19" t="str">
        <f>"("&amp;_xlfn.TEXTJOIN(",",TRUE,$D41,TEXT($H41,"0.000")&amp;")")</f>
        <v>(1,1.507)</v>
      </c>
      <c r="Q41" s="17"/>
    </row>
    <row r="42" spans="2:17" x14ac:dyDescent="0.4">
      <c r="B42" s="33" t="s">
        <v>163</v>
      </c>
      <c r="C42" s="48"/>
      <c r="D42" s="18">
        <v>2</v>
      </c>
      <c r="E42">
        <f>D42</f>
        <v>2</v>
      </c>
      <c r="F42">
        <f>D42*($C$45+$C$46*EXP($C$47*D42))</f>
        <v>2.2277251675669065</v>
      </c>
      <c r="G42">
        <f>$D42*($C$52+$C$53*EXP($C$54*$D42))</f>
        <v>3.1000006080793923</v>
      </c>
      <c r="H42">
        <f>$D42*($C$59+$C$60*EXP($C$61*$D42))</f>
        <v>3.6000014418211586</v>
      </c>
      <c r="I42" s="19" t="str">
        <f>"("&amp;_xlfn.TEXTJOIN(",",TRUE,$D42,TEXT(E42,"0.000")&amp;")")</f>
        <v>(2,2.000)</v>
      </c>
      <c r="J42" s="19" t="str">
        <f>"("&amp;_xlfn.TEXTJOIN(",",TRUE,$D42,TEXT($F42,"0.000")&amp;")")</f>
        <v>(2,2.228)</v>
      </c>
      <c r="K42" s="19" t="str">
        <f>"("&amp;_xlfn.TEXTJOIN(",",TRUE,$D42,TEXT($G42,"0.000")&amp;")")</f>
        <v>(2,3.100)</v>
      </c>
      <c r="L42" s="19" t="str">
        <f>"("&amp;_xlfn.TEXTJOIN(",",TRUE,$D42,TEXT($H42,"0.000")&amp;")")</f>
        <v>(2,3.600)</v>
      </c>
      <c r="Q42" s="17"/>
    </row>
    <row r="43" spans="2:17" x14ac:dyDescent="0.4">
      <c r="B43" s="18"/>
      <c r="D43" s="18">
        <f>D42+0.5</f>
        <v>2.5</v>
      </c>
      <c r="E43">
        <f>D43</f>
        <v>2.5</v>
      </c>
      <c r="F43">
        <f>D43*($C$45+$C$46*EXP($C$47*D43))</f>
        <v>3.0391164432735378</v>
      </c>
      <c r="G43">
        <f>$D43*($C$52+$C$53*EXP($C$54*$D43))</f>
        <v>4.3264672142909877</v>
      </c>
      <c r="H43">
        <f>$D43*($C$59+$C$60*EXP($C$61*$D43))</f>
        <v>4.9716446543187702</v>
      </c>
      <c r="I43" s="19" t="str">
        <f>"("&amp;_xlfn.TEXTJOIN(",",TRUE,$D43,TEXT(E43,"0.000")&amp;")")</f>
        <v>(2.5,2.500)</v>
      </c>
      <c r="J43" s="19" t="str">
        <f>"("&amp;_xlfn.TEXTJOIN(",",TRUE,$D43,TEXT($F43,"0.000")&amp;")")</f>
        <v>(2.5,3.039)</v>
      </c>
      <c r="K43" s="19" t="str">
        <f>"("&amp;_xlfn.TEXTJOIN(",",TRUE,$D43,TEXT($G43,"0.000")&amp;")")</f>
        <v>(2.5,4.326)</v>
      </c>
      <c r="L43" s="19" t="str">
        <f>"("&amp;_xlfn.TEXTJOIN(",",TRUE,$D43,TEXT($H43,"0.000")&amp;")")</f>
        <v>(2.5,4.972)</v>
      </c>
      <c r="Q43" s="17"/>
    </row>
    <row r="44" spans="2:17" x14ac:dyDescent="0.4">
      <c r="B44" s="18" t="s">
        <v>160</v>
      </c>
      <c r="C44" t="s">
        <v>159</v>
      </c>
      <c r="D44" s="18">
        <f>D43+0.5</f>
        <v>3</v>
      </c>
      <c r="E44">
        <f>D44</f>
        <v>3</v>
      </c>
      <c r="F44">
        <f>D44*($C$45+$C$46*EXP($C$47*D44))</f>
        <v>4.0093522609412302</v>
      </c>
      <c r="G44">
        <f>$D44*($C$52+$C$53*EXP($C$54*$D44))</f>
        <v>5.8265693156642948</v>
      </c>
      <c r="H44">
        <f>$D44*($C$59+$C$60*EXP($C$61*$D44))</f>
        <v>6.6374095073949544</v>
      </c>
      <c r="I44" s="19" t="str">
        <f>"("&amp;_xlfn.TEXTJOIN(",",TRUE,$D44,TEXT(E44,"0.000")&amp;")")</f>
        <v>(3,3.000)</v>
      </c>
      <c r="J44" s="19" t="str">
        <f>"("&amp;_xlfn.TEXTJOIN(",",TRUE,$D44,TEXT($F44,"0.000")&amp;")")</f>
        <v>(3,4.009)</v>
      </c>
      <c r="K44" s="19" t="str">
        <f>"("&amp;_xlfn.TEXTJOIN(",",TRUE,$D44,TEXT($G44,"0.000")&amp;")")</f>
        <v>(3,5.827)</v>
      </c>
      <c r="L44" s="19" t="str">
        <f>"("&amp;_xlfn.TEXTJOIN(",",TRUE,$D44,TEXT($H44,"0.000")&amp;")")</f>
        <v>(3,6.637)</v>
      </c>
      <c r="Q44" s="17"/>
    </row>
    <row r="45" spans="2:17" x14ac:dyDescent="0.4">
      <c r="B45" s="18" t="s">
        <v>158</v>
      </c>
      <c r="C45">
        <v>0.56917899999999999</v>
      </c>
      <c r="D45" s="18">
        <f>D44+0.5</f>
        <v>3.5</v>
      </c>
      <c r="E45">
        <f>D45</f>
        <v>3.5</v>
      </c>
      <c r="F45">
        <f>D45*($C$45+$C$46*EXP($C$47*D45))</f>
        <v>5.1794028246409782</v>
      </c>
      <c r="G45">
        <f>$D45*($C$52+$C$53*EXP($C$54*$D45))</f>
        <v>7.6654763810716382</v>
      </c>
      <c r="H45">
        <f>$D45*($C$59+$C$60*EXP($C$61*$D45))</f>
        <v>8.6729561827074448</v>
      </c>
      <c r="I45" s="19" t="str">
        <f>"("&amp;_xlfn.TEXTJOIN(",",TRUE,$D45,TEXT(E45,"0.000")&amp;")")</f>
        <v>(3.5,3.500)</v>
      </c>
      <c r="J45" s="19" t="str">
        <f>"("&amp;_xlfn.TEXTJOIN(",",TRUE,$D45,TEXT($F45,"0.000")&amp;")")</f>
        <v>(3.5,5.179)</v>
      </c>
      <c r="K45" s="19" t="str">
        <f>"("&amp;_xlfn.TEXTJOIN(",",TRUE,$D45,TEXT($G45,"0.000")&amp;")")</f>
        <v>(3.5,7.665)</v>
      </c>
      <c r="L45" s="19" t="str">
        <f>"("&amp;_xlfn.TEXTJOIN(",",TRUE,$D45,TEXT($H45,"0.000")&amp;")")</f>
        <v>(3.5,8.673)</v>
      </c>
      <c r="Q45" s="17"/>
    </row>
    <row r="46" spans="2:17" x14ac:dyDescent="0.4">
      <c r="B46" s="18" t="s">
        <v>157</v>
      </c>
      <c r="C46">
        <v>0.27449499999999999</v>
      </c>
      <c r="D46" s="18">
        <f>D45+0.5</f>
        <v>4</v>
      </c>
      <c r="E46">
        <f>D46</f>
        <v>4</v>
      </c>
      <c r="F46">
        <f>D46*($C$45+$C$46*EXP($C$47*D46))</f>
        <v>6.600003585466931</v>
      </c>
      <c r="G46">
        <f>$D46*($C$52+$C$53*EXP($C$54*$D46))</f>
        <v>9.922671987525618</v>
      </c>
      <c r="H46">
        <f>$D46*($C$59+$C$60*EXP($C$61*$D46))</f>
        <v>11.171929333684503</v>
      </c>
      <c r="I46" s="19" t="str">
        <f>"("&amp;_xlfn.TEXTJOIN(",",TRUE,$D46,TEXT(E46,"0.000")&amp;")")</f>
        <v>(4,4.000)</v>
      </c>
      <c r="J46" s="19" t="str">
        <f>"("&amp;_xlfn.TEXTJOIN(",",TRUE,$D46,TEXT($F46,"0.000")&amp;")")</f>
        <v>(4,6.600)</v>
      </c>
      <c r="K46" s="19" t="str">
        <f>"("&amp;_xlfn.TEXTJOIN(",",TRUE,$D46,TEXT($G46,"0.000")&amp;")")</f>
        <v>(4,9.923)</v>
      </c>
      <c r="L46" s="19" t="str">
        <f>"("&amp;_xlfn.TEXTJOIN(",",TRUE,$D46,TEXT($H46,"0.000")&amp;")")</f>
        <v>(4,11.172)</v>
      </c>
      <c r="Q46" s="17"/>
    </row>
    <row r="47" spans="2:17" x14ac:dyDescent="0.4">
      <c r="B47" s="18" t="s">
        <v>156</v>
      </c>
      <c r="C47">
        <v>0.342636</v>
      </c>
      <c r="D47" s="18">
        <f>D46+0.5</f>
        <v>4.5</v>
      </c>
      <c r="E47">
        <f>D47</f>
        <v>4.5</v>
      </c>
      <c r="F47">
        <f>D47*($C$45+$C$46*EXP($C$47*D47))</f>
        <v>8.3338742012118452</v>
      </c>
      <c r="G47">
        <f>$D47*($C$52+$C$53*EXP($C$54*$D47))</f>
        <v>12.694948362585446</v>
      </c>
      <c r="H47">
        <f>$D47*($C$59+$C$60*EXP($C$61*$D47))</f>
        <v>14.250033439590618</v>
      </c>
      <c r="I47" s="19" t="str">
        <f>"("&amp;_xlfn.TEXTJOIN(",",TRUE,$D47,TEXT(E47,"0.000")&amp;")")</f>
        <v>(4.5,4.500)</v>
      </c>
      <c r="J47" s="19" t="str">
        <f>"("&amp;_xlfn.TEXTJOIN(",",TRUE,$D47,TEXT($F47,"0.000")&amp;")")</f>
        <v>(4.5,8.334)</v>
      </c>
      <c r="K47" s="19" t="str">
        <f>"("&amp;_xlfn.TEXTJOIN(",",TRUE,$D47,TEXT($G47,"0.000")&amp;")")</f>
        <v>(4.5,12.695)</v>
      </c>
      <c r="L47" s="19" t="str">
        <f>"("&amp;_xlfn.TEXTJOIN(",",TRUE,$D47,TEXT($H47,"0.000")&amp;")")</f>
        <v>(4.5,14.250)</v>
      </c>
      <c r="Q47" s="17"/>
    </row>
    <row r="48" spans="2:17" ht="15" thickBot="1" x14ac:dyDescent="0.45">
      <c r="B48" s="18"/>
      <c r="D48" s="18">
        <f>D47+0.5</f>
        <v>5</v>
      </c>
      <c r="E48">
        <f>D48</f>
        <v>5</v>
      </c>
      <c r="F48">
        <f>D48*($C$45+$C$46*EXP($C$47*D48))</f>
        <v>10.458425802242385</v>
      </c>
      <c r="G48">
        <f>$D48*($C$52+$C$53*EXP($C$54*$D48))</f>
        <v>16.100007316942623</v>
      </c>
      <c r="H48">
        <f>$D48*($C$59+$C$60*EXP($C$61*$D48))</f>
        <v>18.050002498548739</v>
      </c>
      <c r="I48" s="19" t="str">
        <f>"("&amp;_xlfn.TEXTJOIN(",",TRUE,$D48,TEXT(E48,"0.000")&amp;")")</f>
        <v>(5,5.000)</v>
      </c>
      <c r="J48" s="19" t="str">
        <f>"("&amp;_xlfn.TEXTJOIN(",",TRUE,$D48,TEXT($F48,"0.000")&amp;")")</f>
        <v>(5,10.458)</v>
      </c>
      <c r="K48" s="19" t="str">
        <f>"("&amp;_xlfn.TEXTJOIN(",",TRUE,$D48,TEXT($G48,"0.000")&amp;")")</f>
        <v>(5,16.100)</v>
      </c>
      <c r="L48" s="19" t="str">
        <f>"("&amp;_xlfn.TEXTJOIN(",",TRUE,$D48,TEXT($H48,"0.000")&amp;")")</f>
        <v>(5,18.050)</v>
      </c>
      <c r="Q48" s="17"/>
    </row>
    <row r="49" spans="2:17" x14ac:dyDescent="0.4">
      <c r="B49" s="33" t="s">
        <v>162</v>
      </c>
      <c r="C49" s="48"/>
      <c r="D49" s="18">
        <f>D48+0.5</f>
        <v>5.5</v>
      </c>
      <c r="E49">
        <f>D49</f>
        <v>5.5</v>
      </c>
      <c r="F49">
        <f>D49*($C$45+$C$46*EXP($C$47*D49))</f>
        <v>13.069061575902825</v>
      </c>
      <c r="G49">
        <f>$D49*($C$52+$C$53*EXP($C$54*$D49))</f>
        <v>20.280787529583623</v>
      </c>
      <c r="H49">
        <f>$D49*($C$59+$C$60*EXP($C$61*$D49))</f>
        <v>22.74765585555059</v>
      </c>
      <c r="I49" s="19" t="str">
        <f>"("&amp;_xlfn.TEXTJOIN(",",TRUE,$D49,TEXT(E49,"0.000")&amp;")")</f>
        <v>(5.5,5.500)</v>
      </c>
      <c r="J49" s="19" t="str">
        <f>"("&amp;_xlfn.TEXTJOIN(",",TRUE,$D49,TEXT($F49,"0.000")&amp;")")</f>
        <v>(5.5,13.069)</v>
      </c>
      <c r="K49" s="19" t="str">
        <f>"("&amp;_xlfn.TEXTJOIN(",",TRUE,$D49,TEXT($G49,"0.000")&amp;")")</f>
        <v>(5.5,20.281)</v>
      </c>
      <c r="L49" s="19" t="str">
        <f>"("&amp;_xlfn.TEXTJOIN(",",TRUE,$D49,TEXT($H49,"0.000")&amp;")")</f>
        <v>(5.5,22.748)</v>
      </c>
      <c r="Q49" s="17"/>
    </row>
    <row r="50" spans="2:17" x14ac:dyDescent="0.4">
      <c r="B50" s="18"/>
      <c r="D50" s="18">
        <f>D49+0.5</f>
        <v>6</v>
      </c>
      <c r="E50">
        <f>D50</f>
        <v>6</v>
      </c>
      <c r="F50">
        <f>D50*($C$45+$C$46*EXP($C$47*D50))</f>
        <v>16.283197877185238</v>
      </c>
      <c r="G50">
        <f>$D50*($C$52+$C$53*EXP($C$54*$D50))</f>
        <v>25.410661467773384</v>
      </c>
      <c r="H50">
        <f>$D50*($C$59+$C$60*EXP($C$61*$D50))</f>
        <v>28.559272386384698</v>
      </c>
      <c r="I50" s="19" t="str">
        <f>"("&amp;_xlfn.TEXTJOIN(",",TRUE,$D50,TEXT(E50,"0.000")&amp;")")</f>
        <v>(6,6.000)</v>
      </c>
      <c r="J50" s="19" t="str">
        <f>"("&amp;_xlfn.TEXTJOIN(",",TRUE,$D50,TEXT($F50,"0.000")&amp;")")</f>
        <v>(6,16.283)</v>
      </c>
      <c r="K50" s="19" t="str">
        <f>"("&amp;_xlfn.TEXTJOIN(",",TRUE,$D50,TEXT($G50,"0.000")&amp;")")</f>
        <v>(6,25.411)</v>
      </c>
      <c r="L50" s="19" t="str">
        <f>"("&amp;_xlfn.TEXTJOIN(",",TRUE,$D50,TEXT($H50,"0.000")&amp;")")</f>
        <v>(6,28.559)</v>
      </c>
      <c r="Q50" s="17"/>
    </row>
    <row r="51" spans="2:17" x14ac:dyDescent="0.4">
      <c r="B51" s="18" t="s">
        <v>160</v>
      </c>
      <c r="C51" t="s">
        <v>159</v>
      </c>
      <c r="D51" s="18">
        <f>D50+0.5</f>
        <v>6.5</v>
      </c>
      <c r="E51">
        <f>D51</f>
        <v>6.5</v>
      </c>
      <c r="F51">
        <f>D51*($C$45+$C$46*EXP($C$47*D51))</f>
        <v>20.245159897044029</v>
      </c>
      <c r="G51">
        <f>$D51*($C$52+$C$53*EXP($C$54*$D51))</f>
        <v>31.699673015675064</v>
      </c>
      <c r="H51">
        <f>$D51*($C$59+$C$60*EXP($C$61*$D51))</f>
        <v>35.750564089227886</v>
      </c>
      <c r="I51" s="19" t="str">
        <f>"("&amp;_xlfn.TEXTJOIN(",",TRUE,$D51,TEXT(E51,"0.000")&amp;")")</f>
        <v>(6.5,6.500)</v>
      </c>
      <c r="J51" s="19" t="str">
        <f>"("&amp;_xlfn.TEXTJOIN(",",TRUE,$D51,TEXT($F51,"0.000")&amp;")")</f>
        <v>(6.5,20.245)</v>
      </c>
      <c r="K51" s="19" t="str">
        <f>"("&amp;_xlfn.TEXTJOIN(",",TRUE,$D51,TEXT($G51,"0.000")&amp;")")</f>
        <v>(6.5,31.700)</v>
      </c>
      <c r="L51" s="19" t="str">
        <f>"("&amp;_xlfn.TEXTJOIN(",",TRUE,$D51,TEXT($H51,"0.000")&amp;")")</f>
        <v>(6.5,35.751)</v>
      </c>
      <c r="Q51" s="17"/>
    </row>
    <row r="52" spans="2:17" x14ac:dyDescent="0.4">
      <c r="B52" s="18" t="s">
        <v>158</v>
      </c>
      <c r="C52">
        <v>0.49856899999999998</v>
      </c>
      <c r="D52" s="18">
        <f>D51+0.5</f>
        <v>7</v>
      </c>
      <c r="E52">
        <f>D52</f>
        <v>7</v>
      </c>
      <c r="F52">
        <f>D52*($C$45+$C$46*EXP($C$47*D52))</f>
        <v>25.132138326283659</v>
      </c>
      <c r="G52">
        <f>$D52*($C$52+$C$53*EXP($C$54*$D52))</f>
        <v>39.402019996869384</v>
      </c>
      <c r="H52">
        <f>$D52*($C$59+$C$60*EXP($C$61*$D52))</f>
        <v>44.647589101444524</v>
      </c>
      <c r="I52" s="19" t="str">
        <f>"("&amp;_xlfn.TEXTJOIN(",",TRUE,$D52,TEXT(E52,"0.000")&amp;")")</f>
        <v>(7,7.000)</v>
      </c>
      <c r="J52" s="19" t="str">
        <f>"("&amp;_xlfn.TEXTJOIN(",",TRUE,$D52,TEXT($F52,"0.000")&amp;")")</f>
        <v>(7,25.132)</v>
      </c>
      <c r="K52" s="19" t="str">
        <f>"("&amp;_xlfn.TEXTJOIN(",",TRUE,$D52,TEXT($G52,"0.000")&amp;")")</f>
        <v>(7,39.402)</v>
      </c>
      <c r="L52" s="19" t="str">
        <f>"("&amp;_xlfn.TEXTJOIN(",",TRUE,$D52,TEXT($H52,"0.000")&amp;")")</f>
        <v>(7,44.648)</v>
      </c>
      <c r="Q52" s="17"/>
    </row>
    <row r="53" spans="2:17" x14ac:dyDescent="0.4">
      <c r="B53" s="18" t="s">
        <v>157</v>
      </c>
      <c r="C53">
        <v>0.55774599999999996</v>
      </c>
      <c r="D53" s="18">
        <f>D52+0.5</f>
        <v>7.5</v>
      </c>
      <c r="E53">
        <f>D53</f>
        <v>7.5</v>
      </c>
      <c r="F53">
        <f>D53*($C$45+$C$46*EXP($C$47*D53))</f>
        <v>31.161432592272721</v>
      </c>
      <c r="G53">
        <f>$D53*($C$52+$C$53*EXP($C$54*$D53))</f>
        <v>48.825025214944027</v>
      </c>
      <c r="H53">
        <f>$D53*($C$59+$C$60*EXP($C$61*$D53))</f>
        <v>55.650015341495937</v>
      </c>
      <c r="I53" s="19" t="str">
        <f>"("&amp;_xlfn.TEXTJOIN(",",TRUE,$D53,TEXT(E53,"0.000")&amp;")")</f>
        <v>(7.5,7.500)</v>
      </c>
      <c r="J53" s="19" t="str">
        <f>"("&amp;_xlfn.TEXTJOIN(",",TRUE,$D53,TEXT($F53,"0.000")&amp;")")</f>
        <v>(7.5,31.161)</v>
      </c>
      <c r="K53" s="19" t="str">
        <f>"("&amp;_xlfn.TEXTJOIN(",",TRUE,$D53,TEXT($G53,"0.000")&amp;")")</f>
        <v>(7.5,48.825)</v>
      </c>
      <c r="L53" s="19" t="str">
        <f>"("&amp;_xlfn.TEXTJOIN(",",TRUE,$D53,TEXT($H53,"0.000")&amp;")")</f>
        <v>(7.5,55.650)</v>
      </c>
      <c r="Q53" s="17"/>
    </row>
    <row r="54" spans="2:17" x14ac:dyDescent="0.4">
      <c r="B54" s="18" t="s">
        <v>156</v>
      </c>
      <c r="C54">
        <v>0.31700200000000001</v>
      </c>
      <c r="D54" s="18">
        <f>D53+0.5</f>
        <v>8</v>
      </c>
      <c r="E54">
        <f>D54</f>
        <v>8</v>
      </c>
      <c r="F54">
        <f>D54*($C$45+$C$46*EXP($C$47*D54))</f>
        <v>38.59925350249091</v>
      </c>
      <c r="G54">
        <f>$D54*($C$52+$C$53*EXP($C$54*$D54))</f>
        <v>60.339886599452377</v>
      </c>
      <c r="H54">
        <f>$D54*($C$59+$C$60*EXP($C$61*$D54))</f>
        <v>69.247231880208702</v>
      </c>
      <c r="I54" s="19" t="str">
        <f>"("&amp;_xlfn.TEXTJOIN(",",TRUE,$D54,TEXT(E54,"0.000")&amp;")")</f>
        <v>(8,8.000)</v>
      </c>
      <c r="J54" s="19" t="str">
        <f>"("&amp;_xlfn.TEXTJOIN(",",TRUE,$D54,TEXT($F54,"0.000")&amp;")")</f>
        <v>(8,38.599)</v>
      </c>
      <c r="K54" s="19" t="str">
        <f>"("&amp;_xlfn.TEXTJOIN(",",TRUE,$D54,TEXT($G54,"0.000")&amp;")")</f>
        <v>(8,60.340)</v>
      </c>
      <c r="L54" s="19" t="str">
        <f>"("&amp;_xlfn.TEXTJOIN(",",TRUE,$D54,TEXT($H54,"0.000")&amp;")")</f>
        <v>(8,69.247)</v>
      </c>
      <c r="Q54" s="17"/>
    </row>
    <row r="55" spans="2:17" ht="15" thickBot="1" x14ac:dyDescent="0.45">
      <c r="B55" s="18"/>
      <c r="D55" s="18">
        <f>D54+0.5</f>
        <v>8.5</v>
      </c>
      <c r="E55">
        <f>D55</f>
        <v>8.5</v>
      </c>
      <c r="F55">
        <f>D55*($C$45+$C$46*EXP($C$47*D55))</f>
        <v>47.771415170140742</v>
      </c>
      <c r="G55">
        <f>$D55*($C$52+$C$53*EXP($C$54*$D55))</f>
        <v>74.394552953095697</v>
      </c>
      <c r="H55">
        <f>$D55*($C$59+$C$60*EXP($C$61*$D55))</f>
        <v>86.037908786946076</v>
      </c>
      <c r="I55" s="19" t="str">
        <f>"("&amp;_xlfn.TEXTJOIN(",",TRUE,$D55,TEXT(E55,"0.000")&amp;")")</f>
        <v>(8.5,8.500)</v>
      </c>
      <c r="J55" s="19" t="str">
        <f>"("&amp;_xlfn.TEXTJOIN(",",TRUE,$D55,TEXT($F55,"0.000")&amp;")")</f>
        <v>(8.5,47.771)</v>
      </c>
      <c r="K55" s="19" t="str">
        <f>"("&amp;_xlfn.TEXTJOIN(",",TRUE,$D55,TEXT($G55,"0.000")&amp;")")</f>
        <v>(8.5,74.395)</v>
      </c>
      <c r="L55" s="19" t="str">
        <f>"("&amp;_xlfn.TEXTJOIN(",",TRUE,$D55,TEXT($H55,"0.000")&amp;")")</f>
        <v>(8.5,86.038)</v>
      </c>
      <c r="Q55" s="17"/>
    </row>
    <row r="56" spans="2:17" x14ac:dyDescent="0.4">
      <c r="B56" s="33" t="s">
        <v>161</v>
      </c>
      <c r="C56" s="48"/>
      <c r="D56" s="18">
        <f>D55+0.5</f>
        <v>9</v>
      </c>
      <c r="E56">
        <f>D56</f>
        <v>9</v>
      </c>
      <c r="F56">
        <f>D56*($C$45+$C$46*EXP($C$47*D56))</f>
        <v>59.076314929374334</v>
      </c>
      <c r="G56">
        <f>$D56*($C$52+$C$53*EXP($C$54*$D56))</f>
        <v>91.529138337400838</v>
      </c>
      <c r="H56">
        <f>$D56*($C$59+$C$60*EXP($C$61*$D56))</f>
        <v>106.75373120186424</v>
      </c>
      <c r="I56" s="19" t="str">
        <f>"("&amp;_xlfn.TEXTJOIN(",",TRUE,$D56,TEXT(E56,"0.000")&amp;")")</f>
        <v>(9,9.000)</v>
      </c>
      <c r="J56" s="19" t="str">
        <f>"("&amp;_xlfn.TEXTJOIN(",",TRUE,$D56,TEXT($F56,"0.000")&amp;")")</f>
        <v>(9,59.076)</v>
      </c>
      <c r="K56" s="19" t="str">
        <f>"("&amp;_xlfn.TEXTJOIN(",",TRUE,$D56,TEXT($G56,"0.000")&amp;")")</f>
        <v>(9,91.529)</v>
      </c>
      <c r="L56" s="19" t="str">
        <f>"("&amp;_xlfn.TEXTJOIN(",",TRUE,$D56,TEXT($H56,"0.000")&amp;")")</f>
        <v>(9,106.754)</v>
      </c>
      <c r="Q56" s="17"/>
    </row>
    <row r="57" spans="2:17" x14ac:dyDescent="0.4">
      <c r="B57" s="18"/>
      <c r="D57" s="18">
        <f>D56+0.5</f>
        <v>9.5</v>
      </c>
      <c r="E57">
        <f>D57</f>
        <v>9.5</v>
      </c>
      <c r="F57">
        <f>D57*($C$45+$C$46*EXP($C$47*D57))</f>
        <v>73.000682985993421</v>
      </c>
      <c r="G57">
        <f>$D57*($C$52+$C$53*EXP($C$54*$D57))</f>
        <v>112.39436731164743</v>
      </c>
      <c r="H57">
        <f>$D57*($C$59+$C$60*EXP($C$61*$D57))</f>
        <v>132.28818411879314</v>
      </c>
      <c r="I57" s="19" t="str">
        <f>"("&amp;_xlfn.TEXTJOIN(",",TRUE,$D57,TEXT(E57,"0.000")&amp;")")</f>
        <v>(9.5,9.500)</v>
      </c>
      <c r="J57" s="19" t="str">
        <f>"("&amp;_xlfn.TEXTJOIN(",",TRUE,$D57,TEXT($F57,"0.000")&amp;")")</f>
        <v>(9.5,73.001)</v>
      </c>
      <c r="K57" s="19" t="str">
        <f>"("&amp;_xlfn.TEXTJOIN(",",TRUE,$D57,TEXT($G57,"0.000")&amp;")")</f>
        <v>(9.5,112.394)</v>
      </c>
      <c r="L57" s="19" t="str">
        <f>"("&amp;_xlfn.TEXTJOIN(",",TRUE,$D57,TEXT($H57,"0.000")&amp;")")</f>
        <v>(9.5,132.288)</v>
      </c>
      <c r="Q57" s="17"/>
    </row>
    <row r="58" spans="2:17" x14ac:dyDescent="0.4">
      <c r="B58" s="18" t="s">
        <v>160</v>
      </c>
      <c r="C58" t="s">
        <v>159</v>
      </c>
      <c r="D58" s="18">
        <f>D57+0.5</f>
        <v>10</v>
      </c>
      <c r="E58">
        <f>D58</f>
        <v>10</v>
      </c>
      <c r="F58">
        <f>D58*($C$45+$C$46*EXP($C$47*D58))</f>
        <v>90.138683699468601</v>
      </c>
      <c r="G58">
        <f>$D58*($C$52+$C$53*EXP($C$54*$D58))</f>
        <v>137.77363743099787</v>
      </c>
      <c r="H58">
        <f>$D58*($C$59+$C$60*EXP($C$61*$D58))</f>
        <v>163.73144607205813</v>
      </c>
      <c r="I58" s="19" t="str">
        <f>"("&amp;_xlfn.TEXTJOIN(",",TRUE,$D58,TEXT(E58,"0.000")&amp;")")</f>
        <v>(10,10.000)</v>
      </c>
      <c r="J58" s="19" t="str">
        <f>"("&amp;_xlfn.TEXTJOIN(",",TRUE,$D58,TEXT($F58,"0.000")&amp;")")</f>
        <v>(10,90.139)</v>
      </c>
      <c r="K58" s="19" t="str">
        <f>"("&amp;_xlfn.TEXTJOIN(",",TRUE,$D58,TEXT($G58,"0.000")&amp;")")</f>
        <v>(10,137.774)</v>
      </c>
      <c r="L58" s="19" t="str">
        <f>"("&amp;_xlfn.TEXTJOIN(",",TRUE,$D58,TEXT($H58,"0.000")&amp;")")</f>
        <v>(10,163.731)</v>
      </c>
      <c r="Q58" s="17"/>
    </row>
    <row r="59" spans="2:17" x14ac:dyDescent="0.4">
      <c r="B59" s="18" t="s">
        <v>158</v>
      </c>
      <c r="C59">
        <v>0.78757900000000003</v>
      </c>
      <c r="D59" s="18" t="s">
        <v>4</v>
      </c>
      <c r="E59" s="20" t="str">
        <f>_xlfn.TEXTJOIN(",",TRUE,I40:I58)</f>
        <v>(0,0.000),(1,1.000),(2,2.000),(2.5,2.500),(3,3.000),(3.5,3.500),(4,4.000),(4.5,4.500),(5,5.000),(5.5,5.500),(6,6.000),(6.5,6.500),(7,7.000),(7.5,7.500),(8,8.000),(8.5,8.500),(9,9.000),(9.5,9.500),(10,10.000)</v>
      </c>
      <c r="F59" s="20" t="str">
        <f>_xlfn.TEXTJOIN(",",TRUE,J40:J58)</f>
        <v>(0,0.844),(1,0.956),(2,2.228),(2.5,3.039),(3,4.009),(3.5,5.179),(4,6.600),(4.5,8.334),(5,10.458),(5.5,13.069),(6,16.283),(6.5,20.245),(7,25.132),(7.5,31.161),(8,38.599),(8.5,47.771),(9,59.076),(9.5,73.001),(10,90.139)</v>
      </c>
      <c r="G59" s="20" t="str">
        <f>_xlfn.TEXTJOIN(",",TRUE,K40:K58)</f>
        <v>(0,0.000),(1,1.264),(2,3.100),(2.5,4.326),(3,5.827),(3.5,7.665),(4,9.923),(4.5,12.695),(5,16.100),(5.5,20.281),(6,25.411),(6.5,31.700),(7,39.402),(7.5,48.825),(8,60.340),(8.5,74.395),(9,91.529),(9.5,112.394),(10,137.774)</v>
      </c>
      <c r="H59" s="20" t="str">
        <f>_xlfn.TEXTJOIN(",",TRUE,L40:L58)</f>
        <v>(0,0.000),(1,1.507),(2,3.600),(2.5,4.972),(3,6.637),(3.5,8.673),(4,11.172),(4.5,14.250),(5,18.050),(5.5,22.748),(6,28.559),(6.5,35.751),(7,44.648),(7.5,55.650),(8,69.247),(8.5,86.038),(9,106.754),(9.5,132.288),(10,163.731)</v>
      </c>
      <c r="Q59" s="17"/>
    </row>
    <row r="60" spans="2:17" x14ac:dyDescent="0.4">
      <c r="B60" s="18" t="s">
        <v>157</v>
      </c>
      <c r="C60">
        <v>0.51111799999999996</v>
      </c>
      <c r="D60" s="18"/>
      <c r="Q60" s="17"/>
    </row>
    <row r="61" spans="2:17" x14ac:dyDescent="0.4">
      <c r="B61" s="18" t="s">
        <v>156</v>
      </c>
      <c r="C61">
        <v>0.34175</v>
      </c>
      <c r="D61" s="47"/>
      <c r="Q61" s="17"/>
    </row>
    <row r="62" spans="2:17" ht="15" thickBot="1" x14ac:dyDescent="0.45">
      <c r="B62" s="15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E5A1-4091-43C7-A56B-E03D393EFF0F}">
  <sheetPr codeName="Sheet2"/>
  <dimension ref="B2:AB364"/>
  <sheetViews>
    <sheetView zoomScaleNormal="100" workbookViewId="0">
      <selection activeCell="B3" sqref="B3"/>
    </sheetView>
  </sheetViews>
  <sheetFormatPr defaultRowHeight="14.6" x14ac:dyDescent="0.4"/>
  <cols>
    <col min="1" max="1" width="3.07421875" customWidth="1"/>
    <col min="2" max="2" width="17.23046875" customWidth="1"/>
    <col min="3" max="3" width="14.3046875" customWidth="1"/>
    <col min="4" max="4" width="10.3828125" bestFit="1" customWidth="1"/>
    <col min="5" max="5" width="8.765625" customWidth="1"/>
    <col min="11" max="11" width="15.07421875" customWidth="1"/>
    <col min="14" max="14" width="8.84375" customWidth="1"/>
    <col min="15" max="15" width="4.53515625" customWidth="1"/>
    <col min="17" max="17" width="15.4609375" customWidth="1"/>
    <col min="18" max="18" width="9.53515625" bestFit="1" customWidth="1"/>
    <col min="19" max="19" width="8.84375" customWidth="1"/>
    <col min="24" max="24" width="13.15234375" customWidth="1"/>
  </cols>
  <sheetData>
    <row r="2" spans="2:15" ht="28.75" customHeight="1" x14ac:dyDescent="0.55000000000000004">
      <c r="B2" s="46" t="s">
        <v>155</v>
      </c>
    </row>
    <row r="3" spans="2:15" x14ac:dyDescent="0.4">
      <c r="B3" t="s">
        <v>193</v>
      </c>
    </row>
    <row r="4" spans="2:15" x14ac:dyDescent="0.4">
      <c r="B4" t="s">
        <v>154</v>
      </c>
    </row>
    <row r="5" spans="2:15" x14ac:dyDescent="0.4">
      <c r="B5" t="s">
        <v>189</v>
      </c>
    </row>
    <row r="6" spans="2:15" ht="15" thickBot="1" x14ac:dyDescent="0.45"/>
    <row r="7" spans="2:15" x14ac:dyDescent="0.4">
      <c r="B7" s="12" t="s">
        <v>3</v>
      </c>
      <c r="C7" s="43" t="s">
        <v>153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7"/>
    </row>
    <row r="8" spans="2:15" x14ac:dyDescent="0.4">
      <c r="B8" s="18" t="s">
        <v>24</v>
      </c>
      <c r="C8" t="s">
        <v>139</v>
      </c>
      <c r="O8" s="17"/>
    </row>
    <row r="9" spans="2:15" x14ac:dyDescent="0.4">
      <c r="B9" s="18" t="s">
        <v>22</v>
      </c>
      <c r="C9">
        <v>0.4</v>
      </c>
      <c r="D9" t="s">
        <v>43</v>
      </c>
      <c r="E9" s="25" t="s">
        <v>127</v>
      </c>
      <c r="O9" s="17"/>
    </row>
    <row r="10" spans="2:15" x14ac:dyDescent="0.4">
      <c r="B10" s="18" t="s">
        <v>20</v>
      </c>
      <c r="C10">
        <v>0.9</v>
      </c>
      <c r="D10" t="s">
        <v>43</v>
      </c>
      <c r="E10" s="25" t="s">
        <v>152</v>
      </c>
      <c r="O10" s="17"/>
    </row>
    <row r="11" spans="2:15" x14ac:dyDescent="0.4">
      <c r="B11" s="18" t="s">
        <v>89</v>
      </c>
      <c r="C11">
        <v>0</v>
      </c>
      <c r="D11">
        <v>0.1</v>
      </c>
      <c r="E11" t="s">
        <v>43</v>
      </c>
      <c r="F11" s="25" t="s">
        <v>151</v>
      </c>
      <c r="O11" s="17"/>
    </row>
    <row r="12" spans="2:15" x14ac:dyDescent="0.4">
      <c r="B12" s="18" t="s">
        <v>17</v>
      </c>
      <c r="C12">
        <v>1</v>
      </c>
      <c r="D12">
        <v>0</v>
      </c>
      <c r="E12" t="s">
        <v>43</v>
      </c>
      <c r="F12" s="25"/>
      <c r="O12" s="17"/>
    </row>
    <row r="13" spans="2:15" x14ac:dyDescent="0.4">
      <c r="B13" s="18" t="s">
        <v>87</v>
      </c>
      <c r="C13">
        <f>1/C9</f>
        <v>2.5</v>
      </c>
      <c r="D13">
        <v>-0.2</v>
      </c>
      <c r="E13" t="s">
        <v>43</v>
      </c>
      <c r="F13" s="25" t="s">
        <v>150</v>
      </c>
      <c r="O13" s="17"/>
    </row>
    <row r="14" spans="2:15" x14ac:dyDescent="0.4">
      <c r="B14" s="18" t="s">
        <v>13</v>
      </c>
      <c r="C14" t="s">
        <v>149</v>
      </c>
      <c r="K14" t="s">
        <v>38</v>
      </c>
      <c r="O14" s="17"/>
    </row>
    <row r="15" spans="2:15" x14ac:dyDescent="0.4">
      <c r="B15" s="18" t="s">
        <v>148</v>
      </c>
      <c r="C15" t="s">
        <v>122</v>
      </c>
      <c r="L15" t="s">
        <v>37</v>
      </c>
      <c r="M15" t="s">
        <v>36</v>
      </c>
      <c r="N15" t="s">
        <v>35</v>
      </c>
      <c r="O15" s="17"/>
    </row>
    <row r="16" spans="2:15" x14ac:dyDescent="0.4">
      <c r="B16" s="18">
        <v>0</v>
      </c>
      <c r="C16" s="24">
        <f>D11</f>
        <v>0.1</v>
      </c>
      <c r="D16" s="19" t="str">
        <f>"("&amp;_xlfn.TEXTJOIN(",",TRUE,$B16,TEXT($C16,"0.000")&amp;")")</f>
        <v>(0,0.100)</v>
      </c>
      <c r="K16" t="s">
        <v>34</v>
      </c>
      <c r="L16">
        <v>0</v>
      </c>
      <c r="M16">
        <v>0.1</v>
      </c>
      <c r="N16">
        <v>0</v>
      </c>
      <c r="O16" s="17"/>
    </row>
    <row r="17" spans="2:15" x14ac:dyDescent="0.4">
      <c r="B17" s="42">
        <f>B16+($B$21-$B$16)/5</f>
        <v>0.2</v>
      </c>
      <c r="C17" s="23">
        <f>$L$22*B17^2+$M$22*B17+$N$22</f>
        <v>9.6000000000000002E-2</v>
      </c>
      <c r="D17" s="19" t="str">
        <f>"("&amp;_xlfn.TEXTJOIN(",",TRUE,$B17,TEXT($C17,"0.000")&amp;")")</f>
        <v>(0.2,0.096)</v>
      </c>
      <c r="K17" t="s">
        <v>33</v>
      </c>
      <c r="L17">
        <v>1</v>
      </c>
      <c r="M17">
        <f>D12</f>
        <v>0</v>
      </c>
      <c r="N17">
        <v>3</v>
      </c>
      <c r="O17" s="17"/>
    </row>
    <row r="18" spans="2:15" x14ac:dyDescent="0.4">
      <c r="B18" s="42">
        <f>B17+($B$21-$B$16)/5</f>
        <v>0.4</v>
      </c>
      <c r="C18" s="23">
        <f>$L$22*B18^2+$M$22*B18+$N$22</f>
        <v>8.4000000000000005E-2</v>
      </c>
      <c r="D18" s="19" t="str">
        <f>"("&amp;_xlfn.TEXTJOIN(",",TRUE,$B18,TEXT($C18,"0.000")&amp;")")</f>
        <v>(0.4,0.084)</v>
      </c>
      <c r="K18" t="s">
        <v>32</v>
      </c>
      <c r="L18">
        <v>1</v>
      </c>
      <c r="M18">
        <v>1</v>
      </c>
      <c r="N18">
        <v>0</v>
      </c>
      <c r="O18" s="17"/>
    </row>
    <row r="19" spans="2:15" x14ac:dyDescent="0.4">
      <c r="B19" s="42">
        <f>B18+($B$21-$B$16)/5</f>
        <v>0.60000000000000009</v>
      </c>
      <c r="C19" s="23">
        <f>$L$22*B19^2+$M$22*B19+$N$22</f>
        <v>6.4000000000000001E-2</v>
      </c>
      <c r="D19" s="19" t="str">
        <f>"("&amp;_xlfn.TEXTJOIN(",",TRUE,$B19,TEXT($C19,"0.000")&amp;")")</f>
        <v>(0.6,0.064)</v>
      </c>
      <c r="O19" s="17"/>
    </row>
    <row r="20" spans="2:15" x14ac:dyDescent="0.4">
      <c r="B20" s="42">
        <f>B19+($B$21-$B$16)/5</f>
        <v>0.8</v>
      </c>
      <c r="C20" s="23">
        <f>$L$22*B20^2+$M$22*B20+$N$22</f>
        <v>3.599999999999999E-2</v>
      </c>
      <c r="D20" s="19" t="str">
        <f>"("&amp;_xlfn.TEXTJOIN(",",TRUE,$B20,TEXT($C20,"0.000")&amp;")")</f>
        <v>(0.8,0.036)</v>
      </c>
      <c r="K20" t="s">
        <v>31</v>
      </c>
      <c r="O20" s="17"/>
    </row>
    <row r="21" spans="2:15" x14ac:dyDescent="0.4">
      <c r="B21" s="18">
        <v>1</v>
      </c>
      <c r="C21" s="23">
        <f>D12</f>
        <v>0</v>
      </c>
      <c r="D21" s="19" t="str">
        <f>"("&amp;_xlfn.TEXTJOIN(",",TRUE,$B21,TEXT($C21,"0.000")&amp;")")</f>
        <v>(1,0.000)</v>
      </c>
      <c r="L21" t="s">
        <v>30</v>
      </c>
      <c r="M21" t="s">
        <v>29</v>
      </c>
      <c r="N21" t="s">
        <v>28</v>
      </c>
      <c r="O21" s="17"/>
    </row>
    <row r="22" spans="2:15" x14ac:dyDescent="0.4">
      <c r="B22" s="42">
        <f>B21+($B$26-$B$21)/5</f>
        <v>1.3</v>
      </c>
      <c r="C22" s="23">
        <f>C21+C21-C20</f>
        <v>-3.599999999999999E-2</v>
      </c>
      <c r="D22" s="19" t="str">
        <f>"("&amp;_xlfn.TEXTJOIN(",",TRUE,$B22,TEXT($C22,"0.000")&amp;")")</f>
        <v>(1.3,-0.036)</v>
      </c>
      <c r="K22" t="s">
        <v>27</v>
      </c>
      <c r="L22">
        <f xml:space="preserve"> ( (M16 - M17) - (N16 * (L16 - L17)) ) / ((L16^2 - L17^2) - 2*L16*L17*(L16 - L17))</f>
        <v>-0.1</v>
      </c>
      <c r="M22">
        <f xml:space="preserve"> 2 * L16 * L22 + N16</f>
        <v>0</v>
      </c>
      <c r="N22">
        <f xml:space="preserve"> M16 - L16^2 * L22 - L16 * M22</f>
        <v>0.1</v>
      </c>
      <c r="O22" s="17"/>
    </row>
    <row r="23" spans="2:15" x14ac:dyDescent="0.4">
      <c r="B23" s="42">
        <f>B22+($B$26-$B$21)/5</f>
        <v>1.6</v>
      </c>
      <c r="C23" s="23">
        <v>-8.5000000000000006E-2</v>
      </c>
      <c r="D23" s="19" t="str">
        <f>"("&amp;_xlfn.TEXTJOIN(",",TRUE,$B23,TEXT($C23,"0.000")&amp;")")</f>
        <v>(1.6,-0.085)</v>
      </c>
      <c r="K23" t="s">
        <v>26</v>
      </c>
      <c r="L23" s="25" t="str">
        <f>"y = " &amp; 'effect lookups'!L22 &amp; "*x^2 + " &amp; 'effect lookups'!M22 &amp; "*x + " &amp; 'effect lookups'!N22</f>
        <v>y = -0.1*x^2 + 0*x + 0.1</v>
      </c>
      <c r="O23" s="17"/>
    </row>
    <row r="24" spans="2:15" x14ac:dyDescent="0.4">
      <c r="B24" s="42">
        <f>B23+($B$26-$B$21)/5</f>
        <v>1.9000000000000001</v>
      </c>
      <c r="C24" s="23">
        <v>-0.14000000000000001</v>
      </c>
      <c r="D24" s="19" t="str">
        <f>"("&amp;_xlfn.TEXTJOIN(",",TRUE,$B24,TEXT($C24,"0.000")&amp;")")</f>
        <v>(1.9,-0.140)</v>
      </c>
      <c r="O24" s="17"/>
    </row>
    <row r="25" spans="2:15" x14ac:dyDescent="0.4">
      <c r="B25" s="42">
        <f>B24+($B$26-$B$21)/5</f>
        <v>2.2000000000000002</v>
      </c>
      <c r="C25" s="23">
        <v>-0.19</v>
      </c>
      <c r="D25" s="19" t="str">
        <f>"("&amp;_xlfn.TEXTJOIN(",",TRUE,$B25,TEXT($C25,"0.000")&amp;")")</f>
        <v>(2.2,-0.190)</v>
      </c>
      <c r="O25" s="17"/>
    </row>
    <row r="26" spans="2:15" x14ac:dyDescent="0.4">
      <c r="B26" s="42">
        <v>2.5</v>
      </c>
      <c r="C26" s="23">
        <f>D13</f>
        <v>-0.2</v>
      </c>
      <c r="D26" s="19" t="str">
        <f>"("&amp;_xlfn.TEXTJOIN(",",TRUE,$B26,TEXT($C26,"0.000")&amp;")")</f>
        <v>(2.5,-0.200)</v>
      </c>
      <c r="K26">
        <v>2.5</v>
      </c>
      <c r="O26" s="17"/>
    </row>
    <row r="27" spans="2:15" x14ac:dyDescent="0.4">
      <c r="B27" s="18">
        <v>6</v>
      </c>
      <c r="C27" s="24">
        <f>C26</f>
        <v>-0.2</v>
      </c>
      <c r="D27" s="19" t="str">
        <f>"("&amp;_xlfn.TEXTJOIN(",",TRUE,$B27,TEXT($C27,"0.000")&amp;")")</f>
        <v>(6,-0.200)</v>
      </c>
      <c r="O27" s="17"/>
    </row>
    <row r="28" spans="2:15" x14ac:dyDescent="0.4">
      <c r="B28" s="18" t="s">
        <v>4</v>
      </c>
      <c r="C28" s="20" t="str">
        <f>_xlfn.TEXTJOIN(",",TRUE,D16:D27)</f>
        <v>(0,0.100),(0.2,0.096),(0.4,0.084),(0.6,0.064),(0.8,0.036),(1,0.000),(1.3,-0.036),(1.6,-0.085),(1.9,-0.140),(2.2,-0.190),(2.5,-0.200),(6,-0.200)</v>
      </c>
      <c r="O28" s="17"/>
    </row>
    <row r="29" spans="2:15" x14ac:dyDescent="0.4">
      <c r="B29" s="18"/>
      <c r="C29" s="20"/>
      <c r="O29" s="17"/>
    </row>
    <row r="30" spans="2:15" x14ac:dyDescent="0.4">
      <c r="B30" s="18" t="s">
        <v>10</v>
      </c>
      <c r="C30" s="57" t="s">
        <v>187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26"/>
    </row>
    <row r="31" spans="2:15" ht="15" thickBot="1" x14ac:dyDescent="0.45"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3"/>
    </row>
    <row r="32" spans="2:15" x14ac:dyDescent="0.4">
      <c r="B32" s="12" t="s">
        <v>3</v>
      </c>
      <c r="C32" s="43" t="s">
        <v>147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7"/>
    </row>
    <row r="33" spans="2:15" x14ac:dyDescent="0.4">
      <c r="B33" s="18" t="s">
        <v>24</v>
      </c>
      <c r="C33" t="s">
        <v>139</v>
      </c>
      <c r="O33" s="17"/>
    </row>
    <row r="34" spans="2:15" x14ac:dyDescent="0.4">
      <c r="B34" s="18" t="s">
        <v>22</v>
      </c>
      <c r="C34">
        <v>0.47</v>
      </c>
      <c r="D34" t="s">
        <v>43</v>
      </c>
      <c r="E34" s="25" t="s">
        <v>146</v>
      </c>
      <c r="O34" s="17"/>
    </row>
    <row r="35" spans="2:15" x14ac:dyDescent="0.4">
      <c r="B35" s="18" t="s">
        <v>20</v>
      </c>
      <c r="C35">
        <v>20</v>
      </c>
      <c r="D35" t="s">
        <v>98</v>
      </c>
      <c r="E35" s="25" t="s">
        <v>136</v>
      </c>
      <c r="O35" s="17"/>
    </row>
    <row r="36" spans="2:15" x14ac:dyDescent="0.4">
      <c r="B36" s="18" t="s">
        <v>89</v>
      </c>
      <c r="C36">
        <v>0</v>
      </c>
      <c r="D36">
        <v>-0.05</v>
      </c>
      <c r="E36" t="s">
        <v>43</v>
      </c>
      <c r="F36" s="25" t="s">
        <v>145</v>
      </c>
      <c r="O36" s="17"/>
    </row>
    <row r="37" spans="2:15" x14ac:dyDescent="0.4">
      <c r="B37" s="18" t="s">
        <v>17</v>
      </c>
      <c r="C37">
        <v>1</v>
      </c>
      <c r="D37">
        <v>0</v>
      </c>
      <c r="E37" t="s">
        <v>43</v>
      </c>
      <c r="F37" s="25" t="s">
        <v>133</v>
      </c>
      <c r="O37" s="17"/>
    </row>
    <row r="38" spans="2:15" x14ac:dyDescent="0.4">
      <c r="B38" s="18" t="s">
        <v>144</v>
      </c>
      <c r="C38">
        <v>2</v>
      </c>
      <c r="D38">
        <v>0.05</v>
      </c>
      <c r="E38" t="s">
        <v>43</v>
      </c>
      <c r="F38" s="25" t="s">
        <v>143</v>
      </c>
      <c r="O38" s="17"/>
    </row>
    <row r="39" spans="2:15" x14ac:dyDescent="0.4">
      <c r="B39" s="18" t="s">
        <v>13</v>
      </c>
      <c r="C39" t="s">
        <v>142</v>
      </c>
      <c r="K39" t="s">
        <v>38</v>
      </c>
      <c r="O39" s="17"/>
    </row>
    <row r="40" spans="2:15" x14ac:dyDescent="0.4">
      <c r="B40" s="18" t="s">
        <v>141</v>
      </c>
      <c r="C40" t="s">
        <v>122</v>
      </c>
      <c r="L40" t="s">
        <v>37</v>
      </c>
      <c r="M40" t="s">
        <v>36</v>
      </c>
      <c r="N40" t="s">
        <v>35</v>
      </c>
      <c r="O40" s="17"/>
    </row>
    <row r="41" spans="2:15" x14ac:dyDescent="0.4">
      <c r="B41" s="18">
        <v>0</v>
      </c>
      <c r="C41" s="24">
        <f>D36</f>
        <v>-0.05</v>
      </c>
      <c r="D41" s="19" t="str">
        <f>"("&amp;_xlfn.TEXTJOIN(",",TRUE,$B41,TEXT($C41,"0.000")&amp;")")</f>
        <v>(0,-0.050)</v>
      </c>
      <c r="K41" t="s">
        <v>34</v>
      </c>
      <c r="L41">
        <v>0</v>
      </c>
      <c r="M41">
        <f>D36</f>
        <v>-0.05</v>
      </c>
      <c r="N41">
        <v>0</v>
      </c>
      <c r="O41" s="17"/>
    </row>
    <row r="42" spans="2:15" x14ac:dyDescent="0.4">
      <c r="B42" s="18">
        <v>0.2</v>
      </c>
      <c r="C42" s="23">
        <f>$L$47*B42^2+$M$47*B42+$N$47</f>
        <v>-4.8000000000000001E-2</v>
      </c>
      <c r="D42" s="19" t="str">
        <f>"("&amp;_xlfn.TEXTJOIN(",",TRUE,$B42,TEXT($C42,"0.000")&amp;")")</f>
        <v>(0.2,-0.048)</v>
      </c>
      <c r="K42" t="s">
        <v>33</v>
      </c>
      <c r="L42">
        <v>1</v>
      </c>
      <c r="M42">
        <v>0</v>
      </c>
      <c r="N42">
        <v>5</v>
      </c>
      <c r="O42" s="17"/>
    </row>
    <row r="43" spans="2:15" x14ac:dyDescent="0.4">
      <c r="B43" s="18">
        <f>B42+0.2</f>
        <v>0.4</v>
      </c>
      <c r="C43" s="23">
        <f>$L$47*B43^2+$M$47*B43+$N$47</f>
        <v>-4.2000000000000003E-2</v>
      </c>
      <c r="D43" s="19" t="str">
        <f>"("&amp;_xlfn.TEXTJOIN(",",TRUE,$B43,TEXT($C43,"0.000")&amp;")")</f>
        <v>(0.4,-0.042)</v>
      </c>
      <c r="O43" s="17"/>
    </row>
    <row r="44" spans="2:15" x14ac:dyDescent="0.4">
      <c r="B44" s="18">
        <f>B43+0.2</f>
        <v>0.60000000000000009</v>
      </c>
      <c r="C44" s="23">
        <f>$L$47*B44^2+$M$47*B44+$N$47</f>
        <v>-3.2000000000000001E-2</v>
      </c>
      <c r="D44" s="19" t="str">
        <f>"("&amp;_xlfn.TEXTJOIN(",",TRUE,$B44,TEXT($C44,"0.000")&amp;")")</f>
        <v>(0.6,-0.032)</v>
      </c>
      <c r="O44" s="17"/>
    </row>
    <row r="45" spans="2:15" x14ac:dyDescent="0.4">
      <c r="B45" s="18">
        <f>B44+0.2</f>
        <v>0.8</v>
      </c>
      <c r="C45" s="23">
        <f>$L$47*B45^2+$M$47*B45+$N$47</f>
        <v>-1.7999999999999995E-2</v>
      </c>
      <c r="D45" s="19" t="str">
        <f>"("&amp;_xlfn.TEXTJOIN(",",TRUE,$B45,TEXT($C45,"0.000")&amp;")")</f>
        <v>(0.8,-0.018)</v>
      </c>
      <c r="K45" t="s">
        <v>31</v>
      </c>
      <c r="O45" s="17"/>
    </row>
    <row r="46" spans="2:15" x14ac:dyDescent="0.4">
      <c r="B46" s="18">
        <f>B45+0.2</f>
        <v>1</v>
      </c>
      <c r="C46" s="23">
        <f>$L$47*B46^2+$M$47*B46+$N$47</f>
        <v>0</v>
      </c>
      <c r="D46" s="19" t="str">
        <f>"("&amp;_xlfn.TEXTJOIN(",",TRUE,$B46,TEXT($C46,"0.000")&amp;")")</f>
        <v>(1,0.000)</v>
      </c>
      <c r="L46" t="s">
        <v>30</v>
      </c>
      <c r="M46" t="s">
        <v>29</v>
      </c>
      <c r="N46" t="s">
        <v>28</v>
      </c>
      <c r="O46" s="17"/>
    </row>
    <row r="47" spans="2:15" x14ac:dyDescent="0.4">
      <c r="B47" s="18">
        <v>1.1000000000000001</v>
      </c>
      <c r="C47" s="23">
        <f>C46+(C46-C45)</f>
        <v>1.7999999999999995E-2</v>
      </c>
      <c r="D47" s="19" t="str">
        <f>"("&amp;_xlfn.TEXTJOIN(",",TRUE,$B47,TEXT($C47,"0.000")&amp;")")</f>
        <v>(1.1,0.018)</v>
      </c>
      <c r="K47" t="s">
        <v>27</v>
      </c>
      <c r="L47">
        <f xml:space="preserve"> ( (M41 - M42) - (N41 * (L41 - L42)) ) / ((L41^2 - L42^2) - 2*L41*L42*(L41 - L42))</f>
        <v>0.05</v>
      </c>
      <c r="M47">
        <f xml:space="preserve"> 2 * L41 * L47 + N41</f>
        <v>0</v>
      </c>
      <c r="N47">
        <f xml:space="preserve"> M41 - L41^2 * L47 - L41 * M47</f>
        <v>-0.05</v>
      </c>
      <c r="O47" s="17"/>
    </row>
    <row r="48" spans="2:15" x14ac:dyDescent="0.4">
      <c r="B48" s="18">
        <v>1.2</v>
      </c>
      <c r="C48" s="23">
        <f>C47+(C45-C44)</f>
        <v>3.2000000000000001E-2</v>
      </c>
      <c r="D48" s="19" t="str">
        <f>"("&amp;_xlfn.TEXTJOIN(",",TRUE,$B48,TEXT($C48,"0.000")&amp;")")</f>
        <v>(1.2,0.032)</v>
      </c>
      <c r="K48" t="s">
        <v>26</v>
      </c>
      <c r="L48" s="25" t="str">
        <f>"y = " &amp; 'effect lookups'!L47 &amp; "*x^2 + " &amp; 'effect lookups'!M47 &amp; "*x + " &amp; 'effect lookups'!N47</f>
        <v>y = 0.05*x^2 + 0*x + -0.05</v>
      </c>
      <c r="O48" s="17"/>
    </row>
    <row r="49" spans="2:15" x14ac:dyDescent="0.4">
      <c r="B49" s="18">
        <v>1.3</v>
      </c>
      <c r="C49" s="23">
        <f>C48+(C44-C43)</f>
        <v>4.2000000000000003E-2</v>
      </c>
      <c r="D49" s="19" t="str">
        <f>"("&amp;_xlfn.TEXTJOIN(",",TRUE,$B49,TEXT($C49,"0.000")&amp;")")</f>
        <v>(1.3,0.042)</v>
      </c>
      <c r="O49" s="17"/>
    </row>
    <row r="50" spans="2:15" x14ac:dyDescent="0.4">
      <c r="B50" s="18">
        <v>1.4</v>
      </c>
      <c r="C50" s="23">
        <f>C49+C43-C42</f>
        <v>4.8000000000000001E-2</v>
      </c>
      <c r="D50" s="19" t="str">
        <f>"("&amp;_xlfn.TEXTJOIN(",",TRUE,$B50,TEXT($C50,"0.000")&amp;")")</f>
        <v>(1.4,0.048)</v>
      </c>
      <c r="O50" s="17"/>
    </row>
    <row r="51" spans="2:15" x14ac:dyDescent="0.4">
      <c r="B51" s="18">
        <f>B50+0.2</f>
        <v>1.5999999999999999</v>
      </c>
      <c r="C51" s="23">
        <f>C50+C42-C41</f>
        <v>0.05</v>
      </c>
      <c r="D51" s="19" t="str">
        <f>"("&amp;_xlfn.TEXTJOIN(",",TRUE,$B51,TEXT($C51,"0.000")&amp;")")</f>
        <v>(1.6,0.050)</v>
      </c>
      <c r="O51" s="17"/>
    </row>
    <row r="52" spans="2:15" x14ac:dyDescent="0.4">
      <c r="B52" s="18" t="s">
        <v>4</v>
      </c>
      <c r="C52" s="20" t="str">
        <f>_xlfn.TEXTJOIN(",",TRUE,D41:D51)</f>
        <v>(0,-0.050),(0.2,-0.048),(0.4,-0.042),(0.6,-0.032),(0.8,-0.018),(1,0.000),(1.1,0.018),(1.2,0.032),(1.3,0.042),(1.4,0.048),(1.6,0.050)</v>
      </c>
      <c r="O52" s="17"/>
    </row>
    <row r="53" spans="2:15" x14ac:dyDescent="0.4">
      <c r="B53" s="18"/>
      <c r="C53" s="20"/>
      <c r="O53" s="17"/>
    </row>
    <row r="54" spans="2:15" x14ac:dyDescent="0.4">
      <c r="B54" s="18" t="s">
        <v>10</v>
      </c>
      <c r="C54" s="57" t="s">
        <v>187</v>
      </c>
      <c r="O54" s="45"/>
    </row>
    <row r="55" spans="2:15" ht="15" thickBot="1" x14ac:dyDescent="0.45"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3"/>
    </row>
    <row r="56" spans="2:15" x14ac:dyDescent="0.4">
      <c r="B56" s="12" t="s">
        <v>3</v>
      </c>
      <c r="C56" s="43" t="s">
        <v>140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7"/>
    </row>
    <row r="57" spans="2:15" x14ac:dyDescent="0.4">
      <c r="B57" s="18" t="s">
        <v>24</v>
      </c>
      <c r="C57" t="s">
        <v>139</v>
      </c>
      <c r="O57" s="17"/>
    </row>
    <row r="58" spans="2:15" x14ac:dyDescent="0.4">
      <c r="B58" s="18" t="s">
        <v>22</v>
      </c>
      <c r="C58">
        <v>2.4</v>
      </c>
      <c r="D58" t="s">
        <v>138</v>
      </c>
      <c r="E58" s="25" t="s">
        <v>137</v>
      </c>
      <c r="O58" s="17"/>
    </row>
    <row r="59" spans="2:15" x14ac:dyDescent="0.4">
      <c r="B59" s="18" t="s">
        <v>20</v>
      </c>
      <c r="C59">
        <v>20</v>
      </c>
      <c r="D59" t="s">
        <v>98</v>
      </c>
      <c r="E59" s="25" t="s">
        <v>136</v>
      </c>
      <c r="O59" s="17"/>
    </row>
    <row r="60" spans="2:15" x14ac:dyDescent="0.4">
      <c r="B60" s="18" t="s">
        <v>135</v>
      </c>
      <c r="C60" s="24">
        <f>1/C58</f>
        <v>0.41666666666666669</v>
      </c>
      <c r="D60">
        <v>-0.1</v>
      </c>
      <c r="E60" s="25" t="s">
        <v>134</v>
      </c>
      <c r="O60" s="17"/>
    </row>
    <row r="61" spans="2:15" x14ac:dyDescent="0.4">
      <c r="B61" s="18" t="s">
        <v>17</v>
      </c>
      <c r="C61">
        <v>1</v>
      </c>
      <c r="D61">
        <v>0</v>
      </c>
      <c r="E61" s="25" t="s">
        <v>133</v>
      </c>
      <c r="O61" s="17"/>
    </row>
    <row r="62" spans="2:15" x14ac:dyDescent="0.4">
      <c r="B62" s="18" t="s">
        <v>132</v>
      </c>
      <c r="C62" s="24">
        <f>4/C58</f>
        <v>1.6666666666666667</v>
      </c>
      <c r="D62">
        <v>0.2</v>
      </c>
      <c r="E62" s="25" t="s">
        <v>131</v>
      </c>
      <c r="O62" s="17"/>
    </row>
    <row r="63" spans="2:15" x14ac:dyDescent="0.4">
      <c r="B63" s="18" t="s">
        <v>13</v>
      </c>
      <c r="C63" t="s">
        <v>130</v>
      </c>
      <c r="K63" t="s">
        <v>38</v>
      </c>
      <c r="O63" s="17"/>
    </row>
    <row r="64" spans="2:15" x14ac:dyDescent="0.4">
      <c r="B64" s="18" t="s">
        <v>129</v>
      </c>
      <c r="C64" t="s">
        <v>122</v>
      </c>
      <c r="O64" s="17"/>
    </row>
    <row r="65" spans="2:15" x14ac:dyDescent="0.4">
      <c r="B65" s="18">
        <v>0</v>
      </c>
      <c r="C65" s="24">
        <f>C66</f>
        <v>-0.1</v>
      </c>
      <c r="D65" s="19" t="str">
        <f>"("&amp;_xlfn.TEXTJOIN(",",TRUE,$B65,TEXT($C65,"0.000")&amp;")")</f>
        <v>(0,-0.100)</v>
      </c>
      <c r="O65" s="17"/>
    </row>
    <row r="66" spans="2:15" x14ac:dyDescent="0.4">
      <c r="B66" s="42">
        <f>ROUND(C60,2)</f>
        <v>0.42</v>
      </c>
      <c r="C66" s="23">
        <v>-0.1</v>
      </c>
      <c r="D66" s="19" t="str">
        <f>"("&amp;_xlfn.TEXTJOIN(",",TRUE,$B66,TEXT($C66,"0.000")&amp;")")</f>
        <v>(0.42,-0.100)</v>
      </c>
      <c r="L66" s="24"/>
      <c r="M66" s="24"/>
      <c r="O66" s="17"/>
    </row>
    <row r="67" spans="2:15" x14ac:dyDescent="0.4">
      <c r="B67" s="42">
        <f>B66+($B$71-$B$66)/5</f>
        <v>0.53600000000000003</v>
      </c>
      <c r="C67" s="23">
        <v>-0.09</v>
      </c>
      <c r="D67" s="19" t="str">
        <f>"("&amp;_xlfn.TEXTJOIN(",",TRUE,$B67,TEXT($C67,"0.000")&amp;")")</f>
        <v>(0.536,-0.090)</v>
      </c>
      <c r="L67" s="24"/>
      <c r="M67" s="24"/>
      <c r="O67" s="17"/>
    </row>
    <row r="68" spans="2:15" x14ac:dyDescent="0.4">
      <c r="B68" s="42">
        <f>B67+($B$71-$B$66)/5</f>
        <v>0.65200000000000002</v>
      </c>
      <c r="C68" s="23">
        <v>-7.4999999999999997E-2</v>
      </c>
      <c r="D68" s="19" t="str">
        <f>"("&amp;_xlfn.TEXTJOIN(",",TRUE,$B68,TEXT($C68,"0.000")&amp;")")</f>
        <v>(0.652,-0.075)</v>
      </c>
      <c r="O68" s="17"/>
    </row>
    <row r="69" spans="2:15" x14ac:dyDescent="0.4">
      <c r="B69" s="42">
        <f>B68+($B$71-$B$66)/5</f>
        <v>0.76800000000000002</v>
      </c>
      <c r="C69" s="23">
        <v>-5.5E-2</v>
      </c>
      <c r="D69" s="19" t="str">
        <f>"("&amp;_xlfn.TEXTJOIN(",",TRUE,$B69,TEXT($C69,"0.000")&amp;")")</f>
        <v>(0.768,-0.055)</v>
      </c>
      <c r="O69" s="17"/>
    </row>
    <row r="70" spans="2:15" x14ac:dyDescent="0.4">
      <c r="B70" s="42">
        <f>B69+($B$71-$B$66)/5</f>
        <v>0.88400000000000001</v>
      </c>
      <c r="C70" s="23">
        <v>-0.03</v>
      </c>
      <c r="D70" s="19" t="str">
        <f>"("&amp;_xlfn.TEXTJOIN(",",TRUE,$B70,TEXT($C70,"0.000")&amp;")")</f>
        <v>(0.884,-0.030)</v>
      </c>
      <c r="O70" s="17"/>
    </row>
    <row r="71" spans="2:15" x14ac:dyDescent="0.4">
      <c r="B71" s="18">
        <v>1</v>
      </c>
      <c r="C71" s="23">
        <v>0</v>
      </c>
      <c r="D71" s="19" t="str">
        <f>"("&amp;_xlfn.TEXTJOIN(",",TRUE,$B71,TEXT($C71,"0.000")&amp;")")</f>
        <v>(1,0.000)</v>
      </c>
      <c r="O71" s="17"/>
    </row>
    <row r="72" spans="2:15" x14ac:dyDescent="0.4">
      <c r="B72" s="42">
        <f>B71+($B$76-$B$71)/5</f>
        <v>1.1339999999999999</v>
      </c>
      <c r="C72" s="23">
        <v>0.03</v>
      </c>
      <c r="D72" s="19" t="str">
        <f>"("&amp;_xlfn.TEXTJOIN(",",TRUE,$B72,TEXT($C72,"0.000")&amp;")")</f>
        <v>(1.134,0.030)</v>
      </c>
      <c r="O72" s="17"/>
    </row>
    <row r="73" spans="2:15" x14ac:dyDescent="0.4">
      <c r="B73" s="42">
        <f>B72+($B$76-$B$71)/5</f>
        <v>1.2679999999999998</v>
      </c>
      <c r="C73" s="23">
        <v>6.5000000000000002E-2</v>
      </c>
      <c r="D73" s="19" t="str">
        <f>"("&amp;_xlfn.TEXTJOIN(",",TRUE,$B73,TEXT($C73,"0.000")&amp;")")</f>
        <v>(1.268,0.065)</v>
      </c>
      <c r="L73" s="25"/>
      <c r="O73" s="17"/>
    </row>
    <row r="74" spans="2:15" x14ac:dyDescent="0.4">
      <c r="B74" s="42">
        <f>B73+($B$76-$B$71)/5</f>
        <v>1.4019999999999997</v>
      </c>
      <c r="C74" s="23">
        <v>0.1</v>
      </c>
      <c r="D74" s="19" t="str">
        <f>"("&amp;_xlfn.TEXTJOIN(",",TRUE,$B74,TEXT($C74,"0.000")&amp;")")</f>
        <v>(1.402,0.100)</v>
      </c>
      <c r="O74" s="17"/>
    </row>
    <row r="75" spans="2:15" x14ac:dyDescent="0.4">
      <c r="B75" s="42">
        <f>B74+($B$76-$B$71)/5</f>
        <v>1.5359999999999996</v>
      </c>
      <c r="C75" s="23">
        <v>0.14499999999999999</v>
      </c>
      <c r="D75" s="19" t="str">
        <f>"("&amp;_xlfn.TEXTJOIN(",",TRUE,$B75,TEXT($C75,"0.000")&amp;")")</f>
        <v>(1.536,0.145)</v>
      </c>
      <c r="O75" s="17"/>
    </row>
    <row r="76" spans="2:15" x14ac:dyDescent="0.4">
      <c r="B76" s="42">
        <v>1.67</v>
      </c>
      <c r="C76" s="23">
        <v>0.2</v>
      </c>
      <c r="D76" s="19" t="str">
        <f>"("&amp;_xlfn.TEXTJOIN(",",TRUE,$B76,TEXT($C76,"0.000")&amp;")")</f>
        <v>(1.67,0.200)</v>
      </c>
      <c r="O76" s="17"/>
    </row>
    <row r="77" spans="2:15" x14ac:dyDescent="0.4">
      <c r="B77" s="42">
        <v>4</v>
      </c>
      <c r="C77" s="23">
        <f>C76</f>
        <v>0.2</v>
      </c>
      <c r="D77" s="19" t="str">
        <f>"("&amp;_xlfn.TEXTJOIN(",",TRUE,$B77,TEXT($C77,"0.000")&amp;")")</f>
        <v>(4,0.200)</v>
      </c>
      <c r="O77" s="17"/>
    </row>
    <row r="78" spans="2:15" x14ac:dyDescent="0.4">
      <c r="B78" s="18" t="s">
        <v>4</v>
      </c>
      <c r="C78" s="20" t="str">
        <f>_xlfn.TEXTJOIN(",",TRUE,D65:D77)</f>
        <v>(0,-0.100),(0.42,-0.100),(0.536,-0.090),(0.652,-0.075),(0.768,-0.055),(0.884,-0.030),(1,0.000),(1.134,0.030),(1.268,0.065),(1.402,0.100),(1.536,0.145),(1.67,0.200),(4,0.200)</v>
      </c>
      <c r="O78" s="17"/>
    </row>
    <row r="79" spans="2:15" x14ac:dyDescent="0.4">
      <c r="B79" s="18"/>
      <c r="C79" s="20"/>
      <c r="O79" s="17"/>
    </row>
    <row r="80" spans="2:15" x14ac:dyDescent="0.4">
      <c r="B80" s="18" t="s">
        <v>10</v>
      </c>
      <c r="C80" s="57" t="s">
        <v>187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45"/>
    </row>
    <row r="81" spans="2:28" ht="15" thickBot="1" x14ac:dyDescent="0.45"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3"/>
    </row>
    <row r="82" spans="2:28" x14ac:dyDescent="0.4">
      <c r="B82" s="12" t="s">
        <v>3</v>
      </c>
      <c r="C82" s="43" t="s">
        <v>128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7"/>
    </row>
    <row r="83" spans="2:28" x14ac:dyDescent="0.4">
      <c r="B83" s="18" t="s">
        <v>24</v>
      </c>
      <c r="C83" t="s">
        <v>23</v>
      </c>
      <c r="O83" s="17"/>
    </row>
    <row r="84" spans="2:28" x14ac:dyDescent="0.4">
      <c r="B84" s="18" t="s">
        <v>22</v>
      </c>
      <c r="C84">
        <v>0.4</v>
      </c>
      <c r="D84" t="s">
        <v>43</v>
      </c>
      <c r="E84" s="25" t="s">
        <v>127</v>
      </c>
      <c r="O84" s="17"/>
    </row>
    <row r="85" spans="2:28" x14ac:dyDescent="0.4">
      <c r="B85" s="18" t="s">
        <v>20</v>
      </c>
      <c r="C85">
        <v>1.4</v>
      </c>
      <c r="D85" t="s">
        <v>43</v>
      </c>
      <c r="E85" s="25" t="s">
        <v>126</v>
      </c>
      <c r="O85" s="17"/>
    </row>
    <row r="86" spans="2:28" x14ac:dyDescent="0.4">
      <c r="B86" s="18" t="s">
        <v>89</v>
      </c>
      <c r="C86">
        <f>1.5*C87</f>
        <v>1.5</v>
      </c>
      <c r="D86" t="s">
        <v>43</v>
      </c>
      <c r="E86" s="25" t="s">
        <v>125</v>
      </c>
      <c r="O86" s="17"/>
    </row>
    <row r="87" spans="2:28" x14ac:dyDescent="0.4">
      <c r="B87" s="18" t="s">
        <v>17</v>
      </c>
      <c r="C87">
        <v>1</v>
      </c>
      <c r="D87" t="s">
        <v>43</v>
      </c>
      <c r="F87" s="25"/>
      <c r="O87" s="17"/>
    </row>
    <row r="88" spans="2:28" x14ac:dyDescent="0.4">
      <c r="B88" s="18" t="s">
        <v>87</v>
      </c>
      <c r="C88" s="44">
        <f>1.1/C85</f>
        <v>0.78571428571428581</v>
      </c>
      <c r="D88" t="s">
        <v>43</v>
      </c>
      <c r="E88" s="25" t="s">
        <v>124</v>
      </c>
      <c r="O88" s="17"/>
    </row>
    <row r="89" spans="2:28" x14ac:dyDescent="0.4">
      <c r="B89" s="18" t="s">
        <v>13</v>
      </c>
      <c r="C89" t="s">
        <v>116</v>
      </c>
      <c r="K89" t="s">
        <v>38</v>
      </c>
      <c r="O89" s="17"/>
    </row>
    <row r="90" spans="2:28" x14ac:dyDescent="0.4">
      <c r="B90" s="18" t="s">
        <v>123</v>
      </c>
      <c r="C90" t="s">
        <v>122</v>
      </c>
      <c r="L90" t="s">
        <v>37</v>
      </c>
      <c r="M90" t="s">
        <v>36</v>
      </c>
      <c r="N90" t="s">
        <v>35</v>
      </c>
      <c r="O90" s="17"/>
      <c r="R90" s="24"/>
      <c r="V90" s="23"/>
      <c r="W90" s="23"/>
      <c r="X90" s="23"/>
      <c r="Y90" s="23"/>
      <c r="Z90" s="23"/>
      <c r="AA90" s="23"/>
      <c r="AB90" s="23"/>
    </row>
    <row r="91" spans="2:28" x14ac:dyDescent="0.4">
      <c r="B91" s="18">
        <v>0</v>
      </c>
      <c r="C91" s="23">
        <f>C86</f>
        <v>1.5</v>
      </c>
      <c r="D91" s="19" t="str">
        <f>"("&amp;_xlfn.TEXTJOIN(",",TRUE,$B91,TEXT($C91,"0.000")&amp;")")</f>
        <v>(0,1.500)</v>
      </c>
      <c r="K91" t="s">
        <v>34</v>
      </c>
      <c r="L91">
        <v>0</v>
      </c>
      <c r="M91">
        <v>1.5</v>
      </c>
      <c r="N91">
        <v>0</v>
      </c>
      <c r="O91" s="17"/>
      <c r="Q91" s="23"/>
    </row>
    <row r="92" spans="2:28" x14ac:dyDescent="0.4">
      <c r="B92" s="42">
        <f>B91+($B$21-$B$16)/5</f>
        <v>0.2</v>
      </c>
      <c r="C92" s="23">
        <f>$L$97*B92^2+$M$97*B92+$N$97</f>
        <v>1.48</v>
      </c>
      <c r="D92" s="19" t="str">
        <f>"("&amp;_xlfn.TEXTJOIN(",",TRUE,$B92,TEXT($C92,"0.000")&amp;")")</f>
        <v>(0.2,1.480)</v>
      </c>
      <c r="K92" t="s">
        <v>33</v>
      </c>
      <c r="L92">
        <v>1</v>
      </c>
      <c r="M92">
        <f>C87</f>
        <v>1</v>
      </c>
      <c r="N92">
        <v>2</v>
      </c>
      <c r="O92" s="17"/>
    </row>
    <row r="93" spans="2:28" x14ac:dyDescent="0.4">
      <c r="B93" s="42">
        <f>B92+($B$21-$B$16)/5</f>
        <v>0.4</v>
      </c>
      <c r="C93" s="23">
        <f>$L$97*B93^2+$M$97*B93+$N$97</f>
        <v>1.42</v>
      </c>
      <c r="D93" s="19" t="str">
        <f>"("&amp;_xlfn.TEXTJOIN(",",TRUE,$B93,TEXT($C93,"0.000")&amp;")")</f>
        <v>(0.4,1.420)</v>
      </c>
      <c r="O93" s="17"/>
    </row>
    <row r="94" spans="2:28" x14ac:dyDescent="0.4">
      <c r="B94" s="42">
        <f>B93+($B$21-$B$16)/5</f>
        <v>0.60000000000000009</v>
      </c>
      <c r="C94" s="23">
        <f>$L$97*B94^2+$M$97*B94+$N$97</f>
        <v>1.3199999999999998</v>
      </c>
      <c r="D94" s="19" t="str">
        <f>"("&amp;_xlfn.TEXTJOIN(",",TRUE,$B94,TEXT($C94,"0.000")&amp;")")</f>
        <v>(0.6,1.320)</v>
      </c>
      <c r="O94" s="17"/>
    </row>
    <row r="95" spans="2:28" x14ac:dyDescent="0.4">
      <c r="B95" s="42">
        <f>B94+($B$21-$B$16)/5</f>
        <v>0.8</v>
      </c>
      <c r="C95" s="23">
        <f>$L$97*B95^2+$M$97*B95+$N$97</f>
        <v>1.18</v>
      </c>
      <c r="D95" s="19" t="str">
        <f>"("&amp;_xlfn.TEXTJOIN(",",TRUE,$B95,TEXT($C95,"0.000")&amp;")")</f>
        <v>(0.8,1.180)</v>
      </c>
      <c r="K95" t="s">
        <v>31</v>
      </c>
      <c r="O95" s="17"/>
    </row>
    <row r="96" spans="2:28" x14ac:dyDescent="0.4">
      <c r="B96" s="18">
        <v>1</v>
      </c>
      <c r="C96" s="23">
        <f>$L$97*B96^2+$M$97*B96+$N$97</f>
        <v>1</v>
      </c>
      <c r="D96" s="19" t="str">
        <f>"("&amp;_xlfn.TEXTJOIN(",",TRUE,$B96,TEXT($C96,"0.000")&amp;")")</f>
        <v>(1,1.000)</v>
      </c>
      <c r="L96" t="s">
        <v>30</v>
      </c>
      <c r="M96" t="s">
        <v>29</v>
      </c>
      <c r="N96" t="s">
        <v>28</v>
      </c>
      <c r="O96" s="17"/>
    </row>
    <row r="97" spans="2:17" x14ac:dyDescent="0.4">
      <c r="B97" s="42">
        <f>B96+(2.5-1)/5</f>
        <v>1.3</v>
      </c>
      <c r="C97" s="23">
        <f>C96+(C96-C95)/2.5</f>
        <v>0.92800000000000005</v>
      </c>
      <c r="D97" s="19" t="str">
        <f>"("&amp;_xlfn.TEXTJOIN(",",TRUE,$B97,TEXT($C97,"0.000")&amp;")")</f>
        <v>(1.3,0.928)</v>
      </c>
      <c r="K97" t="s">
        <v>27</v>
      </c>
      <c r="L97">
        <f xml:space="preserve"> ( (M91 - M92) - (N91 * (L91 - L92)) ) / ((L91^2 - L92^2) - 2*L91*L92*(L91 - L92))</f>
        <v>-0.5</v>
      </c>
      <c r="M97">
        <f xml:space="preserve"> 2 * L91 * L97 + N91</f>
        <v>0</v>
      </c>
      <c r="N97">
        <f xml:space="preserve"> M91 - L91^2 * L97 - L91 * M97</f>
        <v>1.5</v>
      </c>
      <c r="O97" s="17"/>
      <c r="Q97" s="23"/>
    </row>
    <row r="98" spans="2:17" x14ac:dyDescent="0.4">
      <c r="B98" s="42">
        <f>B97+(2.5-1)/5</f>
        <v>1.6</v>
      </c>
      <c r="C98" s="23">
        <f>C97+(C95-C94)/2.5</f>
        <v>0.87200000000000011</v>
      </c>
      <c r="D98" s="19" t="str">
        <f>"("&amp;_xlfn.TEXTJOIN(",",TRUE,$B98,TEXT($C98,"0.000")&amp;")")</f>
        <v>(1.6,0.872)</v>
      </c>
      <c r="K98" t="s">
        <v>26</v>
      </c>
      <c r="L98" s="25" t="str">
        <f>"y = " &amp; 'effect lookups'!L97 &amp; "*x^2 + " &amp; 'effect lookups'!M97 &amp; "*x + " &amp; 'effect lookups'!N97</f>
        <v>y = -0.5*x^2 + 0*x + 1.5</v>
      </c>
      <c r="O98" s="17"/>
    </row>
    <row r="99" spans="2:17" x14ac:dyDescent="0.4">
      <c r="B99" s="42">
        <f>B98+(2.5-1)/5</f>
        <v>1.9000000000000001</v>
      </c>
      <c r="C99" s="23">
        <f>C98+(C94-C93)/2.5</f>
        <v>0.83200000000000007</v>
      </c>
      <c r="D99" s="19" t="str">
        <f>"("&amp;_xlfn.TEXTJOIN(",",TRUE,$B99,TEXT($C99,"0.000")&amp;")")</f>
        <v>(1.9,0.832)</v>
      </c>
      <c r="O99" s="17"/>
    </row>
    <row r="100" spans="2:17" x14ac:dyDescent="0.4">
      <c r="B100" s="42">
        <f>B99+(2.5-1)/5</f>
        <v>2.2000000000000002</v>
      </c>
      <c r="C100" s="23">
        <f>C99+(C93-C92)/2.5</f>
        <v>0.80800000000000005</v>
      </c>
      <c r="D100" s="19" t="str">
        <f>"("&amp;_xlfn.TEXTJOIN(",",TRUE,$B100,TEXT($C100,"0.000")&amp;")")</f>
        <v>(2.2,0.808)</v>
      </c>
      <c r="O100" s="17"/>
    </row>
    <row r="101" spans="2:17" x14ac:dyDescent="0.4">
      <c r="B101" s="42">
        <f>B100+(2.5-1)/5</f>
        <v>2.5</v>
      </c>
      <c r="C101" s="23">
        <f>C100+(C92-C91)/2.5</f>
        <v>0.8</v>
      </c>
      <c r="D101" s="19" t="str">
        <f>"("&amp;_xlfn.TEXTJOIN(",",TRUE,$B101,TEXT($C101,"0.000")&amp;")")</f>
        <v>(2.5,0.800)</v>
      </c>
      <c r="O101" s="17"/>
    </row>
    <row r="102" spans="2:17" x14ac:dyDescent="0.4">
      <c r="B102" s="42">
        <v>6</v>
      </c>
      <c r="C102" s="24">
        <f>C101</f>
        <v>0.8</v>
      </c>
      <c r="D102" s="19" t="str">
        <f>"("&amp;_xlfn.TEXTJOIN(",",TRUE,$B102,TEXT($C102,"0.000")&amp;")")</f>
        <v>(6,0.800)</v>
      </c>
      <c r="O102" s="17"/>
    </row>
    <row r="103" spans="2:17" x14ac:dyDescent="0.4">
      <c r="B103" s="18" t="s">
        <v>4</v>
      </c>
      <c r="C103" s="20" t="str">
        <f>_xlfn.TEXTJOIN(",",TRUE,D91:D102)</f>
        <v>(0,1.500),(0.2,1.480),(0.4,1.420),(0.6,1.320),(0.8,1.180),(1,1.000),(1.3,0.928),(1.6,0.872),(1.9,0.832),(2.2,0.808),(2.5,0.800),(6,0.800)</v>
      </c>
      <c r="O103" s="17"/>
    </row>
    <row r="104" spans="2:17" x14ac:dyDescent="0.4">
      <c r="B104" s="18"/>
      <c r="C104" s="20"/>
      <c r="O104" s="17"/>
    </row>
    <row r="105" spans="2:17" x14ac:dyDescent="0.4">
      <c r="B105" s="18" t="s">
        <v>10</v>
      </c>
      <c r="C105" s="22" t="s">
        <v>42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6"/>
    </row>
    <row r="106" spans="2:17" ht="15" thickBot="1" x14ac:dyDescent="0.45"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3"/>
    </row>
    <row r="107" spans="2:17" x14ac:dyDescent="0.4">
      <c r="B107" s="12" t="s">
        <v>3</v>
      </c>
      <c r="C107" s="43" t="s">
        <v>121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7"/>
    </row>
    <row r="108" spans="2:17" x14ac:dyDescent="0.4">
      <c r="B108" s="18" t="s">
        <v>24</v>
      </c>
      <c r="C108" t="s">
        <v>23</v>
      </c>
      <c r="O108" s="17"/>
    </row>
    <row r="109" spans="2:17" x14ac:dyDescent="0.4">
      <c r="B109" s="18" t="s">
        <v>22</v>
      </c>
      <c r="C109">
        <v>2.4</v>
      </c>
      <c r="D109" t="s">
        <v>43</v>
      </c>
      <c r="E109" s="25" t="s">
        <v>120</v>
      </c>
      <c r="O109" s="17"/>
    </row>
    <row r="110" spans="2:17" x14ac:dyDescent="0.4">
      <c r="B110" s="18" t="s">
        <v>20</v>
      </c>
      <c r="C110" s="24">
        <v>1.4</v>
      </c>
      <c r="D110" t="s">
        <v>43</v>
      </c>
      <c r="E110" s="25" t="s">
        <v>119</v>
      </c>
      <c r="O110" s="17"/>
    </row>
    <row r="111" spans="2:17" x14ac:dyDescent="0.4">
      <c r="B111" s="18" t="s">
        <v>89</v>
      </c>
      <c r="C111" s="24">
        <v>1.5</v>
      </c>
      <c r="D111" t="s">
        <v>43</v>
      </c>
      <c r="E111" s="25" t="s">
        <v>118</v>
      </c>
      <c r="O111" s="17"/>
    </row>
    <row r="112" spans="2:17" x14ac:dyDescent="0.4">
      <c r="B112" s="18" t="s">
        <v>17</v>
      </c>
      <c r="C112">
        <v>1</v>
      </c>
      <c r="D112" t="s">
        <v>43</v>
      </c>
      <c r="F112" s="25"/>
      <c r="O112" s="17"/>
    </row>
    <row r="113" spans="2:28" x14ac:dyDescent="0.4">
      <c r="B113" s="18" t="s">
        <v>87</v>
      </c>
      <c r="C113" s="24">
        <f>1.1/C110</f>
        <v>0.78571428571428581</v>
      </c>
      <c r="D113" t="s">
        <v>43</v>
      </c>
      <c r="E113" s="25" t="s">
        <v>117</v>
      </c>
      <c r="O113" s="17"/>
    </row>
    <row r="114" spans="2:28" x14ac:dyDescent="0.4">
      <c r="B114" s="18" t="s">
        <v>13</v>
      </c>
      <c r="C114" t="s">
        <v>116</v>
      </c>
      <c r="K114" t="s">
        <v>38</v>
      </c>
      <c r="O114" s="17"/>
    </row>
    <row r="115" spans="2:28" x14ac:dyDescent="0.4">
      <c r="B115" s="18" t="s">
        <v>115</v>
      </c>
      <c r="C115" t="s">
        <v>114</v>
      </c>
      <c r="L115" t="s">
        <v>37</v>
      </c>
      <c r="M115" t="s">
        <v>36</v>
      </c>
      <c r="N115" t="s">
        <v>35</v>
      </c>
      <c r="O115" s="17"/>
      <c r="R115" s="24"/>
      <c r="V115" s="23"/>
      <c r="W115" s="23"/>
      <c r="X115" s="23"/>
      <c r="Y115" s="23"/>
      <c r="Z115" s="23"/>
      <c r="AA115" s="23"/>
      <c r="AB115" s="23"/>
    </row>
    <row r="116" spans="2:28" x14ac:dyDescent="0.4">
      <c r="B116" s="18">
        <v>0</v>
      </c>
      <c r="C116" s="23">
        <f>$L$122*B116^2+$M$122*B116+$N$122</f>
        <v>1.5</v>
      </c>
      <c r="D116" s="19" t="str">
        <f>"("&amp;_xlfn.TEXTJOIN(",",TRUE,$B116,TEXT($C116,"0.000")&amp;")")</f>
        <v>(0,1.500)</v>
      </c>
      <c r="K116" t="s">
        <v>34</v>
      </c>
      <c r="L116">
        <v>0</v>
      </c>
      <c r="M116" s="24">
        <f>C111</f>
        <v>1.5</v>
      </c>
      <c r="N116">
        <v>0</v>
      </c>
      <c r="O116" s="17"/>
      <c r="Q116" s="23"/>
    </row>
    <row r="117" spans="2:28" x14ac:dyDescent="0.4">
      <c r="B117" s="42">
        <f>B116+($B$21-$B$16)/5</f>
        <v>0.2</v>
      </c>
      <c r="C117" s="23">
        <f>$L$122*B117^2+$M$122*B117+$N$122</f>
        <v>1.48</v>
      </c>
      <c r="D117" s="19" t="str">
        <f>"("&amp;_xlfn.TEXTJOIN(",",TRUE,$B117,TEXT($C117,"0.000")&amp;")")</f>
        <v>(0.2,1.480)</v>
      </c>
      <c r="K117" t="s">
        <v>33</v>
      </c>
      <c r="L117">
        <v>1</v>
      </c>
      <c r="M117">
        <f>C112</f>
        <v>1</v>
      </c>
      <c r="N117">
        <v>2</v>
      </c>
      <c r="O117" s="17"/>
    </row>
    <row r="118" spans="2:28" x14ac:dyDescent="0.4">
      <c r="B118" s="42">
        <f>B117+($B$21-$B$16)/5</f>
        <v>0.4</v>
      </c>
      <c r="C118" s="23">
        <f>$L$122*B118^2+$M$122*B118+$N$122</f>
        <v>1.42</v>
      </c>
      <c r="D118" s="19" t="str">
        <f>"("&amp;_xlfn.TEXTJOIN(",",TRUE,$B118,TEXT($C118,"0.000")&amp;")")</f>
        <v>(0.4,1.420)</v>
      </c>
      <c r="O118" s="17"/>
    </row>
    <row r="119" spans="2:28" x14ac:dyDescent="0.4">
      <c r="B119" s="42">
        <f>B118+($B$21-$B$16)/5</f>
        <v>0.60000000000000009</v>
      </c>
      <c r="C119" s="23">
        <f>$L$122*B119^2+$M$122*B119+$N$122</f>
        <v>1.3199999999999998</v>
      </c>
      <c r="D119" s="19" t="str">
        <f>"("&amp;_xlfn.TEXTJOIN(",",TRUE,$B119,TEXT($C119,"0.000")&amp;")")</f>
        <v>(0.6,1.320)</v>
      </c>
      <c r="O119" s="17"/>
    </row>
    <row r="120" spans="2:28" x14ac:dyDescent="0.4">
      <c r="B120" s="42">
        <f>B119+($B$21-$B$16)/5</f>
        <v>0.8</v>
      </c>
      <c r="C120" s="23">
        <f>$L$122*B120^2+$M$122*B120+$N$122</f>
        <v>1.18</v>
      </c>
      <c r="D120" s="19" t="str">
        <f>"("&amp;_xlfn.TEXTJOIN(",",TRUE,$B120,TEXT($C120,"0.000")&amp;")")</f>
        <v>(0.8,1.180)</v>
      </c>
      <c r="K120" t="s">
        <v>31</v>
      </c>
      <c r="O120" s="17"/>
    </row>
    <row r="121" spans="2:28" x14ac:dyDescent="0.4">
      <c r="B121" s="18">
        <v>1</v>
      </c>
      <c r="C121" s="23">
        <f>$L$122*B121^2+$M$122*B121+$N$122</f>
        <v>1</v>
      </c>
      <c r="D121" s="19" t="str">
        <f>"("&amp;_xlfn.TEXTJOIN(",",TRUE,$B121,TEXT($C121,"0.000")&amp;")")</f>
        <v>(1,1.000)</v>
      </c>
      <c r="L121" t="s">
        <v>30</v>
      </c>
      <c r="M121" t="s">
        <v>29</v>
      </c>
      <c r="N121" t="s">
        <v>28</v>
      </c>
      <c r="O121" s="17"/>
    </row>
    <row r="122" spans="2:28" x14ac:dyDescent="0.4">
      <c r="B122" s="42">
        <f>ROUND(B121+($B$127-$B$121)/5,3)</f>
        <v>1.133</v>
      </c>
      <c r="C122" s="23">
        <f>C121+(C121-C120)/$L$125</f>
        <v>0.94217177125722862</v>
      </c>
      <c r="D122" s="19" t="str">
        <f>"("&amp;_xlfn.TEXTJOIN(",",TRUE,$B122,TEXT($C122,"0.000")&amp;")")</f>
        <v>(1.133,0.942)</v>
      </c>
      <c r="K122" t="s">
        <v>27</v>
      </c>
      <c r="L122">
        <f xml:space="preserve"> ( (M116 - M117) - (N116 * (L116 - L117)) ) / ((L116^2 - L117^2) - 2*L116*L117*(L116 - L117))</f>
        <v>-0.5</v>
      </c>
      <c r="M122">
        <f xml:space="preserve"> 2 * L116 * L122 + N116</f>
        <v>0</v>
      </c>
      <c r="N122">
        <f xml:space="preserve"> M116 - L116^2 * L122 - L116 * M122</f>
        <v>1.5</v>
      </c>
      <c r="O122" s="17"/>
      <c r="Q122" s="23"/>
    </row>
    <row r="123" spans="2:28" x14ac:dyDescent="0.4">
      <c r="B123" s="42">
        <f>ROUND(B122+($B$127-$B$121)/5,3)</f>
        <v>1.266</v>
      </c>
      <c r="C123" s="23">
        <f>C122+(C120-C119)/L125</f>
        <v>0.89719426001285085</v>
      </c>
      <c r="D123" s="19" t="str">
        <f>"("&amp;_xlfn.TEXTJOIN(",",TRUE,$B123,TEXT($C123,"0.000")&amp;")")</f>
        <v>(1.266,0.897)</v>
      </c>
      <c r="K123" t="s">
        <v>26</v>
      </c>
      <c r="L123" s="25" t="str">
        <f>"y = " &amp; 'effect lookups'!L122 &amp; "*x^2 + " &amp; 'effect lookups'!M122 &amp; "*x + " &amp; 'effect lookups'!N122</f>
        <v>y = -0.5*x^2 + 0*x + 1.5</v>
      </c>
      <c r="O123" s="17"/>
    </row>
    <row r="124" spans="2:28" x14ac:dyDescent="0.4">
      <c r="B124" s="42">
        <f>ROUND(B123+($B$127-$B$121)/5,3)</f>
        <v>1.399</v>
      </c>
      <c r="C124" s="23">
        <f>C123+(C119-C118)/$L$125</f>
        <v>0.8650674662668667</v>
      </c>
      <c r="D124" s="19" t="str">
        <f>"("&amp;_xlfn.TEXTJOIN(",",TRUE,$B124,TEXT($C124,"0.000")&amp;")")</f>
        <v>(1.399,0.865)</v>
      </c>
      <c r="O124" s="17"/>
    </row>
    <row r="125" spans="2:28" x14ac:dyDescent="0.4">
      <c r="B125" s="42">
        <f>ROUND(B124+($B$127-$B$121)/5,3)</f>
        <v>1.532</v>
      </c>
      <c r="C125" s="23">
        <f>C124+(C118-C117)/$L$125</f>
        <v>0.84579139001927617</v>
      </c>
      <c r="D125" s="19" t="str">
        <f>"("&amp;_xlfn.TEXTJOIN(",",TRUE,$B125,TEXT($C125,"0.000")&amp;")")</f>
        <v>(1.532,0.846)</v>
      </c>
      <c r="K125" t="s">
        <v>45</v>
      </c>
      <c r="L125">
        <f>(B127-B121)/(C112-C113)</f>
        <v>3.112666666666668</v>
      </c>
      <c r="O125" s="17"/>
    </row>
    <row r="126" spans="2:28" x14ac:dyDescent="0.4">
      <c r="B126" s="42">
        <f>ROUND(B125+($B$127-$B$121)/5,3)</f>
        <v>1.665</v>
      </c>
      <c r="C126" s="23">
        <f>C125+(C117-C116)/$L$125</f>
        <v>0.83936603127007936</v>
      </c>
      <c r="D126" s="19" t="str">
        <f>"("&amp;_xlfn.TEXTJOIN(",",TRUE,$B126,TEXT($C126,"0.000")&amp;")")</f>
        <v>(1.665,0.839)</v>
      </c>
      <c r="O126" s="17"/>
    </row>
    <row r="127" spans="2:28" x14ac:dyDescent="0.4">
      <c r="B127" s="42">
        <f>ROUND(4/C109,3)</f>
        <v>1.667</v>
      </c>
      <c r="C127" s="24">
        <f>C126</f>
        <v>0.83936603127007936</v>
      </c>
      <c r="D127" s="19" t="str">
        <f>"("&amp;_xlfn.TEXTJOIN(",",TRUE,$B127,TEXT($C127,"0.000")&amp;")")</f>
        <v>(1.667,0.839)</v>
      </c>
      <c r="O127" s="17"/>
    </row>
    <row r="128" spans="2:28" x14ac:dyDescent="0.4">
      <c r="B128" s="18" t="s">
        <v>4</v>
      </c>
      <c r="C128" s="20" t="str">
        <f>_xlfn.TEXTJOIN(",",TRUE,D116:D127)</f>
        <v>(0,1.500),(0.2,1.480),(0.4,1.420),(0.6,1.320),(0.8,1.180),(1,1.000),(1.133,0.942),(1.266,0.897),(1.399,0.865),(1.532,0.846),(1.665,0.839),(1.667,0.839)</v>
      </c>
      <c r="O128" s="17"/>
    </row>
    <row r="129" spans="2:28" x14ac:dyDescent="0.4">
      <c r="B129" s="18"/>
      <c r="C129" s="20"/>
      <c r="O129" s="17"/>
    </row>
    <row r="130" spans="2:28" x14ac:dyDescent="0.4">
      <c r="B130" s="18" t="s">
        <v>10</v>
      </c>
      <c r="C130" s="22" t="s">
        <v>42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6"/>
    </row>
    <row r="131" spans="2:28" ht="15" thickBot="1" x14ac:dyDescent="0.45"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3"/>
    </row>
    <row r="132" spans="2:28" x14ac:dyDescent="0.4">
      <c r="B132" s="12" t="s">
        <v>3</v>
      </c>
      <c r="C132" s="43" t="s">
        <v>113</v>
      </c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7"/>
    </row>
    <row r="133" spans="2:28" x14ac:dyDescent="0.4">
      <c r="B133" s="18" t="s">
        <v>24</v>
      </c>
      <c r="C133" t="s">
        <v>23</v>
      </c>
      <c r="O133" s="17"/>
    </row>
    <row r="134" spans="2:28" x14ac:dyDescent="0.4">
      <c r="B134" s="18" t="s">
        <v>22</v>
      </c>
      <c r="C134" s="56">
        <v>2.99</v>
      </c>
      <c r="D134" s="56">
        <v>1.5</v>
      </c>
      <c r="E134" t="s">
        <v>43</v>
      </c>
      <c r="F134" s="25" t="s">
        <v>112</v>
      </c>
      <c r="O134" s="17"/>
    </row>
    <row r="135" spans="2:28" x14ac:dyDescent="0.4">
      <c r="B135" s="18" t="s">
        <v>20</v>
      </c>
      <c r="C135">
        <v>0.02</v>
      </c>
      <c r="D135" t="s">
        <v>43</v>
      </c>
      <c r="E135" s="25" t="s">
        <v>107</v>
      </c>
      <c r="O135" s="17"/>
    </row>
    <row r="136" spans="2:28" x14ac:dyDescent="0.4">
      <c r="B136" s="18" t="s">
        <v>89</v>
      </c>
      <c r="C136">
        <v>0</v>
      </c>
      <c r="D136" s="24">
        <v>0</v>
      </c>
      <c r="E136" t="s">
        <v>43</v>
      </c>
      <c r="F136" s="25" t="s">
        <v>106</v>
      </c>
      <c r="O136" s="17"/>
    </row>
    <row r="137" spans="2:28" x14ac:dyDescent="0.4">
      <c r="B137" s="18" t="s">
        <v>17</v>
      </c>
      <c r="C137">
        <v>1</v>
      </c>
      <c r="D137">
        <v>1</v>
      </c>
      <c r="E137" t="s">
        <v>43</v>
      </c>
      <c r="F137" s="25"/>
      <c r="O137" s="17"/>
    </row>
    <row r="138" spans="2:28" x14ac:dyDescent="0.4">
      <c r="B138" s="18" t="s">
        <v>87</v>
      </c>
      <c r="C138">
        <v>2</v>
      </c>
      <c r="D138">
        <v>2</v>
      </c>
      <c r="E138" t="s">
        <v>43</v>
      </c>
      <c r="F138" s="25" t="s">
        <v>105</v>
      </c>
      <c r="O138" s="17"/>
    </row>
    <row r="139" spans="2:28" x14ac:dyDescent="0.4">
      <c r="B139" s="18" t="s">
        <v>13</v>
      </c>
      <c r="C139" t="s">
        <v>104</v>
      </c>
      <c r="K139" t="s">
        <v>38</v>
      </c>
      <c r="O139" s="17"/>
    </row>
    <row r="140" spans="2:28" x14ac:dyDescent="0.4">
      <c r="B140" s="18" t="s">
        <v>103</v>
      </c>
      <c r="C140" t="s">
        <v>111</v>
      </c>
      <c r="L140" t="s">
        <v>37</v>
      </c>
      <c r="M140" t="s">
        <v>36</v>
      </c>
      <c r="N140" t="s">
        <v>35</v>
      </c>
      <c r="O140" s="17"/>
      <c r="R140" s="24"/>
      <c r="V140" s="23"/>
      <c r="W140" s="23"/>
      <c r="X140" s="23"/>
      <c r="Y140" s="23"/>
      <c r="Z140" s="23"/>
      <c r="AA140" s="23"/>
      <c r="AB140" s="23"/>
    </row>
    <row r="141" spans="2:28" x14ac:dyDescent="0.4">
      <c r="B141" s="18">
        <v>0</v>
      </c>
      <c r="C141" s="24">
        <f>D136</f>
        <v>0</v>
      </c>
      <c r="D141" s="19" t="str">
        <f>"("&amp;_xlfn.TEXTJOIN(",",TRUE,$B141,TEXT($C141,"0.000")&amp;")")</f>
        <v>(0,0.000)</v>
      </c>
      <c r="K141" t="s">
        <v>34</v>
      </c>
      <c r="L141">
        <v>0</v>
      </c>
      <c r="M141">
        <v>0</v>
      </c>
      <c r="N141">
        <v>0</v>
      </c>
      <c r="O141" s="17"/>
      <c r="Q141" s="23"/>
    </row>
    <row r="142" spans="2:28" x14ac:dyDescent="0.4">
      <c r="B142" s="18">
        <v>0.2</v>
      </c>
      <c r="C142" s="23">
        <f>$L$147*B142^2+$M$147*B142+$N$147</f>
        <v>4.0000000000000008E-2</v>
      </c>
      <c r="D142" s="19" t="str">
        <f>"("&amp;_xlfn.TEXTJOIN(",",TRUE,$B142,TEXT($C142,"0.000")&amp;")")</f>
        <v>(0.2,0.040)</v>
      </c>
      <c r="K142" t="s">
        <v>33</v>
      </c>
      <c r="L142">
        <v>1</v>
      </c>
      <c r="M142">
        <f>D137</f>
        <v>1</v>
      </c>
      <c r="N142">
        <v>2</v>
      </c>
      <c r="O142" s="17"/>
    </row>
    <row r="143" spans="2:28" x14ac:dyDescent="0.4">
      <c r="B143" s="18">
        <f>B142+0.2</f>
        <v>0.4</v>
      </c>
      <c r="C143" s="23">
        <f>$L$147*B143^2+$M$147*B143+$N$147</f>
        <v>0.16000000000000003</v>
      </c>
      <c r="D143" s="19" t="str">
        <f>"("&amp;_xlfn.TEXTJOIN(",",TRUE,$B143,TEXT($C143,"0.000")&amp;")")</f>
        <v>(0.4,0.160)</v>
      </c>
      <c r="O143" s="17"/>
    </row>
    <row r="144" spans="2:28" x14ac:dyDescent="0.4">
      <c r="B144" s="18">
        <f>B143+0.2</f>
        <v>0.60000000000000009</v>
      </c>
      <c r="C144" s="23">
        <f>$L$147*B144^2+$M$147*B144+$N$147</f>
        <v>0.3600000000000001</v>
      </c>
      <c r="D144" s="19" t="str">
        <f>"("&amp;_xlfn.TEXTJOIN(",",TRUE,$B144,TEXT($C144,"0.000")&amp;")")</f>
        <v>(0.6,0.360)</v>
      </c>
      <c r="O144" s="17"/>
    </row>
    <row r="145" spans="2:17" x14ac:dyDescent="0.4">
      <c r="B145" s="18">
        <f>B144+0.2</f>
        <v>0.8</v>
      </c>
      <c r="C145" s="23">
        <f>$L$147*B145^2+$M$147*B145+$N$147</f>
        <v>0.64000000000000012</v>
      </c>
      <c r="D145" s="19" t="str">
        <f>"("&amp;_xlfn.TEXTJOIN(",",TRUE,$B145,TEXT($C145,"0.000")&amp;")")</f>
        <v>(0.8,0.640)</v>
      </c>
      <c r="K145" t="s">
        <v>31</v>
      </c>
      <c r="O145" s="17"/>
    </row>
    <row r="146" spans="2:17" x14ac:dyDescent="0.4">
      <c r="B146" s="18">
        <f>B145+0.2</f>
        <v>1</v>
      </c>
      <c r="C146" s="23">
        <f>$L$147*B146^2+$M$147*B146+$N$147</f>
        <v>1</v>
      </c>
      <c r="D146" s="19" t="str">
        <f>"("&amp;_xlfn.TEXTJOIN(",",TRUE,$B146,TEXT($C146,"0.000")&amp;")")</f>
        <v>(1,1.000)</v>
      </c>
      <c r="L146" t="s">
        <v>30</v>
      </c>
      <c r="M146" t="s">
        <v>29</v>
      </c>
      <c r="N146" t="s">
        <v>28</v>
      </c>
      <c r="O146" s="17"/>
    </row>
    <row r="147" spans="2:17" x14ac:dyDescent="0.4">
      <c r="B147" s="18">
        <f>B146+0.2</f>
        <v>1.2</v>
      </c>
      <c r="C147" s="23">
        <f>C146+(C146-C145)</f>
        <v>1.3599999999999999</v>
      </c>
      <c r="D147" s="19" t="str">
        <f>"("&amp;_xlfn.TEXTJOIN(",",TRUE,$B147,TEXT($C147,"0.000")&amp;")")</f>
        <v>(1.2,1.360)</v>
      </c>
      <c r="K147" t="s">
        <v>27</v>
      </c>
      <c r="L147">
        <f xml:space="preserve"> ( (M141 - M142) - (N141 * (L141 - L142)) ) / ((L141^2 - L142^2) - 2*L141*L142*(L141 - L142))</f>
        <v>1</v>
      </c>
      <c r="M147">
        <f xml:space="preserve"> 2 * L141 * L147 + N141</f>
        <v>0</v>
      </c>
      <c r="N147">
        <f xml:space="preserve"> M141 - L141^2 * L147 - L141 * M147</f>
        <v>0</v>
      </c>
      <c r="O147" s="17"/>
      <c r="Q147" s="23"/>
    </row>
    <row r="148" spans="2:17" x14ac:dyDescent="0.4">
      <c r="B148" s="18">
        <f>B147+0.2</f>
        <v>1.4</v>
      </c>
      <c r="C148" s="23">
        <f>C147+(C145-C144)</f>
        <v>1.64</v>
      </c>
      <c r="D148" s="19" t="str">
        <f>"("&amp;_xlfn.TEXTJOIN(",",TRUE,$B148,TEXT($C148,"0.000")&amp;")")</f>
        <v>(1.4,1.640)</v>
      </c>
      <c r="K148" t="s">
        <v>26</v>
      </c>
      <c r="L148" s="25" t="str">
        <f>"y = " &amp; 'effect lookups'!L147 &amp; "*x^2 + " &amp; 'effect lookups'!M147 &amp; "*x + " &amp; 'effect lookups'!N147</f>
        <v>y = 1*x^2 + 0*x + 0</v>
      </c>
      <c r="O148" s="17"/>
    </row>
    <row r="149" spans="2:17" x14ac:dyDescent="0.4">
      <c r="B149" s="18">
        <f>B148+0.2</f>
        <v>1.5999999999999999</v>
      </c>
      <c r="C149" s="23">
        <f>C148+(C144-C143)</f>
        <v>1.8399999999999999</v>
      </c>
      <c r="D149" s="19" t="str">
        <f>"("&amp;_xlfn.TEXTJOIN(",",TRUE,$B149,TEXT($C149,"0.000")&amp;")")</f>
        <v>(1.6,1.840)</v>
      </c>
      <c r="O149" s="17"/>
    </row>
    <row r="150" spans="2:17" x14ac:dyDescent="0.4">
      <c r="B150" s="18">
        <f>B149+0.2</f>
        <v>1.7999999999999998</v>
      </c>
      <c r="C150" s="23">
        <f>C149+(C143-C142)</f>
        <v>1.96</v>
      </c>
      <c r="D150" s="19" t="str">
        <f>"("&amp;_xlfn.TEXTJOIN(",",TRUE,$B150,TEXT($C150,"0.000")&amp;")")</f>
        <v>(1.8,1.960)</v>
      </c>
      <c r="O150" s="17"/>
    </row>
    <row r="151" spans="2:17" x14ac:dyDescent="0.4">
      <c r="B151" s="18">
        <f>B150+0.2</f>
        <v>1.9999999999999998</v>
      </c>
      <c r="C151" s="23">
        <f>C150+(C142-C141)</f>
        <v>2</v>
      </c>
      <c r="D151" s="19" t="str">
        <f>"("&amp;_xlfn.TEXTJOIN(",",TRUE,$B151,TEXT($C151,"0.000")&amp;")")</f>
        <v>(2,2.000)</v>
      </c>
      <c r="O151" s="17"/>
    </row>
    <row r="152" spans="2:17" x14ac:dyDescent="0.4">
      <c r="B152" s="18">
        <v>6</v>
      </c>
      <c r="C152" s="23">
        <f>C151</f>
        <v>2</v>
      </c>
      <c r="D152" s="19" t="str">
        <f>"("&amp;_xlfn.TEXTJOIN(",",TRUE,$B152,TEXT($C152,"0.000")&amp;")")</f>
        <v>(6,2.000)</v>
      </c>
      <c r="O152" s="17"/>
    </row>
    <row r="153" spans="2:17" x14ac:dyDescent="0.4">
      <c r="B153" s="18" t="s">
        <v>4</v>
      </c>
      <c r="C153" s="20" t="str">
        <f>_xlfn.TEXTJOIN(",",TRUE,D141:D152)</f>
        <v>(0,0.000),(0.2,0.040),(0.4,0.160),(0.6,0.360),(0.8,0.640),(1,1.000),(1.2,1.360),(1.4,1.640),(1.6,1.840),(1.8,1.960),(2,2.000),(6,2.000)</v>
      </c>
      <c r="O153" s="17"/>
    </row>
    <row r="154" spans="2:17" x14ac:dyDescent="0.4">
      <c r="B154" s="18"/>
      <c r="C154" s="20"/>
      <c r="O154" s="17"/>
    </row>
    <row r="155" spans="2:17" x14ac:dyDescent="0.4">
      <c r="B155" s="18" t="s">
        <v>10</v>
      </c>
      <c r="C155" s="22" t="s">
        <v>188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6"/>
    </row>
    <row r="156" spans="2:17" ht="15" thickBot="1" x14ac:dyDescent="0.45"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3"/>
    </row>
    <row r="157" spans="2:17" x14ac:dyDescent="0.4">
      <c r="B157" s="12" t="s">
        <v>3</v>
      </c>
      <c r="C157" s="43" t="s">
        <v>110</v>
      </c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7"/>
    </row>
    <row r="158" spans="2:17" x14ac:dyDescent="0.4">
      <c r="B158" s="18" t="s">
        <v>24</v>
      </c>
      <c r="C158" t="s">
        <v>23</v>
      </c>
      <c r="O158" s="17"/>
    </row>
    <row r="159" spans="2:17" x14ac:dyDescent="0.4">
      <c r="B159" s="18" t="s">
        <v>22</v>
      </c>
      <c r="C159">
        <v>0.5</v>
      </c>
      <c r="D159" t="s">
        <v>109</v>
      </c>
      <c r="E159" s="25" t="s">
        <v>108</v>
      </c>
      <c r="O159" s="17"/>
    </row>
    <row r="160" spans="2:17" x14ac:dyDescent="0.4">
      <c r="B160" s="18" t="s">
        <v>20</v>
      </c>
      <c r="C160">
        <v>0.02</v>
      </c>
      <c r="D160" t="s">
        <v>43</v>
      </c>
      <c r="E160" s="25" t="s">
        <v>107</v>
      </c>
      <c r="O160" s="17"/>
    </row>
    <row r="161" spans="2:28" x14ac:dyDescent="0.4">
      <c r="B161" s="18" t="s">
        <v>89</v>
      </c>
      <c r="C161">
        <v>0</v>
      </c>
      <c r="D161" s="24">
        <v>0</v>
      </c>
      <c r="E161" t="s">
        <v>43</v>
      </c>
      <c r="F161" s="25" t="s">
        <v>106</v>
      </c>
      <c r="O161" s="17"/>
    </row>
    <row r="162" spans="2:28" x14ac:dyDescent="0.4">
      <c r="B162" s="18" t="s">
        <v>17</v>
      </c>
      <c r="C162">
        <v>1</v>
      </c>
      <c r="D162">
        <v>1</v>
      </c>
      <c r="E162" t="s">
        <v>43</v>
      </c>
      <c r="F162" s="25"/>
      <c r="O162" s="17"/>
    </row>
    <row r="163" spans="2:28" x14ac:dyDescent="0.4">
      <c r="B163" s="18" t="s">
        <v>87</v>
      </c>
      <c r="C163">
        <v>2</v>
      </c>
      <c r="D163">
        <v>2</v>
      </c>
      <c r="E163" t="s">
        <v>43</v>
      </c>
      <c r="F163" s="25" t="s">
        <v>105</v>
      </c>
      <c r="O163" s="17"/>
    </row>
    <row r="164" spans="2:28" x14ac:dyDescent="0.4">
      <c r="B164" s="18" t="s">
        <v>13</v>
      </c>
      <c r="C164" t="s">
        <v>104</v>
      </c>
      <c r="K164" t="s">
        <v>38</v>
      </c>
      <c r="O164" s="17"/>
    </row>
    <row r="165" spans="2:28" x14ac:dyDescent="0.4">
      <c r="B165" s="18" t="s">
        <v>103</v>
      </c>
      <c r="C165" t="s">
        <v>102</v>
      </c>
      <c r="L165" t="s">
        <v>37</v>
      </c>
      <c r="M165" t="s">
        <v>36</v>
      </c>
      <c r="N165" t="s">
        <v>35</v>
      </c>
      <c r="O165" s="17"/>
      <c r="R165" s="24"/>
      <c r="V165" s="23"/>
      <c r="W165" s="23"/>
      <c r="X165" s="23"/>
      <c r="Y165" s="23"/>
      <c r="Z165" s="23"/>
      <c r="AA165" s="23"/>
      <c r="AB165" s="23"/>
    </row>
    <row r="166" spans="2:28" x14ac:dyDescent="0.4">
      <c r="B166" s="18">
        <v>0</v>
      </c>
      <c r="C166" s="24">
        <f>D161</f>
        <v>0</v>
      </c>
      <c r="D166" s="19" t="str">
        <f>"("&amp;_xlfn.TEXTJOIN(",",TRUE,$B166,TEXT($C166,"0.000")&amp;")")</f>
        <v>(0,0.000)</v>
      </c>
      <c r="K166" t="s">
        <v>34</v>
      </c>
      <c r="L166">
        <v>0</v>
      </c>
      <c r="M166">
        <v>0</v>
      </c>
      <c r="N166">
        <v>0</v>
      </c>
      <c r="O166" s="17"/>
      <c r="Q166" s="23"/>
    </row>
    <row r="167" spans="2:28" x14ac:dyDescent="0.4">
      <c r="B167" s="18">
        <v>0.2</v>
      </c>
      <c r="C167" s="23">
        <f>$L$172*B167^2+$M$172*B167+$N$172</f>
        <v>4.0000000000000008E-2</v>
      </c>
      <c r="D167" s="19" t="str">
        <f>"("&amp;_xlfn.TEXTJOIN(",",TRUE,$B167,TEXT($C167,"0.000")&amp;")")</f>
        <v>(0.2,0.040)</v>
      </c>
      <c r="K167" t="s">
        <v>33</v>
      </c>
      <c r="L167">
        <v>1</v>
      </c>
      <c r="M167">
        <f>D162</f>
        <v>1</v>
      </c>
      <c r="N167">
        <v>2</v>
      </c>
      <c r="O167" s="17"/>
    </row>
    <row r="168" spans="2:28" x14ac:dyDescent="0.4">
      <c r="B168" s="18">
        <f>B167+0.2</f>
        <v>0.4</v>
      </c>
      <c r="C168" s="23">
        <f>$L$172*B168^2+$M$172*B168+$N$172</f>
        <v>0.16000000000000003</v>
      </c>
      <c r="D168" s="19" t="str">
        <f>"("&amp;_xlfn.TEXTJOIN(",",TRUE,$B168,TEXT($C168,"0.000")&amp;")")</f>
        <v>(0.4,0.160)</v>
      </c>
      <c r="O168" s="17"/>
    </row>
    <row r="169" spans="2:28" x14ac:dyDescent="0.4">
      <c r="B169" s="18">
        <f>B168+0.2</f>
        <v>0.60000000000000009</v>
      </c>
      <c r="C169" s="23">
        <f>$L$172*B169^2+$M$172*B169+$N$172</f>
        <v>0.3600000000000001</v>
      </c>
      <c r="D169" s="19" t="str">
        <f>"("&amp;_xlfn.TEXTJOIN(",",TRUE,$B169,TEXT($C169,"0.000")&amp;")")</f>
        <v>(0.6,0.360)</v>
      </c>
      <c r="O169" s="17"/>
    </row>
    <row r="170" spans="2:28" x14ac:dyDescent="0.4">
      <c r="B170" s="18">
        <f>B169+0.2</f>
        <v>0.8</v>
      </c>
      <c r="C170" s="23">
        <f>$L$172*B170^2+$M$172*B170+$N$172</f>
        <v>0.64000000000000012</v>
      </c>
      <c r="D170" s="19" t="str">
        <f>"("&amp;_xlfn.TEXTJOIN(",",TRUE,$B170,TEXT($C170,"0.000")&amp;")")</f>
        <v>(0.8,0.640)</v>
      </c>
      <c r="K170" t="s">
        <v>31</v>
      </c>
      <c r="O170" s="17"/>
    </row>
    <row r="171" spans="2:28" x14ac:dyDescent="0.4">
      <c r="B171" s="18">
        <f>B170+0.2</f>
        <v>1</v>
      </c>
      <c r="C171" s="23">
        <f>$L$172*B171^2+$M$172*B171+$N$172</f>
        <v>1</v>
      </c>
      <c r="D171" s="19" t="str">
        <f>"("&amp;_xlfn.TEXTJOIN(",",TRUE,$B171,TEXT($C171,"0.000")&amp;")")</f>
        <v>(1,1.000)</v>
      </c>
      <c r="L171" t="s">
        <v>30</v>
      </c>
      <c r="M171" t="s">
        <v>29</v>
      </c>
      <c r="N171" t="s">
        <v>28</v>
      </c>
      <c r="O171" s="17"/>
    </row>
    <row r="172" spans="2:28" x14ac:dyDescent="0.4">
      <c r="B172" s="18">
        <f>B171+0.2</f>
        <v>1.2</v>
      </c>
      <c r="C172" s="23">
        <f>C171+(C171-C170)</f>
        <v>1.3599999999999999</v>
      </c>
      <c r="D172" s="19" t="str">
        <f>"("&amp;_xlfn.TEXTJOIN(",",TRUE,$B172,TEXT($C172,"0.000")&amp;")")</f>
        <v>(1.2,1.360)</v>
      </c>
      <c r="K172" t="s">
        <v>27</v>
      </c>
      <c r="L172">
        <f xml:space="preserve"> ( (M166 - M167) - (N166 * (L166 - L167)) ) / ((L166^2 - L167^2) - 2*L166*L167*(L166 - L167))</f>
        <v>1</v>
      </c>
      <c r="M172">
        <f xml:space="preserve"> 2 * L166 * L172 + N166</f>
        <v>0</v>
      </c>
      <c r="N172">
        <f xml:space="preserve"> M166 - L166^2 * L172 - L166 * M172</f>
        <v>0</v>
      </c>
      <c r="O172" s="17"/>
      <c r="Q172" s="23"/>
    </row>
    <row r="173" spans="2:28" x14ac:dyDescent="0.4">
      <c r="B173" s="18">
        <f>B172+0.2</f>
        <v>1.4</v>
      </c>
      <c r="C173" s="23">
        <f>C172+(C170-C169)</f>
        <v>1.64</v>
      </c>
      <c r="D173" s="19" t="str">
        <f>"("&amp;_xlfn.TEXTJOIN(",",TRUE,$B173,TEXT($C173,"0.000")&amp;")")</f>
        <v>(1.4,1.640)</v>
      </c>
      <c r="K173" t="s">
        <v>26</v>
      </c>
      <c r="L173" s="25" t="str">
        <f>"y = " &amp; 'effect lookups'!L172 &amp; "*x^2 + " &amp; 'effect lookups'!M172 &amp; "*x + " &amp; 'effect lookups'!N172</f>
        <v>y = 1*x^2 + 0*x + 0</v>
      </c>
      <c r="O173" s="17"/>
    </row>
    <row r="174" spans="2:28" x14ac:dyDescent="0.4">
      <c r="B174" s="18">
        <f>B173+0.2</f>
        <v>1.5999999999999999</v>
      </c>
      <c r="C174" s="23">
        <f>C173+(C169-C168)</f>
        <v>1.8399999999999999</v>
      </c>
      <c r="D174" s="19" t="str">
        <f>"("&amp;_xlfn.TEXTJOIN(",",TRUE,$B174,TEXT($C174,"0.000")&amp;")")</f>
        <v>(1.6,1.840)</v>
      </c>
      <c r="O174" s="17"/>
    </row>
    <row r="175" spans="2:28" x14ac:dyDescent="0.4">
      <c r="B175" s="18">
        <f>B174+0.2</f>
        <v>1.7999999999999998</v>
      </c>
      <c r="C175" s="23">
        <f>C174+C168-C167</f>
        <v>1.96</v>
      </c>
      <c r="D175" s="19" t="str">
        <f>"("&amp;_xlfn.TEXTJOIN(",",TRUE,$B175,TEXT($C175,"0.000")&amp;")")</f>
        <v>(1.8,1.960)</v>
      </c>
      <c r="O175" s="17"/>
    </row>
    <row r="176" spans="2:28" x14ac:dyDescent="0.4">
      <c r="B176" s="18">
        <f>B175+0.2</f>
        <v>1.9999999999999998</v>
      </c>
      <c r="C176" s="23">
        <f>C175+C167-C166</f>
        <v>2</v>
      </c>
      <c r="D176" s="19" t="str">
        <f>"("&amp;_xlfn.TEXTJOIN(",",TRUE,$B176,TEXT($C176,"0.000")&amp;")")</f>
        <v>(2,2.000)</v>
      </c>
      <c r="O176" s="17"/>
    </row>
    <row r="177" spans="2:28" x14ac:dyDescent="0.4">
      <c r="B177" s="18" t="s">
        <v>4</v>
      </c>
      <c r="C177" s="20" t="str">
        <f>_xlfn.TEXTJOIN(",",TRUE,D166:D176)</f>
        <v>(0,0.000),(0.2,0.040),(0.4,0.160),(0.6,0.360),(0.8,0.640),(1,1.000),(1.2,1.360),(1.4,1.640),(1.6,1.840),(1.8,1.960),(2,2.000)</v>
      </c>
      <c r="O177" s="17"/>
    </row>
    <row r="178" spans="2:28" x14ac:dyDescent="0.4">
      <c r="B178" s="18"/>
      <c r="C178" s="20"/>
      <c r="O178" s="17"/>
    </row>
    <row r="179" spans="2:28" x14ac:dyDescent="0.4">
      <c r="B179" s="18" t="s">
        <v>10</v>
      </c>
      <c r="C179" s="22" t="s">
        <v>188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6"/>
    </row>
    <row r="180" spans="2:28" ht="15" thickBot="1" x14ac:dyDescent="0.45"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3"/>
    </row>
    <row r="181" spans="2:28" x14ac:dyDescent="0.4">
      <c r="B181" s="12" t="s">
        <v>3</v>
      </c>
      <c r="C181" s="43" t="s">
        <v>101</v>
      </c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7"/>
    </row>
    <row r="182" spans="2:28" x14ac:dyDescent="0.4">
      <c r="B182" s="18" t="s">
        <v>24</v>
      </c>
      <c r="C182" t="s">
        <v>23</v>
      </c>
      <c r="O182" s="17"/>
    </row>
    <row r="183" spans="2:28" x14ac:dyDescent="0.4">
      <c r="B183" s="18" t="s">
        <v>22</v>
      </c>
      <c r="C183">
        <v>9.6</v>
      </c>
      <c r="D183" t="s">
        <v>100</v>
      </c>
      <c r="E183" s="25" t="s">
        <v>99</v>
      </c>
      <c r="O183" s="17"/>
    </row>
    <row r="184" spans="2:28" x14ac:dyDescent="0.4">
      <c r="B184" s="18" t="s">
        <v>20</v>
      </c>
      <c r="C184">
        <v>5</v>
      </c>
      <c r="D184" t="s">
        <v>98</v>
      </c>
      <c r="E184" s="25" t="s">
        <v>97</v>
      </c>
      <c r="O184" s="17"/>
    </row>
    <row r="185" spans="2:28" x14ac:dyDescent="0.4">
      <c r="B185" s="18" t="s">
        <v>89</v>
      </c>
      <c r="C185">
        <v>0</v>
      </c>
      <c r="D185">
        <v>4</v>
      </c>
      <c r="E185" t="s">
        <v>43</v>
      </c>
      <c r="F185" s="25" t="s">
        <v>96</v>
      </c>
      <c r="O185" s="17"/>
    </row>
    <row r="186" spans="2:28" x14ac:dyDescent="0.4">
      <c r="B186" s="18" t="s">
        <v>17</v>
      </c>
      <c r="C186">
        <v>1</v>
      </c>
      <c r="D186">
        <v>1</v>
      </c>
      <c r="E186" t="s">
        <v>43</v>
      </c>
      <c r="O186" s="17"/>
    </row>
    <row r="187" spans="2:28" x14ac:dyDescent="0.4">
      <c r="B187" s="18" t="s">
        <v>87</v>
      </c>
      <c r="C187">
        <v>2</v>
      </c>
      <c r="D187">
        <v>0.5</v>
      </c>
      <c r="E187" t="s">
        <v>43</v>
      </c>
      <c r="F187" s="25" t="s">
        <v>95</v>
      </c>
      <c r="O187" s="17"/>
    </row>
    <row r="188" spans="2:28" x14ac:dyDescent="0.4">
      <c r="B188" s="18" t="s">
        <v>13</v>
      </c>
      <c r="C188" t="s">
        <v>85</v>
      </c>
      <c r="K188" t="s">
        <v>38</v>
      </c>
      <c r="O188" s="17"/>
    </row>
    <row r="189" spans="2:28" x14ac:dyDescent="0.4">
      <c r="B189" s="18" t="s">
        <v>94</v>
      </c>
      <c r="C189" t="s">
        <v>93</v>
      </c>
      <c r="L189" t="s">
        <v>37</v>
      </c>
      <c r="M189" t="s">
        <v>36</v>
      </c>
      <c r="N189" t="s">
        <v>35</v>
      </c>
      <c r="O189" s="17"/>
      <c r="R189" s="24"/>
      <c r="V189" s="23"/>
      <c r="W189" s="23"/>
      <c r="X189" s="23"/>
      <c r="Y189" s="23"/>
      <c r="Z189" s="23"/>
      <c r="AA189" s="23"/>
      <c r="AB189" s="23"/>
    </row>
    <row r="190" spans="2:28" x14ac:dyDescent="0.4">
      <c r="B190" s="18">
        <v>0</v>
      </c>
      <c r="C190" s="24">
        <f>D185</f>
        <v>4</v>
      </c>
      <c r="D190" s="19" t="str">
        <f>"("&amp;_xlfn.TEXTJOIN(",",TRUE,$B190,TEXT($C190,"0.000")&amp;")")</f>
        <v>(0,4.000)</v>
      </c>
      <c r="K190" t="s">
        <v>34</v>
      </c>
      <c r="L190">
        <v>0</v>
      </c>
      <c r="M190">
        <v>4</v>
      </c>
      <c r="N190">
        <v>0</v>
      </c>
      <c r="O190" s="17"/>
      <c r="Q190" s="23"/>
    </row>
    <row r="191" spans="2:28" x14ac:dyDescent="0.4">
      <c r="B191" s="18">
        <v>0.2</v>
      </c>
      <c r="C191" s="23">
        <f>$L$196*B191^2+$M$196*B191+$N$196</f>
        <v>3.88</v>
      </c>
      <c r="D191" s="19" t="str">
        <f>"("&amp;_xlfn.TEXTJOIN(",",TRUE,$B191,TEXT($C191,"0.000")&amp;")")</f>
        <v>(0.2,3.880)</v>
      </c>
      <c r="K191" t="s">
        <v>33</v>
      </c>
      <c r="L191">
        <v>1</v>
      </c>
      <c r="M191">
        <v>1</v>
      </c>
      <c r="N191">
        <v>2</v>
      </c>
      <c r="O191" s="17"/>
    </row>
    <row r="192" spans="2:28" x14ac:dyDescent="0.4">
      <c r="B192" s="18">
        <f>B191+0.2</f>
        <v>0.4</v>
      </c>
      <c r="C192" s="23">
        <f>$L$196*B192^2+$M$196*B192+$N$196</f>
        <v>3.52</v>
      </c>
      <c r="D192" s="19" t="str">
        <f>"("&amp;_xlfn.TEXTJOIN(",",TRUE,$B192,TEXT($C192,"0.000")&amp;")")</f>
        <v>(0.4,3.520)</v>
      </c>
      <c r="O192" s="17"/>
    </row>
    <row r="193" spans="2:17" x14ac:dyDescent="0.4">
      <c r="B193" s="18">
        <f>B192+0.2</f>
        <v>0.60000000000000009</v>
      </c>
      <c r="C193" s="23">
        <f>$L$196*B193^2+$M$196*B193+$N$196</f>
        <v>2.92</v>
      </c>
      <c r="D193" s="19" t="str">
        <f>"("&amp;_xlfn.TEXTJOIN(",",TRUE,$B193,TEXT($C193,"0.000")&amp;")")</f>
        <v>(0.6,2.920)</v>
      </c>
      <c r="O193" s="17"/>
    </row>
    <row r="194" spans="2:17" x14ac:dyDescent="0.4">
      <c r="B194" s="18">
        <f>B193+0.2</f>
        <v>0.8</v>
      </c>
      <c r="C194" s="23">
        <f>$L$196*B194^2+$M$196*B194+$N$196</f>
        <v>2.0799999999999996</v>
      </c>
      <c r="D194" s="19" t="str">
        <f>"("&amp;_xlfn.TEXTJOIN(",",TRUE,$B194,TEXT($C194,"0.000")&amp;")")</f>
        <v>(0.8,2.080)</v>
      </c>
      <c r="K194" t="s">
        <v>31</v>
      </c>
      <c r="O194" s="17"/>
    </row>
    <row r="195" spans="2:17" x14ac:dyDescent="0.4">
      <c r="B195" s="18">
        <f>B194+0.2</f>
        <v>1</v>
      </c>
      <c r="C195" s="23">
        <f>$L$196*B195^2+$M$196*B195+$N$196</f>
        <v>1</v>
      </c>
      <c r="D195" s="19" t="str">
        <f>"("&amp;_xlfn.TEXTJOIN(",",TRUE,$B195,TEXT($C195,"0.000")&amp;")")</f>
        <v>(1,1.000)</v>
      </c>
      <c r="L195" t="s">
        <v>30</v>
      </c>
      <c r="M195" t="s">
        <v>29</v>
      </c>
      <c r="N195" t="s">
        <v>28</v>
      </c>
      <c r="O195" s="17"/>
    </row>
    <row r="196" spans="2:17" x14ac:dyDescent="0.4">
      <c r="B196" s="18">
        <f>B195+0.2</f>
        <v>1.2</v>
      </c>
      <c r="C196" s="23">
        <f>C195+(C195-C194)/$L$199</f>
        <v>0.82000000000000006</v>
      </c>
      <c r="D196" s="19" t="str">
        <f>"("&amp;_xlfn.TEXTJOIN(",",TRUE,$B196,TEXT($C196,"0.000")&amp;")")</f>
        <v>(1.2,0.820)</v>
      </c>
      <c r="K196" t="s">
        <v>27</v>
      </c>
      <c r="L196">
        <f xml:space="preserve"> ( (M190 - M191) - (N190 * (L190 - L191)) ) / ((L190^2 - L191^2) - 2*L190*L191*(L190 - L191))</f>
        <v>-3</v>
      </c>
      <c r="M196">
        <f xml:space="preserve"> 2 * L190 * L196 + N190</f>
        <v>0</v>
      </c>
      <c r="N196">
        <f xml:space="preserve"> M190 - L190^2 * L196 - L190 * M196</f>
        <v>4</v>
      </c>
      <c r="O196" s="17"/>
      <c r="Q196" s="23"/>
    </row>
    <row r="197" spans="2:17" x14ac:dyDescent="0.4">
      <c r="B197" s="18">
        <f>B196+0.2</f>
        <v>1.4</v>
      </c>
      <c r="C197" s="23">
        <f>C196+(C194-C193)/$L$199</f>
        <v>0.68</v>
      </c>
      <c r="D197" s="19" t="str">
        <f>"("&amp;_xlfn.TEXTJOIN(",",TRUE,$B197,TEXT($C197,"0.000")&amp;")")</f>
        <v>(1.4,0.680)</v>
      </c>
      <c r="K197" t="s">
        <v>26</v>
      </c>
      <c r="L197" s="25" t="str">
        <f>"y = " &amp; 'effect lookups'!L196 &amp; "*x^2 + " &amp; 'effect lookups'!M196 &amp; "*x + " &amp; 'effect lookups'!N196</f>
        <v>y = -3*x^2 + 0*x + 4</v>
      </c>
      <c r="O197" s="17"/>
    </row>
    <row r="198" spans="2:17" x14ac:dyDescent="0.4">
      <c r="B198" s="18">
        <f>B197+0.2</f>
        <v>1.5999999999999999</v>
      </c>
      <c r="C198" s="23">
        <f>C197+(C193-C192)/$L$199</f>
        <v>0.58000000000000007</v>
      </c>
      <c r="D198" s="19" t="str">
        <f>"("&amp;_xlfn.TEXTJOIN(",",TRUE,$B198,TEXT($C198,"0.000")&amp;")")</f>
        <v>(1.6,0.580)</v>
      </c>
      <c r="O198" s="17"/>
    </row>
    <row r="199" spans="2:17" x14ac:dyDescent="0.4">
      <c r="B199" s="18">
        <f>B198+0.2</f>
        <v>1.7999999999999998</v>
      </c>
      <c r="C199" s="23">
        <f>C198+(C192-C191)/$L$199</f>
        <v>0.52000000000000013</v>
      </c>
      <c r="D199" s="19" t="str">
        <f>"("&amp;_xlfn.TEXTJOIN(",",TRUE,$B199,TEXT($C199,"0.000")&amp;")")</f>
        <v>(1.8,0.520)</v>
      </c>
      <c r="K199" t="s">
        <v>45</v>
      </c>
      <c r="L199">
        <v>6</v>
      </c>
      <c r="O199" s="17"/>
    </row>
    <row r="200" spans="2:17" x14ac:dyDescent="0.4">
      <c r="B200" s="18">
        <f>B199+0.2</f>
        <v>1.9999999999999998</v>
      </c>
      <c r="C200" s="23">
        <f>C199+(C191-C190)/$L$199</f>
        <v>0.50000000000000011</v>
      </c>
      <c r="D200" s="19" t="str">
        <f>"("&amp;_xlfn.TEXTJOIN(",",TRUE,$B200,TEXT($C200,"0.000")&amp;")")</f>
        <v>(2,0.500)</v>
      </c>
      <c r="O200" s="17"/>
    </row>
    <row r="201" spans="2:17" x14ac:dyDescent="0.4">
      <c r="B201" s="18" t="s">
        <v>4</v>
      </c>
      <c r="C201" s="20" t="str">
        <f>_xlfn.TEXTJOIN(",",TRUE,D190:D200)</f>
        <v>(0,4.000),(0.2,3.880),(0.4,3.520),(0.6,2.920),(0.8,2.080),(1,1.000),(1.2,0.820),(1.4,0.680),(1.6,0.580),(1.8,0.520),(2,0.500)</v>
      </c>
      <c r="O201" s="17"/>
    </row>
    <row r="202" spans="2:17" x14ac:dyDescent="0.4">
      <c r="B202" s="18"/>
      <c r="C202" s="20"/>
      <c r="O202" s="17"/>
    </row>
    <row r="203" spans="2:17" x14ac:dyDescent="0.4">
      <c r="B203" s="18" t="s">
        <v>10</v>
      </c>
      <c r="C203" s="22" t="s">
        <v>42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6"/>
    </row>
    <row r="204" spans="2:17" ht="15" thickBot="1" x14ac:dyDescent="0.45"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3"/>
    </row>
    <row r="205" spans="2:17" x14ac:dyDescent="0.4">
      <c r="B205" s="12" t="s">
        <v>3</v>
      </c>
      <c r="C205" s="43" t="s">
        <v>92</v>
      </c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7"/>
    </row>
    <row r="206" spans="2:17" x14ac:dyDescent="0.4">
      <c r="B206" s="18" t="s">
        <v>24</v>
      </c>
      <c r="C206" t="s">
        <v>23</v>
      </c>
      <c r="O206" s="17"/>
    </row>
    <row r="207" spans="2:17" x14ac:dyDescent="0.4">
      <c r="B207" s="18" t="s">
        <v>22</v>
      </c>
      <c r="C207">
        <v>0.27100000000000002</v>
      </c>
      <c r="D207" t="s">
        <v>43</v>
      </c>
      <c r="E207" s="25" t="s">
        <v>91</v>
      </c>
      <c r="O207" s="17"/>
    </row>
    <row r="208" spans="2:17" x14ac:dyDescent="0.4">
      <c r="B208" s="18" t="s">
        <v>20</v>
      </c>
      <c r="C208">
        <v>0.03</v>
      </c>
      <c r="D208" t="s">
        <v>44</v>
      </c>
      <c r="E208" s="25" t="s">
        <v>90</v>
      </c>
      <c r="O208" s="17"/>
    </row>
    <row r="209" spans="2:15" x14ac:dyDescent="0.4">
      <c r="B209" s="18" t="s">
        <v>89</v>
      </c>
      <c r="C209">
        <v>0</v>
      </c>
      <c r="D209" s="24">
        <f>0.02/C208</f>
        <v>0.66666666666666674</v>
      </c>
      <c r="E209" t="s">
        <v>43</v>
      </c>
      <c r="F209" s="25" t="s">
        <v>88</v>
      </c>
      <c r="O209" s="17"/>
    </row>
    <row r="210" spans="2:15" x14ac:dyDescent="0.4">
      <c r="B210" s="18" t="s">
        <v>17</v>
      </c>
      <c r="C210">
        <v>1</v>
      </c>
      <c r="D210">
        <v>1</v>
      </c>
      <c r="E210" t="s">
        <v>43</v>
      </c>
      <c r="O210" s="17"/>
    </row>
    <row r="211" spans="2:15" x14ac:dyDescent="0.4">
      <c r="B211" s="18" t="s">
        <v>87</v>
      </c>
      <c r="C211" s="24">
        <f>0.5/C207</f>
        <v>1.8450184501845017</v>
      </c>
      <c r="D211">
        <v>1.33</v>
      </c>
      <c r="E211" t="s">
        <v>43</v>
      </c>
      <c r="F211" s="25" t="s">
        <v>86</v>
      </c>
      <c r="O211" s="17"/>
    </row>
    <row r="212" spans="2:15" x14ac:dyDescent="0.4">
      <c r="B212" s="18" t="s">
        <v>13</v>
      </c>
      <c r="C212" t="s">
        <v>85</v>
      </c>
      <c r="K212" t="s">
        <v>38</v>
      </c>
      <c r="O212" s="17"/>
    </row>
    <row r="213" spans="2:15" x14ac:dyDescent="0.4">
      <c r="B213" s="18" t="s">
        <v>84</v>
      </c>
      <c r="C213" t="s">
        <v>83</v>
      </c>
      <c r="L213" t="s">
        <v>37</v>
      </c>
      <c r="M213" t="s">
        <v>36</v>
      </c>
      <c r="N213" t="s">
        <v>35</v>
      </c>
      <c r="O213" s="17"/>
    </row>
    <row r="214" spans="2:15" x14ac:dyDescent="0.4">
      <c r="B214" s="18">
        <v>0</v>
      </c>
      <c r="C214" s="24">
        <f>D209</f>
        <v>0.66666666666666674</v>
      </c>
      <c r="D214" s="19" t="str">
        <f>"("&amp;_xlfn.TEXTJOIN(",",TRUE,$B214,TEXT($C214,"0.000")&amp;")")</f>
        <v>(0,0.667)</v>
      </c>
      <c r="K214" t="s">
        <v>34</v>
      </c>
      <c r="L214">
        <v>0</v>
      </c>
      <c r="M214" s="24">
        <f>D209</f>
        <v>0.66666666666666674</v>
      </c>
      <c r="N214">
        <v>0</v>
      </c>
      <c r="O214" s="17"/>
    </row>
    <row r="215" spans="2:15" x14ac:dyDescent="0.4">
      <c r="B215" s="18">
        <v>0.2</v>
      </c>
      <c r="C215" s="23">
        <f>$L$220*B215^2+$M$220*B215+$N$220</f>
        <v>0.68</v>
      </c>
      <c r="D215" s="19" t="str">
        <f>"("&amp;_xlfn.TEXTJOIN(",",TRUE,$B215,TEXT($C215,"0.000")&amp;")")</f>
        <v>(0.2,0.680)</v>
      </c>
      <c r="K215" t="s">
        <v>33</v>
      </c>
      <c r="L215">
        <v>1</v>
      </c>
      <c r="M215">
        <v>1</v>
      </c>
      <c r="N215">
        <v>2</v>
      </c>
      <c r="O215" s="17"/>
    </row>
    <row r="216" spans="2:15" x14ac:dyDescent="0.4">
      <c r="B216" s="18">
        <f>B215+0.2</f>
        <v>0.4</v>
      </c>
      <c r="C216" s="23">
        <f>$L$220*B216^2+$M$220*B216+$N$220</f>
        <v>0.72000000000000008</v>
      </c>
      <c r="D216" s="19" t="str">
        <f>"("&amp;_xlfn.TEXTJOIN(",",TRUE,$B216,TEXT($C216,"0.000")&amp;")")</f>
        <v>(0.4,0.720)</v>
      </c>
      <c r="O216" s="17"/>
    </row>
    <row r="217" spans="2:15" x14ac:dyDescent="0.4">
      <c r="B217" s="18">
        <f>B216+0.2</f>
        <v>0.60000000000000009</v>
      </c>
      <c r="C217" s="23">
        <f>$L$220*B217^2+$M$220*B217+$N$220</f>
        <v>0.78666666666666674</v>
      </c>
      <c r="D217" s="19" t="str">
        <f>"("&amp;_xlfn.TEXTJOIN(",",TRUE,$B217,TEXT($C217,"0.000")&amp;")")</f>
        <v>(0.6,0.787)</v>
      </c>
      <c r="O217" s="17"/>
    </row>
    <row r="218" spans="2:15" x14ac:dyDescent="0.4">
      <c r="B218" s="18">
        <f>B217+0.2</f>
        <v>0.8</v>
      </c>
      <c r="C218" s="23">
        <f>$L$220*B218^2+$M$220*B218+$N$220</f>
        <v>0.88000000000000012</v>
      </c>
      <c r="D218" s="19" t="str">
        <f>"("&amp;_xlfn.TEXTJOIN(",",TRUE,$B218,TEXT($C218,"0.000")&amp;")")</f>
        <v>(0.8,0.880)</v>
      </c>
      <c r="K218" t="s">
        <v>31</v>
      </c>
      <c r="O218" s="17"/>
    </row>
    <row r="219" spans="2:15" x14ac:dyDescent="0.4">
      <c r="B219" s="18">
        <f>B218+0.2</f>
        <v>1</v>
      </c>
      <c r="C219" s="23">
        <f>$L$220*B219^2+$M$220*B219+$N$220</f>
        <v>1</v>
      </c>
      <c r="D219" s="19" t="str">
        <f>"("&amp;_xlfn.TEXTJOIN(",",TRUE,$B219,TEXT($C219,"0.000")&amp;")")</f>
        <v>(1,1.000)</v>
      </c>
      <c r="L219" t="s">
        <v>30</v>
      </c>
      <c r="M219" t="s">
        <v>29</v>
      </c>
      <c r="N219" t="s">
        <v>28</v>
      </c>
      <c r="O219" s="17"/>
    </row>
    <row r="220" spans="2:15" x14ac:dyDescent="0.4">
      <c r="B220" s="42">
        <f>ROUND(B219+($B$224-$B$219)/5,3)</f>
        <v>1.169</v>
      </c>
      <c r="C220" s="23">
        <f>C219+(C219-C218)/$L$223</f>
        <v>1.1199999999999999</v>
      </c>
      <c r="D220" s="19" t="str">
        <f>"("&amp;_xlfn.TEXTJOIN(",",TRUE,$B220,TEXT($C220,"0.000")&amp;")")</f>
        <v>(1.169,1.120)</v>
      </c>
      <c r="K220" t="s">
        <v>27</v>
      </c>
      <c r="L220">
        <f xml:space="preserve"> ( (M214 - M215) - (N214 * (L214 - L215)) ) / ((L214^2 - L215^2) - 2*L214*L215*(L214 - L215))</f>
        <v>0.33333333333333326</v>
      </c>
      <c r="M220">
        <f xml:space="preserve"> 2 * L214 * L220 + N214</f>
        <v>0</v>
      </c>
      <c r="N220">
        <f xml:space="preserve"> M214 - L214^2 * L220 - L214 * M220</f>
        <v>0.66666666666666674</v>
      </c>
      <c r="O220" s="17"/>
    </row>
    <row r="221" spans="2:15" x14ac:dyDescent="0.4">
      <c r="B221" s="42">
        <f>ROUND(B220+($B$224-$B$219)/5,3)</f>
        <v>1.3380000000000001</v>
      </c>
      <c r="C221" s="23">
        <f>C220+(C218-C217)/$L$223</f>
        <v>1.2133333333333334</v>
      </c>
      <c r="D221" s="19" t="str">
        <f>"("&amp;_xlfn.TEXTJOIN(",",TRUE,$B221,TEXT($C221,"0.000")&amp;")")</f>
        <v>(1.338,1.213)</v>
      </c>
      <c r="K221" t="s">
        <v>26</v>
      </c>
      <c r="L221" s="25" t="str">
        <f>"y = " &amp; 'effect lookups'!L220 &amp; "*x^2 + " &amp; 'effect lookups'!M220 &amp; "*x + " &amp; 'effect lookups'!N220</f>
        <v>y = 0.333333333333333*x^2 + 0*x + 0.666666666666667</v>
      </c>
      <c r="O221" s="17"/>
    </row>
    <row r="222" spans="2:15" x14ac:dyDescent="0.4">
      <c r="B222" s="42">
        <f>ROUND(B221+($B$224-$B$219)/5,3)</f>
        <v>1.5069999999999999</v>
      </c>
      <c r="C222" s="23">
        <f>C221+(C217-C216)/$L$223</f>
        <v>1.28</v>
      </c>
      <c r="D222" s="19" t="str">
        <f>"("&amp;_xlfn.TEXTJOIN(",",TRUE,$B222,TEXT($C222,"0.000")&amp;")")</f>
        <v>(1.507,1.280)</v>
      </c>
      <c r="O222" s="17"/>
    </row>
    <row r="223" spans="2:15" x14ac:dyDescent="0.4">
      <c r="B223" s="42">
        <f>ROUND(B222+($B$224-$B$219)/5,3)</f>
        <v>1.6759999999999999</v>
      </c>
      <c r="C223" s="23">
        <f>C222+(C216-C215)/$L$223</f>
        <v>1.32</v>
      </c>
      <c r="D223" s="19" t="str">
        <f>"("&amp;_xlfn.TEXTJOIN(",",TRUE,$B223,TEXT($C223,"0.000")&amp;")")</f>
        <v>(1.676,1.320)</v>
      </c>
      <c r="K223" t="s">
        <v>45</v>
      </c>
      <c r="L223" s="28">
        <v>1</v>
      </c>
      <c r="O223" s="17"/>
    </row>
    <row r="224" spans="2:15" x14ac:dyDescent="0.4">
      <c r="B224" s="42">
        <f>ROUND(C211,3)</f>
        <v>1.845</v>
      </c>
      <c r="C224" s="23">
        <f>C223+(C215-C214)/$L$223</f>
        <v>1.3333333333333335</v>
      </c>
      <c r="D224" s="19" t="str">
        <f>"("&amp;_xlfn.TEXTJOIN(",",TRUE,$B224,TEXT($C224,"0.000")&amp;")")</f>
        <v>(1.845,1.333)</v>
      </c>
      <c r="O224" s="17"/>
    </row>
    <row r="225" spans="2:15" x14ac:dyDescent="0.4">
      <c r="B225" s="42">
        <f>ROUND(1/C207,3)</f>
        <v>3.69</v>
      </c>
      <c r="C225" s="23">
        <f>C224</f>
        <v>1.3333333333333335</v>
      </c>
      <c r="D225" s="19" t="str">
        <f>"("&amp;_xlfn.TEXTJOIN(",",TRUE,$B225,TEXT($C225,"0.000")&amp;")")</f>
        <v>(3.69,1.333)</v>
      </c>
      <c r="O225" s="17"/>
    </row>
    <row r="226" spans="2:15" x14ac:dyDescent="0.4">
      <c r="B226" s="18" t="s">
        <v>4</v>
      </c>
      <c r="C226" s="20" t="str">
        <f>_xlfn.TEXTJOIN(",",TRUE,D214:D225)</f>
        <v>(0,0.667),(0.2,0.680),(0.4,0.720),(0.6,0.787),(0.8,0.880),(1,1.000),(1.169,1.120),(1.338,1.213),(1.507,1.280),(1.676,1.320),(1.845,1.333),(3.69,1.333)</v>
      </c>
      <c r="O226" s="17"/>
    </row>
    <row r="227" spans="2:15" x14ac:dyDescent="0.4">
      <c r="B227" s="18"/>
      <c r="C227" s="20"/>
      <c r="O227" s="17"/>
    </row>
    <row r="228" spans="2:15" x14ac:dyDescent="0.4">
      <c r="B228" s="18" t="s">
        <v>10</v>
      </c>
      <c r="C228" s="22" t="s">
        <v>187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6"/>
    </row>
    <row r="229" spans="2:15" ht="15" thickBot="1" x14ac:dyDescent="0.45"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3"/>
    </row>
    <row r="230" spans="2:15" x14ac:dyDescent="0.4">
      <c r="B230" s="12" t="s">
        <v>3</v>
      </c>
      <c r="C230" s="8" t="s">
        <v>82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7"/>
    </row>
    <row r="231" spans="2:15" x14ac:dyDescent="0.4">
      <c r="B231" s="18" t="s">
        <v>24</v>
      </c>
      <c r="C231" t="s">
        <v>23</v>
      </c>
      <c r="O231" s="17"/>
    </row>
    <row r="232" spans="2:15" x14ac:dyDescent="0.4">
      <c r="B232" s="18" t="s">
        <v>22</v>
      </c>
      <c r="C232">
        <v>1.8029999999999999</v>
      </c>
      <c r="D232" s="25" t="s">
        <v>81</v>
      </c>
      <c r="O232" s="17"/>
    </row>
    <row r="233" spans="2:15" x14ac:dyDescent="0.4">
      <c r="B233" s="18" t="s">
        <v>20</v>
      </c>
      <c r="C233">
        <v>11.381</v>
      </c>
      <c r="D233" s="25" t="s">
        <v>80</v>
      </c>
      <c r="O233" s="17"/>
    </row>
    <row r="234" spans="2:15" x14ac:dyDescent="0.4">
      <c r="B234" s="18" t="s">
        <v>40</v>
      </c>
      <c r="C234" s="27">
        <f>14/C233</f>
        <v>1.2301203760653721</v>
      </c>
      <c r="D234" s="25" t="s">
        <v>79</v>
      </c>
      <c r="O234" s="17"/>
    </row>
    <row r="235" spans="2:15" x14ac:dyDescent="0.4">
      <c r="B235" s="18" t="s">
        <v>17</v>
      </c>
      <c r="C235">
        <v>1</v>
      </c>
      <c r="D235" s="25" t="s">
        <v>16</v>
      </c>
      <c r="O235" s="17"/>
    </row>
    <row r="236" spans="2:15" x14ac:dyDescent="0.4">
      <c r="B236" s="18" t="s">
        <v>78</v>
      </c>
      <c r="C236" s="27">
        <f>4/C232</f>
        <v>2.2185246810870773</v>
      </c>
      <c r="D236" s="25" t="s">
        <v>77</v>
      </c>
      <c r="O236" s="17"/>
    </row>
    <row r="237" spans="2:15" x14ac:dyDescent="0.4">
      <c r="B237" s="18" t="s">
        <v>13</v>
      </c>
      <c r="C237" t="s">
        <v>76</v>
      </c>
      <c r="O237" s="17"/>
    </row>
    <row r="238" spans="2:15" x14ac:dyDescent="0.4">
      <c r="B238" s="18" t="s">
        <v>75</v>
      </c>
      <c r="C238" t="s">
        <v>74</v>
      </c>
      <c r="K238" t="s">
        <v>38</v>
      </c>
      <c r="O238" s="17"/>
    </row>
    <row r="239" spans="2:15" x14ac:dyDescent="0.4">
      <c r="B239" s="18">
        <v>0</v>
      </c>
      <c r="C239" s="24">
        <f>C234</f>
        <v>1.2301203760653721</v>
      </c>
      <c r="D239" s="19" t="str">
        <f>"("&amp;_xlfn.TEXTJOIN(",",TRUE,$B239,TEXT($C239,"0.000")&amp;")")</f>
        <v>(0,1.230)</v>
      </c>
      <c r="L239" t="s">
        <v>37</v>
      </c>
      <c r="M239" t="s">
        <v>36</v>
      </c>
      <c r="N239" t="s">
        <v>35</v>
      </c>
      <c r="O239" s="17"/>
    </row>
    <row r="240" spans="2:15" x14ac:dyDescent="0.4">
      <c r="B240" s="18">
        <v>0.2</v>
      </c>
      <c r="C240" s="23">
        <f>$L$247*B240^2+$M$247*B240+$N$247</f>
        <v>1.2209155610227571</v>
      </c>
      <c r="D240" s="19" t="str">
        <f>"("&amp;_xlfn.TEXTJOIN(",",TRUE,$B240,TEXT($C240,"0.000")&amp;")")</f>
        <v>(0.2,1.221)</v>
      </c>
      <c r="K240" t="s">
        <v>34</v>
      </c>
      <c r="L240">
        <v>0</v>
      </c>
      <c r="M240">
        <f>C234</f>
        <v>1.2301203760653721</v>
      </c>
      <c r="N240">
        <v>0</v>
      </c>
      <c r="O240" s="17"/>
    </row>
    <row r="241" spans="2:15" x14ac:dyDescent="0.4">
      <c r="B241" s="18">
        <f>B240+0.2</f>
        <v>0.4</v>
      </c>
      <c r="C241" s="23">
        <f>$L$247*B241^2+$M$247*B241+$N$247</f>
        <v>1.1933011158949125</v>
      </c>
      <c r="D241" s="19" t="str">
        <f>"("&amp;_xlfn.TEXTJOIN(",",TRUE,$B241,TEXT($C241,"0.000")&amp;")")</f>
        <v>(0.4,1.193)</v>
      </c>
      <c r="K241" t="s">
        <v>33</v>
      </c>
      <c r="L241">
        <v>1</v>
      </c>
      <c r="M241">
        <v>1</v>
      </c>
      <c r="N241">
        <v>0</v>
      </c>
      <c r="O241" s="17"/>
    </row>
    <row r="242" spans="2:15" x14ac:dyDescent="0.4">
      <c r="B242" s="18">
        <f>B241+0.2</f>
        <v>0.60000000000000009</v>
      </c>
      <c r="C242" s="23">
        <f>$L$247*B242^2+$M$247*B242+$N$247</f>
        <v>1.147277040681838</v>
      </c>
      <c r="D242" s="19" t="str">
        <f>"("&amp;_xlfn.TEXTJOIN(",",TRUE,$B242,TEXT($C242,"0.000")&amp;")")</f>
        <v>(0.6,1.147)</v>
      </c>
      <c r="K242" t="s">
        <v>32</v>
      </c>
      <c r="L242">
        <v>1.3</v>
      </c>
      <c r="M242">
        <v>0</v>
      </c>
      <c r="N242">
        <v>0</v>
      </c>
      <c r="O242" s="17"/>
    </row>
    <row r="243" spans="2:15" x14ac:dyDescent="0.4">
      <c r="B243" s="18">
        <f>B242+0.2</f>
        <v>0.8</v>
      </c>
      <c r="C243" s="23">
        <f>$L$247*B243^2+$M$247*B243+$N$247</f>
        <v>1.0828433353835338</v>
      </c>
      <c r="D243" s="19" t="str">
        <f>"("&amp;_xlfn.TEXTJOIN(",",TRUE,$B243,TEXT($C243,"0.000")&amp;")")</f>
        <v>(0.8,1.083)</v>
      </c>
      <c r="O243" s="17"/>
    </row>
    <row r="244" spans="2:15" x14ac:dyDescent="0.4">
      <c r="B244" s="18">
        <f>B243+0.2</f>
        <v>1</v>
      </c>
      <c r="C244" s="23">
        <f>$L$247*B244^2+$M$247*B244+$N$247</f>
        <v>1</v>
      </c>
      <c r="D244" s="19" t="str">
        <f>"("&amp;_xlfn.TEXTJOIN(",",TRUE,$B244,TEXT($C244,"0.000")&amp;")")</f>
        <v>(1,1.000)</v>
      </c>
      <c r="O244" s="17"/>
    </row>
    <row r="245" spans="2:15" x14ac:dyDescent="0.4">
      <c r="B245" s="18">
        <f>B244+0.2</f>
        <v>1.2</v>
      </c>
      <c r="C245" s="23">
        <v>0.91</v>
      </c>
      <c r="D245" s="19" t="str">
        <f>"("&amp;_xlfn.TEXTJOIN(",",TRUE,$B245,TEXT($C245,"0.000")&amp;")")</f>
        <v>(1.2,0.910)</v>
      </c>
      <c r="K245" t="s">
        <v>31</v>
      </c>
      <c r="O245" s="17"/>
    </row>
    <row r="246" spans="2:15" x14ac:dyDescent="0.4">
      <c r="B246" s="18">
        <f>B245+0.2</f>
        <v>1.4</v>
      </c>
      <c r="C246" s="23">
        <v>0.78</v>
      </c>
      <c r="D246" s="19" t="str">
        <f>"("&amp;_xlfn.TEXTJOIN(",",TRUE,$B246,TEXT($C246,"0.000")&amp;")")</f>
        <v>(1.4,0.780)</v>
      </c>
      <c r="L246" t="s">
        <v>30</v>
      </c>
      <c r="M246" t="s">
        <v>29</v>
      </c>
      <c r="N246" t="s">
        <v>28</v>
      </c>
      <c r="O246" s="17"/>
    </row>
    <row r="247" spans="2:15" x14ac:dyDescent="0.4">
      <c r="B247" s="18">
        <f>B246+0.2</f>
        <v>1.5999999999999999</v>
      </c>
      <c r="C247" s="23">
        <v>0.68</v>
      </c>
      <c r="D247" s="19" t="str">
        <f>"("&amp;_xlfn.TEXTJOIN(",",TRUE,$B247,TEXT($C247,"0.000")&amp;")")</f>
        <v>(1.6,0.680)</v>
      </c>
      <c r="K247" t="s">
        <v>27</v>
      </c>
      <c r="L247">
        <f xml:space="preserve"> ( (M240 - M241) - (N240 * (L240 - L241)) ) / ((L240^2 - L241^2) - 2*L240*L241*(L240 - L241))</f>
        <v>-0.23012037606537206</v>
      </c>
      <c r="M247">
        <f xml:space="preserve"> 2 * L240 * L247 + N240</f>
        <v>0</v>
      </c>
      <c r="N247">
        <f xml:space="preserve"> M240 - L240^2 * L247 - L240 * M247</f>
        <v>1.2301203760653721</v>
      </c>
      <c r="O247" s="17"/>
    </row>
    <row r="248" spans="2:15" x14ac:dyDescent="0.4">
      <c r="B248" s="18">
        <f>B247+0.2</f>
        <v>1.7999999999999998</v>
      </c>
      <c r="C248" s="23">
        <f>C247-(C246-C247)</f>
        <v>0.58000000000000007</v>
      </c>
      <c r="D248" s="19" t="str">
        <f>"("&amp;_xlfn.TEXTJOIN(",",TRUE,$B248,TEXT($C248,"0.000")&amp;")")</f>
        <v>(1.8,0.580)</v>
      </c>
      <c r="K248" t="s">
        <v>26</v>
      </c>
      <c r="L248" s="25" t="str">
        <f>"y = " &amp; 'effect lookups'!L247 &amp; "*x^2 + " &amp; 'effect lookups'!M247 &amp; "*x + " &amp; 'effect lookups'!N247</f>
        <v>y = -0.230120376065372*x^2 + 0*x + 1.23012037606537</v>
      </c>
      <c r="O248" s="17"/>
    </row>
    <row r="249" spans="2:15" x14ac:dyDescent="0.4">
      <c r="B249" s="18">
        <f>B248+0.2</f>
        <v>1.9999999999999998</v>
      </c>
      <c r="C249" s="23">
        <v>0.52</v>
      </c>
      <c r="D249" s="19" t="str">
        <f>"("&amp;_xlfn.TEXTJOIN(",",TRUE,$B249,TEXT($C249,"0.000")&amp;")")</f>
        <v>(2,0.520)</v>
      </c>
      <c r="O249" s="17"/>
    </row>
    <row r="250" spans="2:15" x14ac:dyDescent="0.4">
      <c r="B250" s="41">
        <f>ROUND(C236,3)</f>
        <v>2.2189999999999999</v>
      </c>
      <c r="C250" s="23">
        <f>5/C233</f>
        <v>0.43932870573763289</v>
      </c>
      <c r="D250" s="19" t="str">
        <f>"("&amp;_xlfn.TEXTJOIN(",",TRUE,$B250,TEXT($C250,"0.000")&amp;")")</f>
        <v>(2.219,0.439)</v>
      </c>
      <c r="O250" s="17"/>
    </row>
    <row r="251" spans="2:15" x14ac:dyDescent="0.4">
      <c r="B251" s="18">
        <v>15</v>
      </c>
      <c r="C251" s="23">
        <f>C250</f>
        <v>0.43932870573763289</v>
      </c>
      <c r="D251" s="19" t="str">
        <f>"("&amp;_xlfn.TEXTJOIN(",",TRUE,$B251,TEXT($C251,"0.000")&amp;")")</f>
        <v>(15,0.439)</v>
      </c>
      <c r="O251" s="17"/>
    </row>
    <row r="252" spans="2:15" x14ac:dyDescent="0.4">
      <c r="B252" s="18" t="s">
        <v>4</v>
      </c>
      <c r="C252" s="20" t="str">
        <f>_xlfn.TEXTJOIN(",",TRUE,D239:D251)</f>
        <v>(0,1.230),(0.2,1.221),(0.4,1.193),(0.6,1.147),(0.8,1.083),(1,1.000),(1.2,0.910),(1.4,0.780),(1.6,0.680),(1.8,0.580),(2,0.520),(2.219,0.439),(15,0.439)</v>
      </c>
      <c r="O252" s="17"/>
    </row>
    <row r="253" spans="2:15" x14ac:dyDescent="0.4">
      <c r="B253" s="18"/>
      <c r="C253" s="20"/>
      <c r="O253" s="17"/>
    </row>
    <row r="254" spans="2:15" x14ac:dyDescent="0.4">
      <c r="B254" s="18" t="s">
        <v>10</v>
      </c>
      <c r="C254" s="29" t="s">
        <v>42</v>
      </c>
      <c r="D254" s="19"/>
      <c r="O254" s="17"/>
    </row>
    <row r="255" spans="2:15" ht="15" thickBot="1" x14ac:dyDescent="0.45">
      <c r="B255" s="18"/>
      <c r="C255" s="23"/>
      <c r="D255" s="19"/>
      <c r="O255" s="17"/>
    </row>
    <row r="256" spans="2:15" x14ac:dyDescent="0.4">
      <c r="B256" s="12" t="s">
        <v>3</v>
      </c>
      <c r="C256" s="8" t="s">
        <v>73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7"/>
    </row>
    <row r="257" spans="2:15" x14ac:dyDescent="0.4">
      <c r="B257" s="18" t="s">
        <v>24</v>
      </c>
      <c r="C257" t="s">
        <v>23</v>
      </c>
      <c r="O257" s="17"/>
    </row>
    <row r="258" spans="2:15" x14ac:dyDescent="0.4">
      <c r="B258" s="18" t="s">
        <v>22</v>
      </c>
      <c r="O258" s="17"/>
    </row>
    <row r="259" spans="2:15" x14ac:dyDescent="0.4">
      <c r="B259" s="18" t="s">
        <v>20</v>
      </c>
      <c r="C259">
        <v>-0.15</v>
      </c>
      <c r="D259" s="25" t="s">
        <v>72</v>
      </c>
      <c r="E259" s="25"/>
      <c r="O259" s="17"/>
    </row>
    <row r="260" spans="2:15" x14ac:dyDescent="0.4">
      <c r="B260" s="18" t="s">
        <v>40</v>
      </c>
      <c r="C260">
        <v>1.3</v>
      </c>
      <c r="D260" s="25" t="s">
        <v>71</v>
      </c>
      <c r="O260" s="17"/>
    </row>
    <row r="261" spans="2:15" x14ac:dyDescent="0.4">
      <c r="B261" s="18" t="s">
        <v>17</v>
      </c>
      <c r="C261">
        <v>1</v>
      </c>
      <c r="D261" s="25" t="s">
        <v>16</v>
      </c>
      <c r="O261" s="17"/>
    </row>
    <row r="262" spans="2:15" x14ac:dyDescent="0.4">
      <c r="B262" s="18" t="s">
        <v>39</v>
      </c>
      <c r="C262">
        <v>0.7</v>
      </c>
      <c r="D262" s="25" t="s">
        <v>70</v>
      </c>
      <c r="O262" s="17"/>
    </row>
    <row r="263" spans="2:15" x14ac:dyDescent="0.4">
      <c r="B263" s="18" t="s">
        <v>13</v>
      </c>
      <c r="C263" t="s">
        <v>69</v>
      </c>
      <c r="O263" s="17"/>
    </row>
    <row r="264" spans="2:15" x14ac:dyDescent="0.4">
      <c r="B264" s="18" t="s">
        <v>68</v>
      </c>
      <c r="C264" t="s">
        <v>67</v>
      </c>
      <c r="K264" t="s">
        <v>38</v>
      </c>
      <c r="O264" s="17"/>
    </row>
    <row r="265" spans="2:15" x14ac:dyDescent="0.4">
      <c r="B265" s="18">
        <v>0</v>
      </c>
      <c r="C265" s="24">
        <f>C260</f>
        <v>1.3</v>
      </c>
      <c r="D265" s="19" t="str">
        <f>"("&amp;_xlfn.TEXTJOIN(",",TRUE,$B265,TEXT($C265,"0.000")&amp;")")</f>
        <v>(0,1.300)</v>
      </c>
      <c r="O265" s="17"/>
    </row>
    <row r="266" spans="2:15" x14ac:dyDescent="0.4">
      <c r="B266" s="18">
        <v>0.5</v>
      </c>
      <c r="C266" s="23">
        <v>1.3</v>
      </c>
      <c r="D266" s="19" t="str">
        <f>"("&amp;_xlfn.TEXTJOIN(",",TRUE,$B266,TEXT($C266,"0.000")&amp;")")</f>
        <v>(0.5,1.300)</v>
      </c>
      <c r="F266" s="19"/>
      <c r="L266" t="s">
        <v>37</v>
      </c>
      <c r="M266" t="s">
        <v>36</v>
      </c>
      <c r="N266" t="s">
        <v>35</v>
      </c>
      <c r="O266" s="17"/>
    </row>
    <row r="267" spans="2:15" x14ac:dyDescent="0.4">
      <c r="B267" s="18">
        <v>0.6</v>
      </c>
      <c r="C267" s="23">
        <v>1.29</v>
      </c>
      <c r="D267" s="19" t="str">
        <f>"("&amp;_xlfn.TEXTJOIN(",",TRUE,$B267,TEXT($C267,"0.000")&amp;")")</f>
        <v>(0.6,1.290)</v>
      </c>
      <c r="F267" s="19"/>
      <c r="K267" t="s">
        <v>34</v>
      </c>
      <c r="L267">
        <v>0</v>
      </c>
      <c r="M267">
        <f>C260</f>
        <v>1.3</v>
      </c>
      <c r="N267">
        <v>0</v>
      </c>
      <c r="O267" s="17"/>
    </row>
    <row r="268" spans="2:15" x14ac:dyDescent="0.4">
      <c r="B268" s="18">
        <v>0.7</v>
      </c>
      <c r="C268" s="23">
        <v>1.27</v>
      </c>
      <c r="D268" s="19" t="str">
        <f>"("&amp;_xlfn.TEXTJOIN(",",TRUE,$B268,TEXT($C268,"0.000")&amp;")")</f>
        <v>(0.7,1.270)</v>
      </c>
      <c r="F268" s="19"/>
      <c r="K268" t="s">
        <v>33</v>
      </c>
      <c r="L268">
        <v>1</v>
      </c>
      <c r="M268">
        <v>1</v>
      </c>
      <c r="N268">
        <v>0</v>
      </c>
      <c r="O268" s="17"/>
    </row>
    <row r="269" spans="2:15" x14ac:dyDescent="0.4">
      <c r="B269" s="18">
        <v>0.8</v>
      </c>
      <c r="C269" s="23">
        <v>1.23</v>
      </c>
      <c r="D269" s="19" t="str">
        <f>"("&amp;_xlfn.TEXTJOIN(",",TRUE,$B269,TEXT($C269,"0.000")&amp;")")</f>
        <v>(0.8,1.230)</v>
      </c>
      <c r="F269" s="19"/>
      <c r="O269" s="17"/>
    </row>
    <row r="270" spans="2:15" x14ac:dyDescent="0.4">
      <c r="B270" s="18">
        <v>0.9</v>
      </c>
      <c r="C270" s="23">
        <v>1.1299999999999999</v>
      </c>
      <c r="D270" s="19" t="str">
        <f>"("&amp;_xlfn.TEXTJOIN(",",TRUE,$B270,TEXT($C270,"0.000")&amp;")")</f>
        <v>(0.9,1.130)</v>
      </c>
      <c r="F270" s="19"/>
      <c r="O270" s="17"/>
    </row>
    <row r="271" spans="2:15" x14ac:dyDescent="0.4">
      <c r="B271" s="18">
        <v>1</v>
      </c>
      <c r="C271" s="23">
        <f>$L$274*B271^2+$M$274*B271+$N$274</f>
        <v>1</v>
      </c>
      <c r="D271" s="19" t="str">
        <f>"("&amp;_xlfn.TEXTJOIN(",",TRUE,$B271,TEXT($C271,"0.000")&amp;")")</f>
        <v>(1,1.000)</v>
      </c>
      <c r="F271" s="19"/>
      <c r="O271" s="17"/>
    </row>
    <row r="272" spans="2:15" x14ac:dyDescent="0.4">
      <c r="B272" s="18">
        <f>B271+0.1</f>
        <v>1.1000000000000001</v>
      </c>
      <c r="C272" s="23">
        <v>0.87</v>
      </c>
      <c r="D272" s="19" t="str">
        <f>"("&amp;_xlfn.TEXTJOIN(",",TRUE,$B272,TEXT($C272,"0.000")&amp;")")</f>
        <v>(1.1,0.870)</v>
      </c>
      <c r="F272" s="19"/>
      <c r="K272" t="s">
        <v>31</v>
      </c>
      <c r="O272" s="17"/>
    </row>
    <row r="273" spans="2:15" x14ac:dyDescent="0.4">
      <c r="B273" s="18">
        <f>B272+0.1</f>
        <v>1.2000000000000002</v>
      </c>
      <c r="C273" s="23">
        <v>0.77</v>
      </c>
      <c r="D273" s="19" t="str">
        <f>"("&amp;_xlfn.TEXTJOIN(",",TRUE,$B273,TEXT($C273,"0.000")&amp;")")</f>
        <v>(1.2,0.770)</v>
      </c>
      <c r="F273" s="19"/>
      <c r="L273" t="s">
        <v>30</v>
      </c>
      <c r="M273" t="s">
        <v>29</v>
      </c>
      <c r="N273" t="s">
        <v>28</v>
      </c>
      <c r="O273" s="17"/>
    </row>
    <row r="274" spans="2:15" x14ac:dyDescent="0.4">
      <c r="B274" s="18">
        <f>B273+0.1</f>
        <v>1.3000000000000003</v>
      </c>
      <c r="C274" s="23">
        <v>0.73</v>
      </c>
      <c r="D274" s="19" t="str">
        <f>"("&amp;_xlfn.TEXTJOIN(",",TRUE,$B274,TEXT($C274,"0.000")&amp;")")</f>
        <v>(1.3,0.730)</v>
      </c>
      <c r="F274" s="19"/>
      <c r="K274" t="s">
        <v>27</v>
      </c>
      <c r="L274">
        <f xml:space="preserve"> ( (M267 - M268) - (N267 * (L267 - L268)) ) / ((L267^2 - L268^2) - 2*L267*L268*(L267 - L268))</f>
        <v>-0.30000000000000004</v>
      </c>
      <c r="M274">
        <f xml:space="preserve"> 2 * L267 * L274 + N267</f>
        <v>0</v>
      </c>
      <c r="N274">
        <f xml:space="preserve"> M267 - L267^2 * L274 - L267 * M274</f>
        <v>1.3</v>
      </c>
      <c r="O274" s="17"/>
    </row>
    <row r="275" spans="2:15" x14ac:dyDescent="0.4">
      <c r="B275" s="18">
        <f>B274+0.1</f>
        <v>1.4000000000000004</v>
      </c>
      <c r="C275" s="23">
        <v>0.71</v>
      </c>
      <c r="D275" s="19" t="str">
        <f>"("&amp;_xlfn.TEXTJOIN(",",TRUE,$B275,TEXT($C275,"0.000")&amp;")")</f>
        <v>(1.4,0.710)</v>
      </c>
      <c r="F275" s="19"/>
      <c r="K275" t="s">
        <v>26</v>
      </c>
      <c r="L275" s="25" t="str">
        <f>"y = " &amp; 'effect lookups'!L274 &amp; "*x^2 + " &amp; 'effect lookups'!M274 &amp; "*x + " &amp; 'effect lookups'!N274</f>
        <v>y = -0.3*x^2 + 0*x + 1.3</v>
      </c>
      <c r="O275" s="17"/>
    </row>
    <row r="276" spans="2:15" x14ac:dyDescent="0.4">
      <c r="B276" s="18">
        <f>B275+0.1</f>
        <v>1.5000000000000004</v>
      </c>
      <c r="C276" s="23">
        <f>C262</f>
        <v>0.7</v>
      </c>
      <c r="D276" s="19" t="str">
        <f>"("&amp;_xlfn.TEXTJOIN(",",TRUE,$B276,TEXT($C276,"0.000")&amp;")")</f>
        <v>(1.5,0.700)</v>
      </c>
      <c r="F276" s="19"/>
      <c r="O276" s="17"/>
    </row>
    <row r="277" spans="2:15" x14ac:dyDescent="0.4">
      <c r="B277" s="18">
        <v>4</v>
      </c>
      <c r="C277" s="23">
        <f>C276</f>
        <v>0.7</v>
      </c>
      <c r="D277" s="19" t="str">
        <f>"("&amp;_xlfn.TEXTJOIN(",",TRUE,$B277,TEXT($C277,"0.000")&amp;")")</f>
        <v>(4,0.700)</v>
      </c>
      <c r="F277" s="19"/>
      <c r="O277" s="17"/>
    </row>
    <row r="278" spans="2:15" x14ac:dyDescent="0.4">
      <c r="B278" s="18" t="s">
        <v>4</v>
      </c>
      <c r="C278" s="20" t="str">
        <f>_xlfn.TEXTJOIN(",",TRUE,D265:D277)</f>
        <v>(0,1.300),(0.5,1.300),(0.6,1.290),(0.7,1.270),(0.8,1.230),(0.9,1.130),(1,1.000),(1.1,0.870),(1.2,0.770),(1.3,0.730),(1.4,0.710),(1.5,0.700),(4,0.700)</v>
      </c>
      <c r="O278" s="17"/>
    </row>
    <row r="279" spans="2:15" x14ac:dyDescent="0.4">
      <c r="B279" s="18"/>
      <c r="C279" s="20"/>
      <c r="O279" s="17"/>
    </row>
    <row r="280" spans="2:15" x14ac:dyDescent="0.4">
      <c r="B280" s="18" t="s">
        <v>10</v>
      </c>
      <c r="C280" s="22" t="s">
        <v>188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17"/>
    </row>
    <row r="281" spans="2:15" ht="15" thickBot="1" x14ac:dyDescent="0.45"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3"/>
    </row>
    <row r="282" spans="2:15" x14ac:dyDescent="0.4">
      <c r="B282" s="12" t="s">
        <v>3</v>
      </c>
      <c r="C282" s="8" t="s">
        <v>66</v>
      </c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</row>
    <row r="283" spans="2:15" x14ac:dyDescent="0.4">
      <c r="B283" s="18" t="s">
        <v>24</v>
      </c>
      <c r="C283" t="s">
        <v>23</v>
      </c>
      <c r="I283" s="39"/>
      <c r="J283" s="39"/>
      <c r="O283" s="17"/>
    </row>
    <row r="284" spans="2:15" x14ac:dyDescent="0.4">
      <c r="B284" s="18" t="s">
        <v>65</v>
      </c>
      <c r="C284">
        <v>0.3</v>
      </c>
      <c r="D284" s="30" t="s">
        <v>64</v>
      </c>
      <c r="I284" s="39" t="s">
        <v>63</v>
      </c>
      <c r="J284" s="39"/>
      <c r="O284" s="17"/>
    </row>
    <row r="285" spans="2:15" x14ac:dyDescent="0.4">
      <c r="B285" s="18" t="s">
        <v>62</v>
      </c>
      <c r="C285">
        <v>0.4</v>
      </c>
      <c r="D285" s="30" t="s">
        <v>61</v>
      </c>
      <c r="I285" s="39" t="s">
        <v>60</v>
      </c>
      <c r="J285" s="38">
        <v>0.25</v>
      </c>
      <c r="O285" s="17"/>
    </row>
    <row r="286" spans="2:15" x14ac:dyDescent="0.4">
      <c r="B286" s="18" t="s">
        <v>20</v>
      </c>
      <c r="C286" s="39" t="s">
        <v>59</v>
      </c>
      <c r="E286" s="25"/>
      <c r="I286" s="39" t="s">
        <v>58</v>
      </c>
      <c r="J286" s="38">
        <v>0.65</v>
      </c>
      <c r="O286" s="17"/>
    </row>
    <row r="287" spans="2:15" x14ac:dyDescent="0.4">
      <c r="B287" s="18" t="s">
        <v>40</v>
      </c>
      <c r="C287">
        <v>0.01</v>
      </c>
      <c r="D287" s="30" t="s">
        <v>57</v>
      </c>
      <c r="E287" s="25"/>
      <c r="I287" s="39" t="s">
        <v>56</v>
      </c>
      <c r="J287" s="38">
        <v>0.1</v>
      </c>
      <c r="O287" s="17"/>
    </row>
    <row r="288" spans="2:15" x14ac:dyDescent="0.4">
      <c r="B288" s="18" t="s">
        <v>55</v>
      </c>
      <c r="C288">
        <v>0.9</v>
      </c>
      <c r="D288" s="30" t="s">
        <v>54</v>
      </c>
      <c r="E288" s="25"/>
      <c r="O288" s="17"/>
    </row>
    <row r="289" spans="2:17" x14ac:dyDescent="0.4">
      <c r="B289" s="37" t="s">
        <v>53</v>
      </c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5"/>
    </row>
    <row r="290" spans="2:17" x14ac:dyDescent="0.4">
      <c r="B290" s="18" t="s">
        <v>50</v>
      </c>
      <c r="C290" s="24">
        <f>J285+J286/2</f>
        <v>0.57499999999999996</v>
      </c>
      <c r="D290" s="30" t="s">
        <v>52</v>
      </c>
      <c r="E290" s="25"/>
      <c r="O290" s="17"/>
    </row>
    <row r="291" spans="2:17" x14ac:dyDescent="0.4">
      <c r="B291" s="18" t="s">
        <v>48</v>
      </c>
      <c r="C291">
        <v>0.85</v>
      </c>
      <c r="O291" s="17"/>
    </row>
    <row r="292" spans="2:17" x14ac:dyDescent="0.4">
      <c r="B292" s="18" t="s">
        <v>47</v>
      </c>
      <c r="C292" t="s">
        <v>46</v>
      </c>
      <c r="O292" s="17"/>
    </row>
    <row r="293" spans="2:17" x14ac:dyDescent="0.4">
      <c r="B293" s="18">
        <v>0</v>
      </c>
      <c r="C293">
        <f>C287</f>
        <v>0.01</v>
      </c>
      <c r="D293" s="19" t="str">
        <f>"("&amp;_xlfn.TEXTJOIN(",",TRUE,$B293,TEXT($C293,"0.000")&amp;")")</f>
        <v>(0,0.010)</v>
      </c>
      <c r="M293" s="34"/>
      <c r="O293" s="17"/>
    </row>
    <row r="294" spans="2:17" x14ac:dyDescent="0.4">
      <c r="B294" s="18">
        <f>B293+0.2</f>
        <v>0.2</v>
      </c>
      <c r="C294">
        <f>$L$303*B294^2+$M$303*B294+$N$303</f>
        <v>4.0000000000000008E-2</v>
      </c>
      <c r="D294" s="19" t="str">
        <f>"("&amp;_xlfn.TEXTJOIN(",",TRUE,$B294,TEXT($C294,"0.000")&amp;")")</f>
        <v>(0.2,0.040)</v>
      </c>
      <c r="O294" s="17"/>
    </row>
    <row r="295" spans="2:17" x14ac:dyDescent="0.4">
      <c r="B295" s="18">
        <f>B294+0.2</f>
        <v>0.4</v>
      </c>
      <c r="C295">
        <f>$L$303*B295^2+$M$303*B295+$N$303</f>
        <v>0.16000000000000003</v>
      </c>
      <c r="D295" s="19" t="str">
        <f>"("&amp;_xlfn.TEXTJOIN(",",TRUE,$B295,TEXT($C295,"0.000")&amp;")")</f>
        <v>(0.4,0.160)</v>
      </c>
      <c r="L295" t="s">
        <v>37</v>
      </c>
      <c r="M295" t="s">
        <v>36</v>
      </c>
      <c r="N295" t="s">
        <v>35</v>
      </c>
      <c r="O295" s="17"/>
    </row>
    <row r="296" spans="2:17" x14ac:dyDescent="0.4">
      <c r="B296" s="18">
        <f>B295+0.2</f>
        <v>0.60000000000000009</v>
      </c>
      <c r="C296">
        <f>$L$303*B296^2+$M$303*B296+$N$303</f>
        <v>0.3600000000000001</v>
      </c>
      <c r="D296" s="19" t="str">
        <f>"("&amp;_xlfn.TEXTJOIN(",",TRUE,$B296,TEXT($C296,"0.000")&amp;")")</f>
        <v>(0.6,0.360)</v>
      </c>
      <c r="K296" t="s">
        <v>34</v>
      </c>
      <c r="L296">
        <v>0</v>
      </c>
      <c r="M296">
        <f>C289</f>
        <v>0</v>
      </c>
      <c r="N296">
        <v>0</v>
      </c>
      <c r="O296" s="17"/>
    </row>
    <row r="297" spans="2:17" x14ac:dyDescent="0.4">
      <c r="B297" s="18">
        <f>B296+0.2</f>
        <v>0.8</v>
      </c>
      <c r="C297">
        <f>$L$303*B297^2+$M$303*B297+$N$303</f>
        <v>0.64000000000000012</v>
      </c>
      <c r="D297" s="19" t="str">
        <f>"("&amp;_xlfn.TEXTJOIN(",",TRUE,$B297,TEXT($C297,"0.000")&amp;")")</f>
        <v>(0.8,0.640)</v>
      </c>
      <c r="K297" t="s">
        <v>33</v>
      </c>
      <c r="L297">
        <v>1</v>
      </c>
      <c r="M297">
        <v>1</v>
      </c>
      <c r="N297">
        <v>0</v>
      </c>
      <c r="O297" s="17"/>
    </row>
    <row r="298" spans="2:17" x14ac:dyDescent="0.4">
      <c r="B298" s="18">
        <f>B297+0.2</f>
        <v>1</v>
      </c>
      <c r="C298">
        <v>1</v>
      </c>
      <c r="D298" s="19" t="str">
        <f>"("&amp;_xlfn.TEXTJOIN(",",TRUE,$B298,TEXT($C298,"0.000")&amp;")")</f>
        <v>(1,1.000)</v>
      </c>
      <c r="O298" s="17"/>
    </row>
    <row r="299" spans="2:17" x14ac:dyDescent="0.4">
      <c r="B299" s="18">
        <f>B298+0.2</f>
        <v>1.2</v>
      </c>
      <c r="C299" s="23">
        <f>C298+(C298-C297)/$J$302</f>
        <v>1.2034782608695651</v>
      </c>
      <c r="D299" s="19" t="str">
        <f>"("&amp;_xlfn.TEXTJOIN(",",TRUE,$B299,TEXT($C299,"0.000")&amp;")")</f>
        <v>(1.2,1.203)</v>
      </c>
      <c r="O299" s="17"/>
    </row>
    <row r="300" spans="2:17" x14ac:dyDescent="0.4">
      <c r="B300" s="18">
        <f>B299+0.2</f>
        <v>1.4</v>
      </c>
      <c r="C300" s="23">
        <f>C299+(C297-C296)/$J$302</f>
        <v>1.3617391304347826</v>
      </c>
      <c r="D300" s="19" t="str">
        <f>"("&amp;_xlfn.TEXTJOIN(",",TRUE,$B300,TEXT($C300,"0.000")&amp;")")</f>
        <v>(1.4,1.362)</v>
      </c>
      <c r="O300" s="17"/>
    </row>
    <row r="301" spans="2:17" x14ac:dyDescent="0.4">
      <c r="B301" s="18">
        <f>B300+0.2</f>
        <v>1.5999999999999999</v>
      </c>
      <c r="C301" s="23">
        <f>C300+(C296-C295)/$J$302</f>
        <v>1.4747826086956521</v>
      </c>
      <c r="D301" s="19" t="str">
        <f>"("&amp;_xlfn.TEXTJOIN(",",TRUE,$B301,TEXT($C301,"0.000")&amp;")")</f>
        <v>(1.6,1.475)</v>
      </c>
      <c r="K301" t="s">
        <v>31</v>
      </c>
      <c r="O301" s="17"/>
    </row>
    <row r="302" spans="2:17" x14ac:dyDescent="0.4">
      <c r="B302" s="18">
        <f>B301+0.2</f>
        <v>1.7999999999999998</v>
      </c>
      <c r="C302" s="23">
        <f>C301+(C295-C294)/$J$302</f>
        <v>1.5426086956521738</v>
      </c>
      <c r="D302" s="19" t="str">
        <f>"("&amp;_xlfn.TEXTJOIN(",",TRUE,$B302,TEXT($C302,"0.000")&amp;")")</f>
        <v>(1.8,1.543)</v>
      </c>
      <c r="I302" t="s">
        <v>45</v>
      </c>
      <c r="J302" s="28">
        <f>1/(C303-1)</f>
        <v>1.7692307692307689</v>
      </c>
      <c r="L302" t="s">
        <v>30</v>
      </c>
      <c r="M302" t="s">
        <v>29</v>
      </c>
      <c r="N302" t="s">
        <v>28</v>
      </c>
      <c r="O302" s="17"/>
      <c r="Q302" s="23"/>
    </row>
    <row r="303" spans="2:17" x14ac:dyDescent="0.4">
      <c r="B303" s="18">
        <f>B302+0.2</f>
        <v>1.9999999999999998</v>
      </c>
      <c r="C303" s="24">
        <f>C288/C290</f>
        <v>1.5652173913043479</v>
      </c>
      <c r="D303" s="19" t="str">
        <f>"("&amp;_xlfn.TEXTJOIN(",",TRUE,$B303,TEXT($C303,"0.000")&amp;")")</f>
        <v>(2,1.565)</v>
      </c>
      <c r="K303" t="s">
        <v>27</v>
      </c>
      <c r="L303">
        <f xml:space="preserve"> ( (M296 - M297) - (N296 * (L296 - L297)) ) / ((L296^2 - L297^2) - 2*L296*L297*(L296 - L297))</f>
        <v>1</v>
      </c>
      <c r="M303">
        <f xml:space="preserve"> 2 * L296 * L303 + N296</f>
        <v>0</v>
      </c>
      <c r="N303">
        <f xml:space="preserve"> M296 - L296^2 * L303 - L296 * M303</f>
        <v>0</v>
      </c>
      <c r="O303" s="17"/>
      <c r="Q303" s="23"/>
    </row>
    <row r="304" spans="2:17" x14ac:dyDescent="0.4">
      <c r="B304" s="18">
        <v>4</v>
      </c>
      <c r="C304" s="24">
        <f>C303</f>
        <v>1.5652173913043479</v>
      </c>
      <c r="D304" s="19" t="str">
        <f>"("&amp;_xlfn.TEXTJOIN(",",TRUE,$B304,TEXT($C304,"0.000")&amp;")")</f>
        <v>(4,1.565)</v>
      </c>
      <c r="K304" t="s">
        <v>26</v>
      </c>
      <c r="L304" s="25" t="str">
        <f>"y = " &amp; 'effect lookups'!L303 &amp; "*x^2 + " &amp; 'effect lookups'!M303 &amp; "*x + " &amp; 'effect lookups'!N303</f>
        <v>y = 1*x^2 + 0*x + 0</v>
      </c>
      <c r="O304" s="17"/>
    </row>
    <row r="305" spans="2:17" ht="15" thickBot="1" x14ac:dyDescent="0.45">
      <c r="B305" s="18" t="s">
        <v>4</v>
      </c>
      <c r="C305" s="20" t="str">
        <f>_xlfn.TEXTJOIN(",",TRUE,D292:D304)</f>
        <v>(0,0.010),(0.2,0.040),(0.4,0.160),(0.6,0.360),(0.8,0.640),(1,1.000),(1.2,1.203),(1.4,1.362),(1.6,1.475),(1.8,1.543),(2,1.565),(4,1.565)</v>
      </c>
      <c r="D305" s="19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3"/>
    </row>
    <row r="306" spans="2:17" x14ac:dyDescent="0.4">
      <c r="B306" s="33" t="s">
        <v>51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1"/>
    </row>
    <row r="307" spans="2:17" x14ac:dyDescent="0.4">
      <c r="B307" s="18" t="s">
        <v>50</v>
      </c>
      <c r="C307" s="24">
        <f>C284</f>
        <v>0.3</v>
      </c>
      <c r="D307" s="30" t="s">
        <v>49</v>
      </c>
      <c r="O307" s="17"/>
    </row>
    <row r="308" spans="2:17" x14ac:dyDescent="0.4">
      <c r="B308" s="18" t="s">
        <v>48</v>
      </c>
      <c r="C308">
        <v>0.85</v>
      </c>
      <c r="O308" s="17"/>
    </row>
    <row r="309" spans="2:17" x14ac:dyDescent="0.4">
      <c r="B309" s="18" t="s">
        <v>47</v>
      </c>
      <c r="C309" t="s">
        <v>46</v>
      </c>
      <c r="O309" s="17"/>
      <c r="Q309" s="29"/>
    </row>
    <row r="310" spans="2:17" x14ac:dyDescent="0.4">
      <c r="B310" s="18">
        <v>0</v>
      </c>
      <c r="C310">
        <f>C287</f>
        <v>0.01</v>
      </c>
      <c r="D310" s="19" t="str">
        <f>"("&amp;_xlfn.TEXTJOIN(",",TRUE,$B310,TEXT($C310,"0.000")&amp;")")</f>
        <v>(0,0.010)</v>
      </c>
      <c r="O310" s="17"/>
      <c r="Q310" s="23"/>
    </row>
    <row r="311" spans="2:17" x14ac:dyDescent="0.4">
      <c r="B311" s="18">
        <f>B310+0.2</f>
        <v>0.2</v>
      </c>
      <c r="C311">
        <v>0.3</v>
      </c>
      <c r="D311" s="19" t="str">
        <f>"("&amp;_xlfn.TEXTJOIN(",",TRUE,$B311,TEXT($C311,"0.000")&amp;")")</f>
        <v>(0.2,0.300)</v>
      </c>
      <c r="O311" s="17"/>
      <c r="Q311" s="23"/>
    </row>
    <row r="312" spans="2:17" x14ac:dyDescent="0.4">
      <c r="B312" s="18">
        <f>B311+0.2</f>
        <v>0.4</v>
      </c>
      <c r="C312">
        <v>0.55000000000000004</v>
      </c>
      <c r="D312" s="19" t="str">
        <f>"("&amp;_xlfn.TEXTJOIN(",",TRUE,$B312,TEXT($C312,"0.000")&amp;")")</f>
        <v>(0.4,0.550)</v>
      </c>
      <c r="O312" s="17"/>
      <c r="Q312" s="23"/>
    </row>
    <row r="313" spans="2:17" x14ac:dyDescent="0.4">
      <c r="B313" s="18">
        <f>B312+0.2</f>
        <v>0.60000000000000009</v>
      </c>
      <c r="C313">
        <v>0.75</v>
      </c>
      <c r="D313" s="19" t="str">
        <f>"("&amp;_xlfn.TEXTJOIN(",",TRUE,$B313,TEXT($C313,"0.000")&amp;")")</f>
        <v>(0.6,0.750)</v>
      </c>
      <c r="J313">
        <f>0.5/C285</f>
        <v>1.25</v>
      </c>
      <c r="O313" s="17"/>
    </row>
    <row r="314" spans="2:17" x14ac:dyDescent="0.4">
      <c r="B314" s="18">
        <f>B313+0.2</f>
        <v>0.8</v>
      </c>
      <c r="C314">
        <v>0.95</v>
      </c>
      <c r="D314" s="19" t="str">
        <f>"("&amp;_xlfn.TEXTJOIN(",",TRUE,$B314,TEXT($C314,"0.000")&amp;")")</f>
        <v>(0.8,0.950)</v>
      </c>
      <c r="O314" s="17"/>
    </row>
    <row r="315" spans="2:17" x14ac:dyDescent="0.4">
      <c r="B315" s="18">
        <f>B314+0.2</f>
        <v>1</v>
      </c>
      <c r="C315">
        <v>1</v>
      </c>
      <c r="D315" s="19" t="str">
        <f>"("&amp;_xlfn.TEXTJOIN(",",TRUE,$B315,TEXT($C315,"0.000")&amp;")")</f>
        <v>(1,1.000)</v>
      </c>
      <c r="O315" s="17"/>
    </row>
    <row r="316" spans="2:17" x14ac:dyDescent="0.4">
      <c r="B316" s="18">
        <f>B315+0.2</f>
        <v>1.2</v>
      </c>
      <c r="C316" s="23">
        <v>1.1499999999999999</v>
      </c>
      <c r="D316" s="19" t="str">
        <f>"("&amp;_xlfn.TEXTJOIN(",",TRUE,$B316,TEXT($C316,"0.000")&amp;")")</f>
        <v>(1.2,1.150)</v>
      </c>
      <c r="K316">
        <v>1.4499999999999997</v>
      </c>
      <c r="O316" s="17"/>
    </row>
    <row r="317" spans="2:17" x14ac:dyDescent="0.4">
      <c r="B317" s="18">
        <f>B316+0.2</f>
        <v>1.4</v>
      </c>
      <c r="C317" s="23">
        <v>1.4</v>
      </c>
      <c r="D317" s="19" t="str">
        <f>"("&amp;_xlfn.TEXTJOIN(",",TRUE,$B317,TEXT($C317,"0.000")&amp;")")</f>
        <v>(1.4,1.400)</v>
      </c>
      <c r="K317">
        <v>2.1274193548387093</v>
      </c>
      <c r="O317" s="17"/>
    </row>
    <row r="318" spans="2:17" x14ac:dyDescent="0.4">
      <c r="B318" s="18">
        <f>B317+0.2</f>
        <v>1.5999999999999999</v>
      </c>
      <c r="C318" s="23">
        <v>1.8</v>
      </c>
      <c r="D318" s="19" t="str">
        <f>"("&amp;_xlfn.TEXTJOIN(",",TRUE,$B318,TEXT($C318,"0.000")&amp;")")</f>
        <v>(1.6,1.800)</v>
      </c>
      <c r="K318">
        <v>2.6112903225806448</v>
      </c>
      <c r="O318" s="17"/>
    </row>
    <row r="319" spans="2:17" x14ac:dyDescent="0.4">
      <c r="B319" s="18">
        <f>B318+0.2</f>
        <v>1.7999999999999998</v>
      </c>
      <c r="C319" s="23">
        <v>2.6</v>
      </c>
      <c r="D319" s="19" t="str">
        <f>"("&amp;_xlfn.TEXTJOIN(",",TRUE,$B319,TEXT($C319,"0.000")&amp;")")</f>
        <v>(1.8,2.600)</v>
      </c>
      <c r="K319">
        <v>2.9016129032258062</v>
      </c>
      <c r="O319" s="17"/>
    </row>
    <row r="320" spans="2:17" x14ac:dyDescent="0.4">
      <c r="B320" s="18">
        <f>B319+0.2</f>
        <v>1.9999999999999998</v>
      </c>
      <c r="C320">
        <v>2.85</v>
      </c>
      <c r="D320" s="19" t="str">
        <f>"("&amp;_xlfn.TEXTJOIN(",",TRUE,$B320,TEXT($C320,"0.000")&amp;")")</f>
        <v>(2,2.850)</v>
      </c>
      <c r="I320" t="s">
        <v>45</v>
      </c>
      <c r="J320" s="28">
        <f>1/(C322)+0.08</f>
        <v>0.41333333333333333</v>
      </c>
      <c r="K320">
        <v>2.9741935483870967</v>
      </c>
      <c r="O320" s="17"/>
    </row>
    <row r="321" spans="2:15" x14ac:dyDescent="0.4">
      <c r="B321" s="18">
        <v>2.25</v>
      </c>
      <c r="C321" s="23">
        <v>3</v>
      </c>
      <c r="D321" s="19" t="str">
        <f>"("&amp;_xlfn.TEXTJOIN(",",TRUE,$B321,TEXT($C321,"0.000")&amp;")")</f>
        <v>(2.25,3.000)</v>
      </c>
      <c r="O321" s="17"/>
    </row>
    <row r="322" spans="2:15" x14ac:dyDescent="0.4">
      <c r="B322" s="18">
        <v>3</v>
      </c>
      <c r="C322">
        <f>C288/C307</f>
        <v>3</v>
      </c>
      <c r="D322" s="19" t="str">
        <f>"("&amp;_xlfn.TEXTJOIN(",",TRUE,$B322,TEXT($C322,"0.000")&amp;")")</f>
        <v>(3,3.000)</v>
      </c>
      <c r="K322">
        <v>3</v>
      </c>
      <c r="O322" s="17"/>
    </row>
    <row r="323" spans="2:15" x14ac:dyDescent="0.4">
      <c r="B323" s="18" t="s">
        <v>4</v>
      </c>
      <c r="C323" s="20" t="str">
        <f>_xlfn.TEXTJOIN(",",TRUE,D310:D322)</f>
        <v>(0,0.010),(0.2,0.300),(0.4,0.550),(0.6,0.750),(0.8,0.950),(1,1.000),(1.2,1.150),(1.4,1.400),(1.6,1.800),(1.8,2.600),(2,2.850),(2.25,3.000),(3,3.000)</v>
      </c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17"/>
    </row>
    <row r="324" spans="2:15" x14ac:dyDescent="0.4">
      <c r="B324" s="18"/>
      <c r="C324" s="59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17"/>
    </row>
    <row r="325" spans="2:15" x14ac:dyDescent="0.4">
      <c r="B325" s="18" t="s">
        <v>10</v>
      </c>
      <c r="C325" s="22" t="s">
        <v>42</v>
      </c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17"/>
    </row>
    <row r="326" spans="2:15" ht="15" thickBot="1" x14ac:dyDescent="0.45">
      <c r="B326" s="18"/>
      <c r="C326" s="20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17"/>
    </row>
    <row r="327" spans="2:15" x14ac:dyDescent="0.4">
      <c r="B327" s="12" t="s">
        <v>3</v>
      </c>
      <c r="C327" s="8" t="s">
        <v>25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7"/>
    </row>
    <row r="328" spans="2:15" x14ac:dyDescent="0.4">
      <c r="B328" s="18" t="s">
        <v>24</v>
      </c>
      <c r="C328" t="s">
        <v>23</v>
      </c>
      <c r="O328" s="17"/>
    </row>
    <row r="329" spans="2:15" x14ac:dyDescent="0.4">
      <c r="B329" s="18" t="s">
        <v>22</v>
      </c>
      <c r="C329">
        <v>66</v>
      </c>
      <c r="D329">
        <v>34</v>
      </c>
      <c r="E329" s="25" t="s">
        <v>21</v>
      </c>
      <c r="I329">
        <f>D329/C329</f>
        <v>0.51515151515151514</v>
      </c>
      <c r="J329">
        <f>D329*D330</f>
        <v>0.71400000000000008</v>
      </c>
      <c r="O329" s="17"/>
    </row>
    <row r="330" spans="2:15" x14ac:dyDescent="0.4">
      <c r="B330" s="18" t="s">
        <v>20</v>
      </c>
      <c r="C330">
        <v>1.4E-2</v>
      </c>
      <c r="D330">
        <v>2.1000000000000001E-2</v>
      </c>
      <c r="E330" s="25" t="s">
        <v>19</v>
      </c>
      <c r="I330">
        <f>D330/C330</f>
        <v>1.5</v>
      </c>
      <c r="O330" s="17"/>
    </row>
    <row r="331" spans="2:15" x14ac:dyDescent="0.4">
      <c r="B331" s="18" t="s">
        <v>18</v>
      </c>
      <c r="C331">
        <v>1.5</v>
      </c>
      <c r="D331" s="25" t="s">
        <v>14</v>
      </c>
      <c r="O331" s="17"/>
    </row>
    <row r="332" spans="2:15" x14ac:dyDescent="0.4">
      <c r="B332" s="18" t="s">
        <v>17</v>
      </c>
      <c r="C332">
        <v>1</v>
      </c>
      <c r="D332" s="25" t="s">
        <v>16</v>
      </c>
      <c r="O332" s="17"/>
    </row>
    <row r="333" spans="2:15" x14ac:dyDescent="0.4">
      <c r="B333" s="18" t="s">
        <v>15</v>
      </c>
      <c r="C333" s="24">
        <f>1/1.5</f>
        <v>0.66666666666666663</v>
      </c>
      <c r="D333" s="25" t="s">
        <v>14</v>
      </c>
      <c r="O333" s="17"/>
    </row>
    <row r="334" spans="2:15" x14ac:dyDescent="0.4">
      <c r="B334" s="18" t="s">
        <v>13</v>
      </c>
      <c r="O334" s="17"/>
    </row>
    <row r="335" spans="2:15" x14ac:dyDescent="0.4">
      <c r="B335" s="18" t="s">
        <v>12</v>
      </c>
      <c r="C335" t="s">
        <v>11</v>
      </c>
      <c r="O335" s="17"/>
    </row>
    <row r="336" spans="2:15" x14ac:dyDescent="0.4">
      <c r="B336" s="18">
        <v>0</v>
      </c>
      <c r="C336">
        <v>1.5</v>
      </c>
      <c r="D336" s="19" t="str">
        <f>"("&amp;_xlfn.TEXTJOIN(",",TRUE,$B336,TEXT($C336,"0.000")&amp;")")</f>
        <v>(0,1.500)</v>
      </c>
      <c r="O336" s="17"/>
    </row>
    <row r="337" spans="2:15" x14ac:dyDescent="0.4">
      <c r="B337" s="18">
        <v>0.5</v>
      </c>
      <c r="C337" s="24">
        <v>1.5</v>
      </c>
      <c r="D337" s="19" t="str">
        <f>"("&amp;_xlfn.TEXTJOIN(",",TRUE,$B337,TEXT($C337,"0.000")&amp;")")</f>
        <v>(0.5,1.500)</v>
      </c>
      <c r="O337" s="17"/>
    </row>
    <row r="338" spans="2:15" x14ac:dyDescent="0.4">
      <c r="B338" s="18">
        <v>1</v>
      </c>
      <c r="C338" s="23">
        <v>1</v>
      </c>
      <c r="D338" s="19" t="str">
        <f>"("&amp;_xlfn.TEXTJOIN(",",TRUE,$B338,TEXT($C338,"0.000")&amp;")")</f>
        <v>(1,1.000)</v>
      </c>
      <c r="O338" s="17"/>
    </row>
    <row r="339" spans="2:15" x14ac:dyDescent="0.4">
      <c r="B339" s="18">
        <v>2</v>
      </c>
      <c r="C339" s="23">
        <v>0.67</v>
      </c>
      <c r="D339" s="19" t="str">
        <f>"("&amp;_xlfn.TEXTJOIN(",",TRUE,$B339,TEXT($C339,"0.000")&amp;")")</f>
        <v>(2,0.670)</v>
      </c>
      <c r="O339" s="17"/>
    </row>
    <row r="340" spans="2:15" x14ac:dyDescent="0.4">
      <c r="B340" s="18">
        <v>4</v>
      </c>
      <c r="C340" s="23">
        <f>C339/$C$331</f>
        <v>0.44666666666666671</v>
      </c>
      <c r="D340" s="19" t="str">
        <f>"("&amp;_xlfn.TEXTJOIN(",",TRUE,$B340,TEXT($C340,"0.000")&amp;")")</f>
        <v>(4,0.447)</v>
      </c>
      <c r="O340" s="17"/>
    </row>
    <row r="341" spans="2:15" x14ac:dyDescent="0.4">
      <c r="B341" s="18">
        <v>8</v>
      </c>
      <c r="C341" s="23">
        <f>C340/$C$331</f>
        <v>0.29777777777777781</v>
      </c>
      <c r="D341" s="19" t="str">
        <f>"("&amp;_xlfn.TEXTJOIN(",",TRUE,$B341,TEXT($C341,"0.000")&amp;")")</f>
        <v>(8,0.298)</v>
      </c>
      <c r="O341" s="17"/>
    </row>
    <row r="342" spans="2:15" x14ac:dyDescent="0.4">
      <c r="B342" s="18" t="s">
        <v>4</v>
      </c>
      <c r="C342" s="20" t="str">
        <f>_xlfn.TEXTJOIN(",",TRUE,D336:D341)</f>
        <v>(0,1.500),(0.5,1.500),(1,1.000),(2,0.670),(4,0.447),(8,0.298)</v>
      </c>
      <c r="O342" s="17"/>
    </row>
    <row r="343" spans="2:15" x14ac:dyDescent="0.4">
      <c r="B343" s="18"/>
      <c r="C343" s="20"/>
      <c r="O343" s="17"/>
    </row>
    <row r="344" spans="2:15" x14ac:dyDescent="0.4">
      <c r="B344" s="18" t="s">
        <v>10</v>
      </c>
      <c r="C344" s="22" t="s">
        <v>42</v>
      </c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17"/>
    </row>
    <row r="345" spans="2:15" ht="15" thickBot="1" x14ac:dyDescent="0.45"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3"/>
    </row>
    <row r="346" spans="2:15" x14ac:dyDescent="0.4">
      <c r="B346" s="12" t="s">
        <v>3</v>
      </c>
      <c r="C346" s="8" t="s">
        <v>190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7"/>
    </row>
    <row r="347" spans="2:15" x14ac:dyDescent="0.4">
      <c r="B347" s="18" t="s">
        <v>24</v>
      </c>
      <c r="C347" t="s">
        <v>23</v>
      </c>
      <c r="O347" s="17"/>
    </row>
    <row r="348" spans="2:15" x14ac:dyDescent="0.4">
      <c r="B348" s="18" t="s">
        <v>22</v>
      </c>
      <c r="C348">
        <v>101</v>
      </c>
      <c r="D348">
        <v>72</v>
      </c>
      <c r="E348" s="25" t="s">
        <v>191</v>
      </c>
      <c r="O348" s="17"/>
    </row>
    <row r="349" spans="2:15" x14ac:dyDescent="0.4">
      <c r="B349" s="18" t="s">
        <v>20</v>
      </c>
      <c r="C349">
        <v>2.5899999999999999E-2</v>
      </c>
      <c r="D349">
        <v>1.8700000000000001E-2</v>
      </c>
      <c r="E349" s="25" t="s">
        <v>41</v>
      </c>
      <c r="O349" s="17"/>
    </row>
    <row r="350" spans="2:15" x14ac:dyDescent="0.4">
      <c r="B350" s="18" t="s">
        <v>18</v>
      </c>
      <c r="C350">
        <v>1.5</v>
      </c>
      <c r="D350" s="25" t="s">
        <v>192</v>
      </c>
      <c r="O350" s="17"/>
    </row>
    <row r="351" spans="2:15" x14ac:dyDescent="0.4">
      <c r="B351" s="18" t="s">
        <v>17</v>
      </c>
      <c r="C351">
        <v>1</v>
      </c>
      <c r="D351" s="25" t="s">
        <v>16</v>
      </c>
      <c r="O351" s="17"/>
    </row>
    <row r="352" spans="2:15" x14ac:dyDescent="0.4">
      <c r="B352" s="18" t="s">
        <v>15</v>
      </c>
      <c r="C352" s="24">
        <f>1/1.5</f>
        <v>0.66666666666666663</v>
      </c>
      <c r="D352" s="25" t="s">
        <v>192</v>
      </c>
      <c r="O352" s="17"/>
    </row>
    <row r="353" spans="2:15" x14ac:dyDescent="0.4">
      <c r="B353" s="18" t="s">
        <v>13</v>
      </c>
      <c r="O353" s="17"/>
    </row>
    <row r="354" spans="2:15" x14ac:dyDescent="0.4">
      <c r="B354" s="18" t="s">
        <v>12</v>
      </c>
      <c r="C354" t="s">
        <v>11</v>
      </c>
      <c r="O354" s="17"/>
    </row>
    <row r="355" spans="2:15" x14ac:dyDescent="0.4">
      <c r="B355" s="18">
        <v>0</v>
      </c>
      <c r="C355">
        <v>1.5</v>
      </c>
      <c r="D355" s="19" t="str">
        <f>"("&amp;_xlfn.TEXTJOIN(",",TRUE,$B355,TEXT($C355,"0.000")&amp;")")</f>
        <v>(0,1.500)</v>
      </c>
      <c r="O355" s="17"/>
    </row>
    <row r="356" spans="2:15" x14ac:dyDescent="0.4">
      <c r="B356" s="18">
        <v>0.5</v>
      </c>
      <c r="C356" s="24">
        <v>1.5</v>
      </c>
      <c r="D356" s="19" t="str">
        <f>"("&amp;_xlfn.TEXTJOIN(",",TRUE,$B356,TEXT($C356,"0.000")&amp;")")</f>
        <v>(0.5,1.500)</v>
      </c>
      <c r="O356" s="17"/>
    </row>
    <row r="357" spans="2:15" x14ac:dyDescent="0.4">
      <c r="B357" s="18">
        <v>1</v>
      </c>
      <c r="C357" s="23">
        <v>1</v>
      </c>
      <c r="D357" s="19" t="str">
        <f>"("&amp;_xlfn.TEXTJOIN(",",TRUE,$B357,TEXT($C357,"0.000")&amp;")")</f>
        <v>(1,1.000)</v>
      </c>
      <c r="O357" s="17"/>
    </row>
    <row r="358" spans="2:15" x14ac:dyDescent="0.4">
      <c r="B358" s="18">
        <v>2</v>
      </c>
      <c r="C358" s="23">
        <v>0.67</v>
      </c>
      <c r="D358" s="19" t="str">
        <f>"("&amp;_xlfn.TEXTJOIN(",",TRUE,$B358,TEXT($C358,"0.000")&amp;")")</f>
        <v>(2,0.670)</v>
      </c>
      <c r="O358" s="17"/>
    </row>
    <row r="359" spans="2:15" x14ac:dyDescent="0.4">
      <c r="B359" s="18">
        <v>4</v>
      </c>
      <c r="C359" s="23">
        <f>C358/$C$331</f>
        <v>0.44666666666666671</v>
      </c>
      <c r="D359" s="19" t="str">
        <f>"("&amp;_xlfn.TEXTJOIN(",",TRUE,$B359,TEXT($C359,"0.000")&amp;")")</f>
        <v>(4,0.447)</v>
      </c>
      <c r="O359" s="17"/>
    </row>
    <row r="360" spans="2:15" x14ac:dyDescent="0.4">
      <c r="B360" s="18">
        <v>8</v>
      </c>
      <c r="C360" s="23">
        <f>C359/$C$331</f>
        <v>0.29777777777777781</v>
      </c>
      <c r="D360" s="19" t="str">
        <f>"("&amp;_xlfn.TEXTJOIN(",",TRUE,$B360,TEXT($C360,"0.000")&amp;")")</f>
        <v>(8,0.298)</v>
      </c>
      <c r="O360" s="17"/>
    </row>
    <row r="361" spans="2:15" x14ac:dyDescent="0.4">
      <c r="B361" s="18" t="s">
        <v>4</v>
      </c>
      <c r="C361" s="20" t="str">
        <f>_xlfn.TEXTJOIN(",",TRUE,D355:D360)</f>
        <v>(0,1.500),(0.5,1.500),(1,1.000),(2,0.670),(4,0.447),(8,0.298)</v>
      </c>
      <c r="O361" s="17"/>
    </row>
    <row r="362" spans="2:15" x14ac:dyDescent="0.4">
      <c r="B362" s="18"/>
      <c r="C362" s="20"/>
      <c r="O362" s="17"/>
    </row>
    <row r="363" spans="2:15" x14ac:dyDescent="0.4">
      <c r="B363" s="18" t="s">
        <v>10</v>
      </c>
      <c r="C363" s="22" t="s">
        <v>42</v>
      </c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17"/>
    </row>
    <row r="364" spans="2:15" ht="15" thickBot="1" x14ac:dyDescent="0.45"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3"/>
    </row>
  </sheetData>
  <mergeCells count="9">
    <mergeCell ref="C107:N107"/>
    <mergeCell ref="C205:N205"/>
    <mergeCell ref="C7:N7"/>
    <mergeCell ref="C32:N32"/>
    <mergeCell ref="C181:N181"/>
    <mergeCell ref="C56:N56"/>
    <mergeCell ref="C82:N82"/>
    <mergeCell ref="C132:N132"/>
    <mergeCell ref="C157:N1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3249-72FA-46BF-8D01-9D16045EACBC}">
  <sheetPr codeName="Sheet6"/>
  <dimension ref="B2:Q18"/>
  <sheetViews>
    <sheetView zoomScaleNormal="100" workbookViewId="0">
      <selection activeCell="B3" sqref="B3"/>
    </sheetView>
  </sheetViews>
  <sheetFormatPr defaultRowHeight="14.6" x14ac:dyDescent="0.4"/>
  <cols>
    <col min="1" max="1" width="3" customWidth="1"/>
    <col min="2" max="2" width="16.23046875" customWidth="1"/>
    <col min="8" max="8" width="12.84375" customWidth="1"/>
    <col min="9" max="9" width="3.921875" customWidth="1"/>
    <col min="10" max="10" width="13.15234375" customWidth="1"/>
    <col min="16" max="16" width="13.69140625" customWidth="1"/>
    <col min="17" max="17" width="4.3828125" customWidth="1"/>
  </cols>
  <sheetData>
    <row r="2" spans="2:17" ht="28.75" customHeight="1" x14ac:dyDescent="0.55000000000000004">
      <c r="B2" s="46" t="s">
        <v>183</v>
      </c>
    </row>
    <row r="3" spans="2:17" x14ac:dyDescent="0.4">
      <c r="B3" t="s">
        <v>184</v>
      </c>
    </row>
    <row r="4" spans="2:17" ht="15" thickBot="1" x14ac:dyDescent="0.45"/>
    <row r="5" spans="2:17" ht="15" thickBot="1" x14ac:dyDescent="0.45">
      <c r="B5" s="12" t="s">
        <v>3</v>
      </c>
      <c r="C5" s="9" t="s">
        <v>9</v>
      </c>
      <c r="D5" s="9"/>
      <c r="E5" s="9"/>
      <c r="F5" s="9"/>
      <c r="G5" s="9"/>
      <c r="H5" s="9"/>
      <c r="I5" s="11"/>
      <c r="J5" s="10"/>
      <c r="K5" s="9"/>
      <c r="L5" s="9"/>
      <c r="M5" s="9"/>
      <c r="N5" s="9"/>
      <c r="O5" s="9"/>
      <c r="P5" s="8"/>
      <c r="Q5" s="7"/>
    </row>
    <row r="6" spans="2:17" x14ac:dyDescent="0.4">
      <c r="B6" s="6" t="s">
        <v>8</v>
      </c>
      <c r="C6" s="5"/>
      <c r="D6" s="5"/>
      <c r="E6" s="5"/>
      <c r="F6" s="5"/>
      <c r="G6" s="5"/>
      <c r="H6" s="5"/>
      <c r="I6" s="4"/>
      <c r="J6" s="3" t="s">
        <v>7</v>
      </c>
      <c r="K6" s="2"/>
      <c r="L6" s="2"/>
      <c r="M6" s="2"/>
      <c r="N6" s="2"/>
      <c r="O6" s="2"/>
      <c r="P6" s="2"/>
      <c r="Q6" s="1"/>
    </row>
    <row r="7" spans="2:17" x14ac:dyDescent="0.4">
      <c r="B7" s="18" t="s">
        <v>6</v>
      </c>
      <c r="C7" t="s">
        <v>5</v>
      </c>
      <c r="I7" s="17"/>
      <c r="J7" s="18" t="s">
        <v>6</v>
      </c>
      <c r="K7" t="s">
        <v>5</v>
      </c>
      <c r="Q7" s="17"/>
    </row>
    <row r="8" spans="2:17" x14ac:dyDescent="0.4">
      <c r="B8" s="18">
        <v>2020</v>
      </c>
      <c r="C8">
        <v>0.03</v>
      </c>
      <c r="D8" s="19" t="str">
        <f>"("&amp;_xlfn.TEXTJOIN(",",TRUE,B8,TEXT(C8,"0.000")&amp;")")</f>
        <v>(2020,0.030)</v>
      </c>
      <c r="I8" s="17"/>
      <c r="J8" s="18">
        <v>2020</v>
      </c>
      <c r="K8">
        <v>0.03</v>
      </c>
      <c r="L8" s="19" t="str">
        <f>"("&amp;_xlfn.TEXTJOIN(",",TRUE,J8,TEXT(K8,"0.000")&amp;")")</f>
        <v>(2020,0.030)</v>
      </c>
      <c r="Q8" s="17"/>
    </row>
    <row r="9" spans="2:17" x14ac:dyDescent="0.4">
      <c r="B9" s="18">
        <v>2030</v>
      </c>
      <c r="C9">
        <v>0.09</v>
      </c>
      <c r="D9" s="19" t="str">
        <f>"("&amp;_xlfn.TEXTJOIN(",",TRUE,$B9,TEXT($C9,"0.000")&amp;")")</f>
        <v>(2030,0.090)</v>
      </c>
      <c r="I9" s="17"/>
      <c r="J9" s="18">
        <v>2030</v>
      </c>
      <c r="K9">
        <v>0.09</v>
      </c>
      <c r="L9" s="19" t="str">
        <f>"("&amp;_xlfn.TEXTJOIN(",",TRUE,J9,TEXT(K9,"0.000")&amp;")")</f>
        <v>(2030,0.090)</v>
      </c>
      <c r="Q9" s="17"/>
    </row>
    <row r="10" spans="2:17" x14ac:dyDescent="0.4">
      <c r="B10" s="18">
        <v>2050</v>
      </c>
      <c r="C10">
        <v>0.27</v>
      </c>
      <c r="D10" s="19" t="str">
        <f>"("&amp;_xlfn.TEXTJOIN(",",TRUE,$B10,TEXT($C10,"0.000")&amp;")")</f>
        <v>(2050,0.270)</v>
      </c>
      <c r="I10" s="17"/>
      <c r="J10" s="18">
        <v>2050</v>
      </c>
      <c r="K10">
        <v>0.81</v>
      </c>
      <c r="L10" s="19" t="str">
        <f>"("&amp;_xlfn.TEXTJOIN(",",TRUE,J10,TEXT(K10,"0.000")&amp;")")</f>
        <v>(2050,0.810)</v>
      </c>
      <c r="Q10" s="17"/>
    </row>
    <row r="11" spans="2:17" x14ac:dyDescent="0.4">
      <c r="B11" s="18">
        <v>2060</v>
      </c>
      <c r="C11">
        <f>C10</f>
        <v>0.27</v>
      </c>
      <c r="D11" s="19" t="str">
        <f>"("&amp;_xlfn.TEXTJOIN(",",TRUE,$B11,TEXT($C11,"0.000")&amp;")")</f>
        <v>(2060,0.270)</v>
      </c>
      <c r="I11" s="17"/>
      <c r="J11" s="18">
        <v>2060</v>
      </c>
      <c r="K11">
        <f>K10</f>
        <v>0.81</v>
      </c>
      <c r="L11" s="19" t="str">
        <f>"("&amp;_xlfn.TEXTJOIN(",",TRUE,J11,TEXT(K11,"0.000")&amp;")")</f>
        <v>(2060,0.810)</v>
      </c>
      <c r="Q11" s="17"/>
    </row>
    <row r="12" spans="2:17" x14ac:dyDescent="0.4">
      <c r="B12" s="18" t="s">
        <v>4</v>
      </c>
      <c r="C12" s="20" t="str">
        <f>_xlfn.TEXTJOIN(",",TRUE,D8:D11)</f>
        <v>(2020,0.030),(2030,0.090),(2050,0.270),(2060,0.270)</v>
      </c>
      <c r="D12" s="19"/>
      <c r="I12" s="17"/>
      <c r="J12" s="18" t="s">
        <v>4</v>
      </c>
      <c r="K12" s="20" t="str">
        <f>_xlfn.TEXTJOIN(",",TRUE,L8:L11)</f>
        <v>(2020,0.030),(2030,0.090),(2050,0.810),(2060,0.810)</v>
      </c>
      <c r="L12" s="19"/>
      <c r="Q12" s="17"/>
    </row>
    <row r="13" spans="2:17" x14ac:dyDescent="0.4">
      <c r="B13" s="18"/>
      <c r="D13" s="19"/>
      <c r="I13" s="17"/>
      <c r="J13" s="18"/>
      <c r="Q13" s="17"/>
    </row>
    <row r="14" spans="2:17" ht="15" thickBot="1" x14ac:dyDescent="0.45">
      <c r="B14" s="15"/>
      <c r="C14" s="14"/>
      <c r="D14" s="16"/>
      <c r="E14" s="14"/>
      <c r="F14" s="14"/>
      <c r="G14" s="14"/>
      <c r="H14" s="14"/>
      <c r="I14" s="13"/>
      <c r="J14" s="15"/>
      <c r="K14" s="14"/>
      <c r="L14" s="14"/>
      <c r="M14" s="14"/>
      <c r="N14" s="14"/>
      <c r="O14" s="14"/>
      <c r="P14" s="14"/>
      <c r="Q14" s="13"/>
    </row>
    <row r="15" spans="2:17" ht="15" thickBot="1" x14ac:dyDescent="0.45">
      <c r="B15" s="12" t="s">
        <v>3</v>
      </c>
      <c r="C15" s="9" t="s">
        <v>2</v>
      </c>
      <c r="D15" s="9"/>
      <c r="E15" s="9"/>
      <c r="F15" s="9"/>
      <c r="G15" s="9"/>
      <c r="H15" s="9"/>
      <c r="I15" s="11"/>
      <c r="J15" s="10"/>
      <c r="K15" s="9"/>
      <c r="L15" s="9"/>
      <c r="M15" s="9"/>
      <c r="N15" s="9"/>
      <c r="O15" s="9"/>
      <c r="P15" s="8"/>
      <c r="Q15" s="7"/>
    </row>
    <row r="16" spans="2:17" x14ac:dyDescent="0.4">
      <c r="B16" s="6" t="s">
        <v>1</v>
      </c>
      <c r="C16" s="5"/>
      <c r="D16" s="5"/>
      <c r="E16" s="5"/>
      <c r="F16" s="5"/>
      <c r="G16" s="5"/>
      <c r="H16" s="5"/>
      <c r="I16" s="4"/>
      <c r="J16" s="3" t="s">
        <v>0</v>
      </c>
      <c r="K16" s="2"/>
      <c r="L16" s="2"/>
      <c r="M16" s="2"/>
      <c r="N16" s="2"/>
      <c r="O16" s="2"/>
      <c r="P16" s="2"/>
      <c r="Q16" s="1"/>
    </row>
    <row r="18" spans="2:11" x14ac:dyDescent="0.4">
      <c r="B18" s="21"/>
      <c r="C18" s="55" t="s">
        <v>185</v>
      </c>
      <c r="D18" s="21"/>
      <c r="E18" s="21"/>
      <c r="F18" s="21"/>
      <c r="G18" s="21"/>
      <c r="H18" s="21"/>
      <c r="I18" s="21"/>
      <c r="J18" s="21"/>
      <c r="K18" s="55" t="s">
        <v>186</v>
      </c>
    </row>
  </sheetData>
  <hyperlinks>
    <hyperlink ref="C18" location="switch_early" display="See tab effect lookups: early" xr:uid="{6549DCA5-D33F-4DB8-90B5-97F0FDD4B0F8}"/>
    <hyperlink ref="K18" location="switch_late" display="See tab effect lookup: late" xr:uid="{48470F5C-8BEA-4BB2-945A-F1DB59D12D5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contents</vt:lpstr>
      <vt:lpstr>MARS lookups</vt:lpstr>
      <vt:lpstr>effect lookups</vt:lpstr>
      <vt:lpstr>scenario switches</vt:lpstr>
      <vt:lpstr>switch_early</vt:lpstr>
      <vt:lpstr>switch_late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Arnoldus</dc:creator>
  <cp:lastModifiedBy>Micha Arnoldus</cp:lastModifiedBy>
  <dcterms:created xsi:type="dcterms:W3CDTF">2015-06-05T18:17:20Z</dcterms:created>
  <dcterms:modified xsi:type="dcterms:W3CDTF">2024-11-08T11:03:00Z</dcterms:modified>
</cp:coreProperties>
</file>