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user/Downloads/"/>
    </mc:Choice>
  </mc:AlternateContent>
  <xr:revisionPtr revIDLastSave="0" documentId="13_ncr:1_{B0F43DB2-64DA-BE46-B6A3-CA5755701A47}" xr6:coauthVersionLast="47" xr6:coauthVersionMax="47" xr10:uidLastSave="{00000000-0000-0000-0000-000000000000}"/>
  <bookViews>
    <workbookView xWindow="0" yWindow="0" windowWidth="28800" windowHeight="18000" xr2:uid="{4ECD9BBC-0A7E-A04F-AFFE-F569F953F9AE}"/>
  </bookViews>
  <sheets>
    <sheet name="Sheet1" sheetId="1" r:id="rId1"/>
    <sheet name="Pivot Table" sheetId="3" r:id="rId2"/>
  </sheets>
  <definedNames>
    <definedName name="Slicer_Months">#N/A</definedName>
  </definedNames>
  <calcPr calcId="191029"/>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8" i="1" l="1" a="1"/>
  <c r="L108" i="1" s="1"/>
  <c r="K108" i="1"/>
  <c r="L113" i="1" a="1"/>
  <c r="L113" i="1" s="1"/>
  <c r="L110" i="1" a="1"/>
  <c r="L110" i="1" s="1"/>
  <c r="L111" i="1" a="1"/>
  <c r="L111" i="1" s="1"/>
  <c r="L112" i="1" a="1"/>
  <c r="L112" i="1"/>
  <c r="L114" i="1" a="1"/>
  <c r="L114" i="1" s="1"/>
  <c r="L109" i="1" a="1"/>
  <c r="L109" i="1" s="1"/>
  <c r="K88" i="1"/>
  <c r="K89" i="1" s="1" a="1"/>
  <c r="K89" i="1" s="1"/>
  <c r="K73" i="1"/>
  <c r="K62" i="1"/>
  <c r="K27" i="1"/>
  <c r="K19" i="1"/>
  <c r="K13" i="1"/>
  <c r="K12" i="1"/>
  <c r="K7" i="1"/>
  <c r="K6" i="1"/>
  <c r="K114" i="1"/>
  <c r="K113" i="1"/>
  <c r="K112" i="1"/>
  <c r="K111" i="1"/>
  <c r="K110" i="1"/>
  <c r="K109" i="1"/>
  <c r="K97" i="1"/>
  <c r="M97" i="1" s="1"/>
  <c r="K98" i="1"/>
  <c r="L98" i="1" s="1" a="1"/>
  <c r="L98" i="1" s="1"/>
  <c r="K99" i="1"/>
  <c r="M99" i="1" s="1"/>
  <c r="K100" i="1"/>
  <c r="M100" i="1" s="1"/>
  <c r="K101" i="1"/>
  <c r="M101" i="1" s="1"/>
  <c r="K102" i="1"/>
  <c r="L102" i="1" s="1" a="1"/>
  <c r="L102" i="1" s="1"/>
  <c r="K96" i="1"/>
  <c r="M96" i="1" s="1"/>
  <c r="L88" i="1"/>
  <c r="L89" i="1" s="1" a="1"/>
  <c r="L89" i="1" s="1"/>
  <c r="K82" i="1"/>
  <c r="M82" i="1" s="1"/>
  <c r="K81" i="1"/>
  <c r="L81" i="1" s="1"/>
  <c r="K80" i="1"/>
  <c r="L80" i="1" s="1"/>
  <c r="K75" i="1"/>
  <c r="K74" i="1"/>
  <c r="K65" i="1"/>
  <c r="K68" i="1"/>
  <c r="K67" i="1"/>
  <c r="K66" i="1"/>
  <c r="K64" i="1"/>
  <c r="K63" i="1"/>
  <c r="L54" i="1"/>
  <c r="L53" i="1"/>
  <c r="L52" i="1"/>
  <c r="L51" i="1"/>
  <c r="L50" i="1"/>
  <c r="L49" i="1"/>
  <c r="L48" i="1"/>
  <c r="K54" i="1"/>
  <c r="K53" i="1"/>
  <c r="K52" i="1"/>
  <c r="K51" i="1"/>
  <c r="K50" i="1"/>
  <c r="K49" i="1"/>
  <c r="K48" i="1"/>
  <c r="K43" i="1"/>
  <c r="K37" i="1"/>
  <c r="K36" i="1"/>
  <c r="K31" i="1"/>
  <c r="K18" i="1"/>
  <c r="M98" i="1" l="1"/>
  <c r="M102" i="1"/>
  <c r="L100" i="1" a="1"/>
  <c r="L100" i="1" s="1"/>
  <c r="L99" i="1" a="1"/>
  <c r="L99" i="1" s="1"/>
  <c r="L96" i="1" a="1"/>
  <c r="L96" i="1" s="1"/>
  <c r="L101" i="1" a="1"/>
  <c r="L101" i="1" s="1"/>
  <c r="L97" i="1" a="1"/>
  <c r="L97" i="1" s="1"/>
  <c r="M80" i="1"/>
  <c r="M50" i="1"/>
  <c r="M54" i="1"/>
  <c r="M81" i="1"/>
  <c r="M51" i="1"/>
  <c r="M48" i="1"/>
  <c r="M52" i="1"/>
  <c r="L82" i="1"/>
  <c r="M49" i="1"/>
  <c r="M53" i="1"/>
  <c r="K38" i="1"/>
  <c r="M56" i="1" l="1"/>
  <c r="M5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<sst xmlns="http://schemas.openxmlformats.org/spreadsheetml/2006/main" count="150" uniqueCount="76">
  <si>
    <t>Months</t>
  </si>
  <si>
    <t>Downloads</t>
  </si>
  <si>
    <t xml:space="preserve">Uninstalls </t>
  </si>
  <si>
    <t>1 star ratings</t>
  </si>
  <si>
    <t>5 star ratings</t>
  </si>
  <si>
    <t>App</t>
  </si>
  <si>
    <t>Crushed by Candies</t>
  </si>
  <si>
    <t>Chocolate Crossing</t>
  </si>
  <si>
    <t>Angry Bites</t>
  </si>
  <si>
    <t>Where is my Coco?</t>
  </si>
  <si>
    <t>Sugar Rush</t>
  </si>
  <si>
    <t>Subway Wafers</t>
  </si>
  <si>
    <t>Temple Bun</t>
  </si>
  <si>
    <t>June</t>
  </si>
  <si>
    <t>Question and Answers</t>
  </si>
  <si>
    <t>Total downloads for C apps</t>
  </si>
  <si>
    <t>Uninstalls in december 2021</t>
  </si>
  <si>
    <t>Downloads in Oct, Nov, Dec 2021</t>
  </si>
  <si>
    <t>How many times we had more than 8000 downloads per app months</t>
  </si>
  <si>
    <t>Average monthly downloads</t>
  </si>
  <si>
    <t>which month and app was that</t>
  </si>
  <si>
    <t>What is the least downloaded app in each month</t>
  </si>
  <si>
    <t>Q1</t>
  </si>
  <si>
    <t>Q2</t>
  </si>
  <si>
    <t>Q3</t>
  </si>
  <si>
    <t>Q4</t>
  </si>
  <si>
    <t>Q5</t>
  </si>
  <si>
    <t>Q6</t>
  </si>
  <si>
    <t>Q7</t>
  </si>
  <si>
    <t>Q8</t>
  </si>
  <si>
    <t>Q9</t>
  </si>
  <si>
    <t>Q10</t>
  </si>
  <si>
    <t>Q11</t>
  </si>
  <si>
    <t>Q12</t>
  </si>
  <si>
    <t>Q13</t>
  </si>
  <si>
    <t>Q14</t>
  </si>
  <si>
    <t>Year</t>
  </si>
  <si>
    <t>Row Labels</t>
  </si>
  <si>
    <t>Grand Total</t>
  </si>
  <si>
    <t>Avg of 1 star ratings</t>
  </si>
  <si>
    <t>Avg of 5 star ratings</t>
  </si>
  <si>
    <t xml:space="preserve">Avg of Uninstalls </t>
  </si>
  <si>
    <t>Avg of Downloads</t>
  </si>
  <si>
    <t xml:space="preserve">starting with </t>
  </si>
  <si>
    <t>Total Downloads</t>
  </si>
  <si>
    <t>Total downloads for each app</t>
  </si>
  <si>
    <t>sugar rush</t>
  </si>
  <si>
    <t>c*</t>
  </si>
  <si>
    <t>Month</t>
  </si>
  <si>
    <t>Uninstalls</t>
  </si>
  <si>
    <t>Start</t>
  </si>
  <si>
    <t>End</t>
  </si>
  <si>
    <t>5 star ratings % for each app</t>
  </si>
  <si>
    <t>Total 5 star ratings</t>
  </si>
  <si>
    <t>Total ratings</t>
  </si>
  <si>
    <t>total ratings</t>
  </si>
  <si>
    <t>5 star %</t>
  </si>
  <si>
    <t>Average uninstalls for Subway wafers</t>
  </si>
  <si>
    <t>subway wafers</t>
  </si>
  <si>
    <t>Total Uninstalls</t>
  </si>
  <si>
    <t>Avg of total ratings</t>
  </si>
  <si>
    <t>Uninstall Ratio</t>
  </si>
  <si>
    <t>Max Uninstall Ratio</t>
  </si>
  <si>
    <t>Average Downloads</t>
  </si>
  <si>
    <t>Which months has highest uninstall ratio ?</t>
  </si>
  <si>
    <t>Most downloads in any month for any app? 2nd and 3rd places also</t>
  </si>
  <si>
    <t>Most downloads</t>
  </si>
  <si>
    <t>2nd</t>
  </si>
  <si>
    <t>3rd</t>
  </si>
  <si>
    <t>App name</t>
  </si>
  <si>
    <t>Most 1 star rating</t>
  </si>
  <si>
    <t>In october and december, which app has most 1 star rating</t>
  </si>
  <si>
    <t>Apps</t>
  </si>
  <si>
    <t>Most Downloads</t>
  </si>
  <si>
    <t>What are the best downloads figures and month for each app</t>
  </si>
  <si>
    <t>Least 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</si>
</sst>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409]mmmm\-yy;@"/>
    <numFmt numFmtId="172" formatCode="[$-409]mmm\-yy;@"/>
  </numFmts>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theme="5"/>
        <bgColor indexed="64"/>
      </patternFill>
    </fill>
    <fill>
      <patternFill patternType="solid">
        <fgColor rgb="FFED7D31"/>
        <bgColor rgb="FF000000"/>
      </patternFill>
    </fill>
  </fills>
  <borders count="2">
    <border>
      <left/>
      <right/>
      <top/>
      <bottom/>
      <diagonal/>
    </border>
    <border>
      <left/>
      <right/>
      <top style="thin">
        <color theme="5" tint="0.39997558519241921"/>
      </top>
      <bottom style="thin">
        <color theme="5" tint="0.39997558519241921"/>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4" fontId="1" fillId="0" borderId="0" xfId="0" applyNumberFormat="1" applyFont="1" applyAlignment="1">
      <alignment horizontal="center"/>
    </xf>
    <xf numFmtId="1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pivotButton="1"/>
    <xf numFmtId="1" fontId="0" fillId="0" borderId="0" xfId="0" applyNumberFormat="1"/>
    <xf numFmtId="0" fontId="1" fillId="0" borderId="0" xfId="0" pivotButton="1" applyFont="1"/>
    <xf numFmtId="0" fontId="0" fillId="0" borderId="0" xfId="0" applyFont="1"/>
    <xf numFmtId="1" fontId="0" fillId="0" borderId="0" xfId="0" applyNumberFormat="1" applyFont="1"/>
    <xf numFmtId="0" fontId="0" fillId="0" borderId="1" xfId="0" applyFont="1" applyFill="1" applyBorder="1" applyAlignment="1">
      <alignment horizontal="left"/>
    </xf>
    <xf numFmtId="0" fontId="0" fillId="2" borderId="0" xfId="0" applyFill="1"/>
    <xf numFmtId="167" fontId="0" fillId="0" borderId="0" xfId="0" applyNumberFormat="1" applyAlignment="1">
      <alignment horizontal="center"/>
    </xf>
    <xf numFmtId="17" fontId="0" fillId="2" borderId="0" xfId="0" applyNumberFormat="1" applyFill="1" applyAlignment="1">
      <alignment horizontal="left"/>
    </xf>
    <xf numFmtId="10" fontId="0" fillId="0" borderId="0" xfId="0" applyNumberFormat="1"/>
    <xf numFmtId="17" fontId="1" fillId="0" borderId="0" xfId="0" applyNumberFormat="1" applyFont="1" applyAlignment="1">
      <alignment horizontal="center"/>
    </xf>
    <xf numFmtId="172" fontId="1" fillId="0" borderId="0" xfId="0" applyNumberFormat="1" applyFont="1"/>
    <xf numFmtId="2" fontId="0" fillId="0" borderId="0" xfId="0" applyNumberFormat="1"/>
    <xf numFmtId="167" fontId="0" fillId="0" borderId="0" xfId="0" applyNumberFormat="1"/>
    <xf numFmtId="0" fontId="0" fillId="0" borderId="0" xfId="0" applyAlignment="1">
      <alignment horizontal="right"/>
    </xf>
    <xf numFmtId="172" fontId="0" fillId="0" borderId="0" xfId="0" applyNumberFormat="1" applyFont="1"/>
    <xf numFmtId="17" fontId="0" fillId="0" borderId="1" xfId="0" applyNumberFormat="1" applyFont="1" applyFill="1" applyBorder="1" applyAlignment="1">
      <alignment horizontal="left"/>
    </xf>
    <xf numFmtId="0" fontId="3" fillId="3" borderId="0" xfId="0" applyFont="1" applyFill="1"/>
  </cellXfs>
  <cellStyles count="1">
    <cellStyle name="Normal" xfId="0" builtinId="0"/>
  </cellStyles>
  <dxfs count="110">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font>
        <b/>
      </font>
    </dxf>
    <dxf>
      <font>
        <b val="0"/>
      </font>
    </dxf>
    <dxf>
      <font>
        <b/>
      </font>
    </dxf>
    <dxf>
      <font>
        <sz val="12"/>
      </font>
    </dxf>
    <dxf>
      <font>
        <sz val="12"/>
      </font>
    </dxf>
    <dxf>
      <numFmt numFmtId="2" formatCode="0.00"/>
    </dxf>
    <dxf>
      <font>
        <b/>
        <i val="0"/>
        <strike val="0"/>
        <condense val="0"/>
        <extend val="0"/>
        <outline val="0"/>
        <shadow val="0"/>
        <u val="none"/>
        <vertAlign val="baseline"/>
        <sz val="12"/>
        <color theme="1"/>
        <name val="Calibri"/>
        <family val="2"/>
        <scheme val="minor"/>
      </font>
      <numFmt numFmtId="22" formatCode="mmm\-yy"/>
      <alignment horizontal="center" vertical="bottom" textRotation="0" wrapText="0" indent="0" justifyLastLine="0" shrinkToFit="0" readingOrder="0"/>
    </dxf>
    <dxf>
      <numFmt numFmtId="0" formatCode="Genera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22" formatCode="mmm\-yy"/>
      <alignment horizontal="center" vertical="bottom" textRotation="0" wrapText="0" indent="0" justifyLastLine="0" shrinkToFit="0" readingOrder="0"/>
    </dxf>
    <dxf>
      <font>
        <b/>
      </font>
    </dxf>
    <dxf>
      <font>
        <b val="0"/>
      </font>
    </dxf>
    <dxf>
      <font>
        <b/>
      </font>
    </dxf>
    <dxf>
      <font>
        <sz val="12"/>
      </font>
    </dxf>
    <dxf>
      <font>
        <sz val="12"/>
      </font>
    </dxf>
    <dxf>
      <numFmt numFmtId="19" formatCode="m/d/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7</xdr:row>
      <xdr:rowOff>0</xdr:rowOff>
    </xdr:from>
    <xdr:to>
      <xdr:col>1</xdr:col>
      <xdr:colOff>990600</xdr:colOff>
      <xdr:row>18</xdr:row>
      <xdr:rowOff>12700</xdr:rowOff>
    </xdr:to>
    <mc:AlternateContent xmlns:mc="http://schemas.openxmlformats.org/markup-compatibility/2006">
      <mc:Choice xmlns:a14="http://schemas.microsoft.com/office/drawing/2010/main" Requires="a14">
        <xdr:graphicFrame macro="">
          <xdr:nvGraphicFramePr>
            <xdr:cNvPr id="2" name="Months">
              <a:extLst>
                <a:ext uri="{FF2B5EF4-FFF2-40B4-BE49-F238E27FC236}">
                  <a16:creationId xmlns:a16="http://schemas.microsoft.com/office/drawing/2014/main" id="{D3BD2A12-4709-93E8-5FC0-C60D008573A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647700" y="1422400"/>
              <a:ext cx="1854200" cy="2247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7.098157754626" createdVersion="8" refreshedVersion="8" minRefreshableVersion="3" recordCount="49" xr:uid="{90F90D1F-9F7D-B347-8779-DB0200B09374}">
  <cacheSource type="worksheet">
    <worksheetSource name="Table1"/>
  </cacheSource>
  <cacheFields count="8">
    <cacheField name="Months" numFmtId="14">
      <sharedItems count="7">
        <s v="August"/>
        <s v="December"/>
        <s v="July"/>
        <s v="June"/>
        <s v="November"/>
        <s v="October"/>
        <s v="September"/>
      </sharedItems>
    </cacheField>
    <cacheField name="Year" numFmtId="0">
      <sharedItems containsSemiMixedTypes="0" containsString="0" containsNumber="1" containsInteger="1" minValue="2021" maxValue="2021"/>
    </cacheField>
    <cacheField name="App" numFmtId="0">
      <sharedItems count="7">
        <s v="Crushed by Candies"/>
        <s v="Where is my Coco?"/>
        <s v="Subway Wafers"/>
        <s v="Sugar Rush"/>
        <s v="Temple Bun"/>
        <s v="Angry Bites"/>
        <s v="Chocolate Crossing"/>
      </sharedItems>
    </cacheField>
    <cacheField name="Downloads" numFmtId="0">
      <sharedItems containsSemiMixedTypes="0" containsString="0" containsNumber="1" containsInteger="1" minValue="1837" maxValue="10028" count="49">
        <n v="4856"/>
        <n v="5233"/>
        <n v="5429"/>
        <n v="6782"/>
        <n v="6825"/>
        <n v="7909"/>
        <n v="10028"/>
        <n v="2297"/>
        <n v="5132"/>
        <n v="5153"/>
        <n v="5694"/>
        <n v="6420"/>
        <n v="6882"/>
        <n v="7752"/>
        <n v="4576"/>
        <n v="5004"/>
        <n v="5702"/>
        <n v="6806"/>
        <n v="7066"/>
        <n v="7098"/>
        <n v="8586"/>
        <n v="1837"/>
        <n v="3499"/>
        <n v="4373"/>
        <n v="4681"/>
        <n v="5649"/>
        <n v="7079"/>
        <n v="7683"/>
        <n v="2849"/>
        <n v="4389"/>
        <n v="5520"/>
        <n v="5651"/>
        <n v="7488"/>
        <n v="7500"/>
        <n v="9195"/>
        <n v="4340"/>
        <n v="4693"/>
        <n v="4906"/>
        <n v="5165"/>
        <n v="6032"/>
        <n v="7092"/>
        <n v="8050"/>
        <n v="4879"/>
        <n v="5735"/>
        <n v="6430"/>
        <n v="7258"/>
        <n v="7333"/>
        <n v="7899"/>
        <n v="8453"/>
      </sharedItems>
    </cacheField>
    <cacheField name="Uninstalls " numFmtId="0">
      <sharedItems containsSemiMixedTypes="0" containsString="0" containsNumber="1" containsInteger="1" minValue="36" maxValue="200"/>
    </cacheField>
    <cacheField name="5 star ratings" numFmtId="0">
      <sharedItems containsSemiMixedTypes="0" containsString="0" containsNumber="1" containsInteger="1" minValue="51" maxValue="143"/>
    </cacheField>
    <cacheField name="1 star ratings" numFmtId="0">
      <sharedItems containsSemiMixedTypes="0" containsString="0" containsNumber="1" containsInteger="1" minValue="25" maxValue="60"/>
    </cacheField>
    <cacheField name="total rattings" numFmtId="0">
      <sharedItems containsSemiMixedTypes="0" containsString="0" containsNumber="1" containsInteger="1" minValue="566" maxValue="1133" count="33">
        <n v="661"/>
        <n v="643"/>
        <n v="684"/>
        <n v="679"/>
        <n v="891"/>
        <n v="997"/>
        <n v="962"/>
        <n v="726"/>
        <n v="714"/>
        <n v="738"/>
        <n v="655"/>
        <n v="761"/>
        <n v="956"/>
        <n v="785"/>
        <n v="1092"/>
        <n v="566"/>
        <n v="773"/>
        <n v="879"/>
        <n v="808"/>
        <n v="897"/>
        <n v="702"/>
        <n v="867"/>
        <n v="779"/>
        <n v="932"/>
        <n v="625"/>
        <n v="797"/>
        <n v="590"/>
        <n v="802"/>
        <n v="915"/>
        <n v="667"/>
        <n v="1133"/>
        <n v="850"/>
        <n v="708"/>
      </sharedItems>
    </cacheField>
  </cacheFields>
  <extLst>
    <ext xmlns:x14="http://schemas.microsoft.com/office/spreadsheetml/2009/9/main" uri="{725AE2AE-9491-48be-B2B4-4EB974FC3084}">
      <x14:pivotCacheDefinition pivotCacheId="1376519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n v="2021"/>
    <x v="0"/>
    <x v="0"/>
    <n v="97"/>
    <n v="87"/>
    <n v="25"/>
    <x v="0"/>
  </r>
  <r>
    <x v="0"/>
    <n v="2021"/>
    <x v="1"/>
    <x v="1"/>
    <n v="104"/>
    <n v="78"/>
    <n v="31"/>
    <x v="1"/>
  </r>
  <r>
    <x v="0"/>
    <n v="2021"/>
    <x v="2"/>
    <x v="2"/>
    <n v="108"/>
    <n v="81"/>
    <n v="35"/>
    <x v="2"/>
  </r>
  <r>
    <x v="0"/>
    <n v="2021"/>
    <x v="3"/>
    <x v="3"/>
    <n v="135"/>
    <n v="70"/>
    <n v="45"/>
    <x v="3"/>
  </r>
  <r>
    <x v="0"/>
    <n v="2021"/>
    <x v="4"/>
    <x v="4"/>
    <n v="136"/>
    <n v="122"/>
    <n v="29"/>
    <x v="4"/>
  </r>
  <r>
    <x v="0"/>
    <n v="2021"/>
    <x v="5"/>
    <x v="5"/>
    <n v="158"/>
    <n v="137"/>
    <n v="32"/>
    <x v="5"/>
  </r>
  <r>
    <x v="0"/>
    <n v="2021"/>
    <x v="6"/>
    <x v="6"/>
    <n v="200"/>
    <n v="124"/>
    <n v="39"/>
    <x v="6"/>
  </r>
  <r>
    <x v="1"/>
    <n v="2021"/>
    <x v="0"/>
    <x v="7"/>
    <n v="45"/>
    <n v="76"/>
    <n v="47"/>
    <x v="7"/>
  </r>
  <r>
    <x v="1"/>
    <n v="2021"/>
    <x v="1"/>
    <x v="8"/>
    <n v="102"/>
    <n v="75"/>
    <n v="46"/>
    <x v="8"/>
  </r>
  <r>
    <x v="1"/>
    <n v="2021"/>
    <x v="6"/>
    <x v="9"/>
    <n v="103"/>
    <n v="76"/>
    <n v="49"/>
    <x v="9"/>
  </r>
  <r>
    <x v="1"/>
    <n v="2021"/>
    <x v="4"/>
    <x v="10"/>
    <n v="113"/>
    <n v="56"/>
    <n v="55"/>
    <x v="10"/>
  </r>
  <r>
    <x v="1"/>
    <n v="2021"/>
    <x v="2"/>
    <x v="11"/>
    <n v="128"/>
    <n v="77"/>
    <n v="52"/>
    <x v="11"/>
  </r>
  <r>
    <x v="1"/>
    <n v="2021"/>
    <x v="3"/>
    <x v="12"/>
    <n v="137"/>
    <n v="132"/>
    <n v="30"/>
    <x v="12"/>
  </r>
  <r>
    <x v="1"/>
    <n v="2021"/>
    <x v="5"/>
    <x v="13"/>
    <n v="155"/>
    <n v="94"/>
    <n v="39"/>
    <x v="13"/>
  </r>
  <r>
    <x v="2"/>
    <n v="2021"/>
    <x v="2"/>
    <x v="14"/>
    <n v="91"/>
    <n v="76"/>
    <n v="39"/>
    <x v="3"/>
  </r>
  <r>
    <x v="2"/>
    <n v="2021"/>
    <x v="4"/>
    <x v="15"/>
    <n v="100"/>
    <n v="135"/>
    <n v="50"/>
    <x v="14"/>
  </r>
  <r>
    <x v="2"/>
    <n v="2021"/>
    <x v="3"/>
    <x v="16"/>
    <n v="114"/>
    <n v="87"/>
    <n v="46"/>
    <x v="13"/>
  </r>
  <r>
    <x v="2"/>
    <n v="2021"/>
    <x v="1"/>
    <x v="17"/>
    <n v="136"/>
    <n v="83"/>
    <n v="47"/>
    <x v="2"/>
  </r>
  <r>
    <x v="2"/>
    <n v="2021"/>
    <x v="5"/>
    <x v="18"/>
    <n v="141"/>
    <n v="64"/>
    <n v="32"/>
    <x v="15"/>
  </r>
  <r>
    <x v="2"/>
    <n v="2021"/>
    <x v="6"/>
    <x v="19"/>
    <n v="141"/>
    <n v="96"/>
    <n v="35"/>
    <x v="16"/>
  </r>
  <r>
    <x v="2"/>
    <n v="2021"/>
    <x v="0"/>
    <x v="20"/>
    <n v="171"/>
    <n v="81"/>
    <n v="52"/>
    <x v="13"/>
  </r>
  <r>
    <x v="3"/>
    <n v="2021"/>
    <x v="4"/>
    <x v="21"/>
    <n v="36"/>
    <n v="111"/>
    <n v="38"/>
    <x v="17"/>
  </r>
  <r>
    <x v="3"/>
    <n v="2021"/>
    <x v="3"/>
    <x v="22"/>
    <n v="69"/>
    <n v="91"/>
    <n v="42"/>
    <x v="13"/>
  </r>
  <r>
    <x v="3"/>
    <n v="2021"/>
    <x v="1"/>
    <x v="23"/>
    <n v="87"/>
    <n v="86"/>
    <n v="51"/>
    <x v="18"/>
  </r>
  <r>
    <x v="3"/>
    <n v="2021"/>
    <x v="5"/>
    <x v="24"/>
    <n v="93"/>
    <n v="99"/>
    <n v="53"/>
    <x v="19"/>
  </r>
  <r>
    <x v="3"/>
    <n v="2021"/>
    <x v="2"/>
    <x v="25"/>
    <n v="112"/>
    <n v="78"/>
    <n v="31"/>
    <x v="1"/>
  </r>
  <r>
    <x v="3"/>
    <n v="2021"/>
    <x v="0"/>
    <x v="26"/>
    <n v="141"/>
    <n v="89"/>
    <n v="60"/>
    <x v="17"/>
  </r>
  <r>
    <x v="3"/>
    <n v="2021"/>
    <x v="6"/>
    <x v="27"/>
    <n v="153"/>
    <n v="78"/>
    <n v="41"/>
    <x v="20"/>
  </r>
  <r>
    <x v="4"/>
    <n v="2021"/>
    <x v="2"/>
    <x v="28"/>
    <n v="56"/>
    <n v="92"/>
    <n v="55"/>
    <x v="21"/>
  </r>
  <r>
    <x v="4"/>
    <n v="2021"/>
    <x v="4"/>
    <x v="29"/>
    <n v="87"/>
    <n v="80"/>
    <n v="51"/>
    <x v="16"/>
  </r>
  <r>
    <x v="4"/>
    <n v="2021"/>
    <x v="6"/>
    <x v="30"/>
    <n v="110"/>
    <n v="97"/>
    <n v="32"/>
    <x v="11"/>
  </r>
  <r>
    <x v="4"/>
    <n v="2021"/>
    <x v="5"/>
    <x v="31"/>
    <n v="113"/>
    <n v="81"/>
    <n v="40"/>
    <x v="8"/>
  </r>
  <r>
    <x v="4"/>
    <n v="2021"/>
    <x v="3"/>
    <x v="32"/>
    <n v="149"/>
    <n v="82"/>
    <n v="50"/>
    <x v="22"/>
  </r>
  <r>
    <x v="4"/>
    <n v="2021"/>
    <x v="0"/>
    <x v="33"/>
    <n v="150"/>
    <n v="81"/>
    <n v="56"/>
    <x v="18"/>
  </r>
  <r>
    <x v="4"/>
    <n v="2021"/>
    <x v="1"/>
    <x v="34"/>
    <n v="183"/>
    <n v="117"/>
    <n v="41"/>
    <x v="23"/>
  </r>
  <r>
    <x v="5"/>
    <n v="2021"/>
    <x v="4"/>
    <x v="35"/>
    <n v="86"/>
    <n v="76"/>
    <n v="30"/>
    <x v="24"/>
  </r>
  <r>
    <x v="5"/>
    <n v="2021"/>
    <x v="6"/>
    <x v="36"/>
    <n v="93"/>
    <n v="85"/>
    <n v="46"/>
    <x v="16"/>
  </r>
  <r>
    <x v="5"/>
    <n v="2021"/>
    <x v="1"/>
    <x v="37"/>
    <n v="98"/>
    <n v="76"/>
    <n v="47"/>
    <x v="20"/>
  </r>
  <r>
    <x v="5"/>
    <n v="2021"/>
    <x v="5"/>
    <x v="38"/>
    <n v="103"/>
    <n v="95"/>
    <n v="40"/>
    <x v="25"/>
  </r>
  <r>
    <x v="5"/>
    <n v="2021"/>
    <x v="3"/>
    <x v="39"/>
    <n v="120"/>
    <n v="65"/>
    <n v="47"/>
    <x v="0"/>
  </r>
  <r>
    <x v="5"/>
    <n v="2021"/>
    <x v="2"/>
    <x v="40"/>
    <n v="141"/>
    <n v="68"/>
    <n v="32"/>
    <x v="26"/>
  </r>
  <r>
    <x v="5"/>
    <n v="2021"/>
    <x v="0"/>
    <x v="41"/>
    <n v="161"/>
    <n v="104"/>
    <n v="32"/>
    <x v="27"/>
  </r>
  <r>
    <x v="6"/>
    <n v="2021"/>
    <x v="2"/>
    <x v="42"/>
    <n v="97"/>
    <n v="126"/>
    <n v="29"/>
    <x v="28"/>
  </r>
  <r>
    <x v="6"/>
    <n v="2021"/>
    <x v="6"/>
    <x v="43"/>
    <n v="114"/>
    <n v="77"/>
    <n v="36"/>
    <x v="29"/>
  </r>
  <r>
    <x v="6"/>
    <n v="2021"/>
    <x v="1"/>
    <x v="44"/>
    <n v="128"/>
    <n v="143"/>
    <n v="49"/>
    <x v="30"/>
  </r>
  <r>
    <x v="6"/>
    <n v="2021"/>
    <x v="0"/>
    <x v="45"/>
    <n v="145"/>
    <n v="106"/>
    <n v="38"/>
    <x v="31"/>
  </r>
  <r>
    <x v="6"/>
    <n v="2021"/>
    <x v="3"/>
    <x v="46"/>
    <n v="146"/>
    <n v="60"/>
    <n v="60"/>
    <x v="32"/>
  </r>
  <r>
    <x v="6"/>
    <n v="2021"/>
    <x v="5"/>
    <x v="47"/>
    <n v="157"/>
    <n v="51"/>
    <n v="49"/>
    <x v="26"/>
  </r>
  <r>
    <x v="6"/>
    <n v="2021"/>
    <x v="4"/>
    <x v="48"/>
    <n v="169"/>
    <n v="84"/>
    <n v="36"/>
    <x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0E4759-46F2-DC4D-86EB-2B6879C3BB5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0:H18" firstHeaderRow="0" firstDataRow="1" firstDataCol="1" rowPageCount="1" colPageCount="1"/>
  <pivotFields count="8">
    <pivotField axis="axisPage" multipleItemSelectionAllowed="1" showAll="0">
      <items count="8">
        <item x="3"/>
        <item h="1" x="2"/>
        <item h="1" x="0"/>
        <item h="1" x="6"/>
        <item h="1" x="5"/>
        <item h="1" x="4"/>
        <item h="1" x="1"/>
        <item t="default"/>
      </items>
    </pivotField>
    <pivotField showAll="0"/>
    <pivotField axis="axisRow" showAll="0">
      <items count="8">
        <item x="5"/>
        <item x="6"/>
        <item x="0"/>
        <item x="2"/>
        <item x="3"/>
        <item x="4"/>
        <item x="1"/>
        <item t="default"/>
      </items>
    </pivotField>
    <pivotField dataField="1" showAll="0">
      <items count="50">
        <item x="21"/>
        <item x="7"/>
        <item x="28"/>
        <item x="22"/>
        <item x="35"/>
        <item x="23"/>
        <item x="29"/>
        <item x="14"/>
        <item x="24"/>
        <item x="36"/>
        <item x="0"/>
        <item x="42"/>
        <item x="37"/>
        <item x="15"/>
        <item x="8"/>
        <item x="9"/>
        <item x="38"/>
        <item x="1"/>
        <item x="2"/>
        <item x="30"/>
        <item x="25"/>
        <item x="31"/>
        <item x="10"/>
        <item x="16"/>
        <item x="43"/>
        <item x="39"/>
        <item x="11"/>
        <item x="44"/>
        <item x="3"/>
        <item x="17"/>
        <item x="4"/>
        <item x="12"/>
        <item x="18"/>
        <item x="26"/>
        <item x="40"/>
        <item x="19"/>
        <item x="45"/>
        <item x="46"/>
        <item x="32"/>
        <item x="33"/>
        <item x="27"/>
        <item x="13"/>
        <item x="47"/>
        <item x="5"/>
        <item x="41"/>
        <item x="48"/>
        <item x="20"/>
        <item x="34"/>
        <item x="6"/>
        <item t="default"/>
      </items>
    </pivotField>
    <pivotField dataField="1" showAll="0"/>
    <pivotField dataField="1" showAll="0"/>
    <pivotField dataField="1" showAll="0"/>
    <pivotField dataField="1" showAll="0">
      <items count="34">
        <item x="15"/>
        <item x="26"/>
        <item x="24"/>
        <item x="1"/>
        <item x="10"/>
        <item x="0"/>
        <item x="29"/>
        <item x="3"/>
        <item x="2"/>
        <item x="20"/>
        <item x="32"/>
        <item x="8"/>
        <item x="7"/>
        <item x="9"/>
        <item x="11"/>
        <item x="16"/>
        <item x="22"/>
        <item x="13"/>
        <item x="25"/>
        <item x="27"/>
        <item x="18"/>
        <item x="31"/>
        <item x="21"/>
        <item x="17"/>
        <item x="4"/>
        <item x="19"/>
        <item x="28"/>
        <item x="23"/>
        <item x="12"/>
        <item x="6"/>
        <item x="5"/>
        <item x="14"/>
        <item x="30"/>
        <item t="default"/>
      </items>
    </pivotField>
  </pivotFields>
  <rowFields count="1">
    <field x="2"/>
  </rowFields>
  <rowItems count="8">
    <i>
      <x/>
    </i>
    <i>
      <x v="1"/>
    </i>
    <i>
      <x v="2"/>
    </i>
    <i>
      <x v="3"/>
    </i>
    <i>
      <x v="4"/>
    </i>
    <i>
      <x v="5"/>
    </i>
    <i>
      <x v="6"/>
    </i>
    <i t="grand">
      <x/>
    </i>
  </rowItems>
  <colFields count="1">
    <field x="-2"/>
  </colFields>
  <colItems count="5">
    <i>
      <x/>
    </i>
    <i i="1">
      <x v="1"/>
    </i>
    <i i="2">
      <x v="2"/>
    </i>
    <i i="3">
      <x v="3"/>
    </i>
    <i i="4">
      <x v="4"/>
    </i>
  </colItems>
  <pageFields count="1">
    <pageField fld="0" hier="-1"/>
  </pageFields>
  <dataFields count="5">
    <dataField name="Avg of Downloads" fld="3" subtotal="average" baseField="0" baseItem="0" numFmtId="1"/>
    <dataField name="Avg of Uninstalls " fld="4" subtotal="average" baseField="0" baseItem="0" numFmtId="1"/>
    <dataField name="Avg of total ratings" fld="7" subtotal="average" baseField="0" baseItem="0" numFmtId="1"/>
    <dataField name="Avg of 5 star ratings" fld="5" subtotal="average" baseField="0" baseItem="0" numFmtId="1"/>
    <dataField name="Avg of 1 star ratings" fld="6" subtotal="average" baseField="0" baseItem="0" numFmtId="1"/>
  </dataFields>
  <formats count="5">
    <format dxfId="101">
      <pivotArea field="0" type="button" dataOnly="0" labelOnly="1" outline="0" axis="axisPage" fieldPosition="0"/>
    </format>
    <format dxfId="102">
      <pivotArea dataOnly="0" outline="0" fieldPosition="0">
        <references count="1">
          <reference field="0" count="0"/>
        </references>
      </pivotArea>
    </format>
    <format dxfId="103">
      <pivotArea dataOnly="0" labelOnly="1" outline="0" fieldPosition="0">
        <references count="1">
          <reference field="0" count="0"/>
        </references>
      </pivotArea>
    </format>
    <format dxfId="104">
      <pivotArea field="0" type="button" dataOnly="0" labelOnly="1" outline="0" axis="axisPage" fieldPosition="0"/>
    </format>
    <format dxfId="105">
      <pivotArea dataOnly="0" labelOnly="1" outline="0" fieldPosition="0">
        <references count="1">
          <reference field="0" count="0"/>
        </references>
      </pivotArea>
    </format>
  </formats>
  <conditionalFormats count="4">
    <conditionalFormat priority="5">
      <pivotAreas count="1">
        <pivotArea type="data" collapsedLevelsAreSubtotals="1" fieldPosition="0">
          <references count="2">
            <reference field="4294967294" count="1" selected="0">
              <x v="0"/>
            </reference>
            <reference field="2" count="7">
              <x v="0"/>
              <x v="1"/>
              <x v="2"/>
              <x v="3"/>
              <x v="4"/>
              <x v="5"/>
              <x v="6"/>
            </reference>
          </references>
        </pivotArea>
      </pivotAreas>
    </conditionalFormat>
    <conditionalFormat priority="3">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priority="2">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1">
      <pivotAreas count="1">
        <pivotArea type="data" collapsedLevelsAreSubtotals="1" fieldPosition="0">
          <references count="2">
            <reference field="4294967294" count="2" selected="0">
              <x v="3"/>
              <x v="4"/>
            </reference>
            <reference field="2"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9494CA7F-12F1-1E46-9B5C-C42CB144777A}" sourceName="Months">
  <pivotTables>
    <pivotTable tabId="3" name="PivotTable1"/>
  </pivotTables>
  <data>
    <tabular pivotCacheId="1376519222">
      <items count="7">
        <i x="3" s="1"/>
        <i x="2"/>
        <i x="0"/>
        <i x="6"/>
        <i x="5"/>
        <i x="4"/>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47A9133E-7927-F643-880C-D90F2FD01C08}" cache="Slicer_Months" caption="Months" rowHeight="251883"/>
  <slicer name="Months 1" xr10:uid="{594B77D2-3D94-EE45-A275-79B60AA15CA0}" cache="Slicer_Months" caption="Month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52BC61-7E7D-E24A-8027-FAA30551E150}" name="Table1" displayName="Table1" ref="A1:H50" totalsRowShown="0" headerRowDxfId="109">
  <autoFilter ref="A1:H50" xr:uid="{1652BC61-7E7D-E24A-8027-FAA30551E150}"/>
  <sortState xmlns:xlrd2="http://schemas.microsoft.com/office/spreadsheetml/2017/richdata2" ref="A2:H50">
    <sortCondition ref="A2:A50"/>
  </sortState>
  <tableColumns count="8">
    <tableColumn id="1" xr3:uid="{C3998E73-1578-634A-9A73-484C07C5B97A}" name="Months" dataDxfId="106"/>
    <tableColumn id="8" xr3:uid="{45B81F1E-3586-BF4F-A95A-1941A97149B7}" name="Year" dataDxfId="107"/>
    <tableColumn id="2" xr3:uid="{E8E20D4C-F672-E049-AA26-5A63F6155B0B}" name="App" dataDxfId="108"/>
    <tableColumn id="3" xr3:uid="{1EFB20F5-90A0-1B45-90A6-79783D76777F}" name="Downloads"/>
    <tableColumn id="4" xr3:uid="{47B5385F-889F-4C49-B14F-F5BDB91CCDDE}" name="Uninstalls "/>
    <tableColumn id="5" xr3:uid="{F7DFC784-72DC-8441-87BA-0537D6259177}" name="5 star ratings"/>
    <tableColumn id="6" xr3:uid="{1788A439-5B53-6242-8A1F-6CC31D0614A6}" name="1 star ratings"/>
    <tableColumn id="7" xr3:uid="{CCC38F0B-EBE6-7949-B4EA-A46722AE0A1A}" name="total ratings"/>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154D75-7D23-204C-8A98-5F5734F567B3}" name="Table2" displayName="Table2" ref="J47:M54" headerRowDxfId="99">
  <autoFilter ref="J47:M54" xr:uid="{14154D75-7D23-204C-8A98-5F5734F567B3}"/>
  <tableColumns count="4">
    <tableColumn id="1" xr3:uid="{FD3B501C-D0D6-1D4C-9690-C930FAD68B7B}" name="Months" totalsRowLabel="Total" dataDxfId="100" totalsRowDxfId="98"/>
    <tableColumn id="2" xr3:uid="{DD355412-9674-1A43-B180-FEF10642DE85}" name="Total Uninstalls"/>
    <tableColumn id="3" xr3:uid="{C2BDCB79-E767-3545-A5ED-54CFD41AAB5D}" name="Total Downloads" totalsRowFunction="sum"/>
    <tableColumn id="4" xr3:uid="{B6F583D1-A1F1-0142-A2CE-35F9A75BE70F}" name="Uninstall Ratio" dataDxfId="97">
      <calculatedColumnFormula>Table2[[#This Row],[Total Uninstalls]]/Table2[[#This Row],[Total Downloads]]</calculatedColumnFormula>
    </tableColumn>
  </tableColumns>
  <tableStyleInfo name="TableStyleLight11"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6DE751C-C7D2-DA42-B08B-2C43874B9409}" name="Table5" displayName="Table5" ref="J61:K68" totalsRowShown="0">
  <autoFilter ref="J61:K68" xr:uid="{76DE751C-C7D2-DA42-B08B-2C43874B9409}"/>
  <tableColumns count="2">
    <tableColumn id="1" xr3:uid="{BA06FD9D-1F03-3E4A-99BA-E47906AC485F}" name="Months" dataDxfId="96"/>
    <tableColumn id="2" xr3:uid="{04C3B0E5-C534-874B-88D7-B1EB360C60AF}" name="Average Downloads" dataDxfId="95"/>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368BF-58F2-F642-B4A0-BB024A8E6509}">
  <dimension ref="A1:M114"/>
  <sheetViews>
    <sheetView showGridLines="0" tabSelected="1" zoomScale="94" workbookViewId="0">
      <selection activeCell="L108" sqref="L108"/>
    </sheetView>
  </sheetViews>
  <sheetFormatPr baseColWidth="10" defaultRowHeight="24" customHeight="1" x14ac:dyDescent="0.2"/>
  <cols>
    <col min="1" max="1" width="12.83203125" style="5" bestFit="1" customWidth="1"/>
    <col min="2" max="2" width="9.83203125" style="6" bestFit="1" customWidth="1"/>
    <col min="3" max="3" width="19.33203125" style="3" customWidth="1"/>
    <col min="4" max="4" width="12.6640625" customWidth="1"/>
    <col min="5" max="5" width="12.1640625" customWidth="1"/>
    <col min="6" max="7" width="14.33203125" customWidth="1"/>
    <col min="8" max="8" width="14.1640625" customWidth="1"/>
    <col min="10" max="10" width="12.1640625" style="7" bestFit="1" customWidth="1"/>
    <col min="11" max="11" width="36" customWidth="1"/>
    <col min="12" max="12" width="24" customWidth="1"/>
    <col min="13" max="13" width="18.33203125" bestFit="1" customWidth="1"/>
  </cols>
  <sheetData>
    <row r="1" spans="1:11" s="1" customFormat="1" ht="24" customHeight="1" x14ac:dyDescent="0.2">
      <c r="A1" s="4" t="s">
        <v>0</v>
      </c>
      <c r="B1" s="7" t="s">
        <v>36</v>
      </c>
      <c r="C1" s="2" t="s">
        <v>5</v>
      </c>
      <c r="D1" s="1" t="s">
        <v>1</v>
      </c>
      <c r="E1" s="1" t="s">
        <v>2</v>
      </c>
      <c r="F1" s="1" t="s">
        <v>4</v>
      </c>
      <c r="G1" s="1" t="s">
        <v>3</v>
      </c>
      <c r="H1" s="1" t="s">
        <v>55</v>
      </c>
      <c r="J1" s="7"/>
      <c r="K1" s="1" t="s">
        <v>14</v>
      </c>
    </row>
    <row r="2" spans="1:11" ht="24" customHeight="1" x14ac:dyDescent="0.2">
      <c r="A2" s="15">
        <v>44348</v>
      </c>
      <c r="B2" s="6">
        <v>2021</v>
      </c>
      <c r="C2" s="3" t="s">
        <v>12</v>
      </c>
      <c r="D2">
        <v>1837</v>
      </c>
      <c r="E2">
        <v>36</v>
      </c>
      <c r="F2">
        <v>111</v>
      </c>
      <c r="G2">
        <v>38</v>
      </c>
      <c r="H2">
        <v>879</v>
      </c>
      <c r="J2" s="7" t="s">
        <v>22</v>
      </c>
      <c r="K2" s="1" t="s">
        <v>45</v>
      </c>
    </row>
    <row r="3" spans="1:11" ht="24" customHeight="1" x14ac:dyDescent="0.2">
      <c r="A3" s="15">
        <v>44349</v>
      </c>
      <c r="B3" s="6">
        <v>2021</v>
      </c>
      <c r="C3" s="3" t="s">
        <v>10</v>
      </c>
      <c r="D3">
        <v>3499</v>
      </c>
      <c r="E3">
        <v>69</v>
      </c>
      <c r="F3">
        <v>91</v>
      </c>
      <c r="G3">
        <v>42</v>
      </c>
      <c r="H3">
        <v>785</v>
      </c>
    </row>
    <row r="4" spans="1:11" ht="24" customHeight="1" x14ac:dyDescent="0.2">
      <c r="A4" s="15">
        <v>44350</v>
      </c>
      <c r="B4" s="6">
        <v>2021</v>
      </c>
      <c r="C4" s="3" t="s">
        <v>9</v>
      </c>
      <c r="D4">
        <v>4373</v>
      </c>
      <c r="E4">
        <v>87</v>
      </c>
      <c r="F4">
        <v>86</v>
      </c>
      <c r="G4">
        <v>51</v>
      </c>
      <c r="H4">
        <v>808</v>
      </c>
      <c r="J4" s="7" t="s">
        <v>5</v>
      </c>
      <c r="K4" s="25" t="s">
        <v>46</v>
      </c>
    </row>
    <row r="5" spans="1:11" ht="24" customHeight="1" x14ac:dyDescent="0.2">
      <c r="A5" s="15">
        <v>44351</v>
      </c>
      <c r="B5" s="6">
        <v>2021</v>
      </c>
      <c r="C5" s="3" t="s">
        <v>8</v>
      </c>
      <c r="D5">
        <v>4681</v>
      </c>
      <c r="E5">
        <v>93</v>
      </c>
      <c r="F5">
        <v>99</v>
      </c>
      <c r="G5">
        <v>53</v>
      </c>
      <c r="H5">
        <v>897</v>
      </c>
    </row>
    <row r="6" spans="1:11" ht="24" customHeight="1" x14ac:dyDescent="0.2">
      <c r="A6" s="15">
        <v>44352</v>
      </c>
      <c r="B6" s="6">
        <v>2021</v>
      </c>
      <c r="C6" s="3" t="s">
        <v>11</v>
      </c>
      <c r="D6">
        <v>5649</v>
      </c>
      <c r="E6">
        <v>112</v>
      </c>
      <c r="F6">
        <v>78</v>
      </c>
      <c r="G6">
        <v>31</v>
      </c>
      <c r="H6">
        <v>643</v>
      </c>
      <c r="K6">
        <f>SUMIFS(Table1[Downloads], Table1[App], K4)</f>
        <v>43718</v>
      </c>
    </row>
    <row r="7" spans="1:11" ht="24" customHeight="1" x14ac:dyDescent="0.2">
      <c r="A7" s="15">
        <v>44353</v>
      </c>
      <c r="B7" s="6">
        <v>2021</v>
      </c>
      <c r="C7" s="3" t="s">
        <v>6</v>
      </c>
      <c r="D7">
        <v>7079</v>
      </c>
      <c r="E7">
        <v>141</v>
      </c>
      <c r="F7">
        <v>89</v>
      </c>
      <c r="G7">
        <v>60</v>
      </c>
      <c r="H7">
        <v>879</v>
      </c>
      <c r="K7">
        <f>SUMIF(Table1[App], "SUGAR RUSH", Table1[Downloads])</f>
        <v>43718</v>
      </c>
    </row>
    <row r="8" spans="1:11" ht="24" customHeight="1" x14ac:dyDescent="0.2">
      <c r="A8" s="15">
        <v>44354</v>
      </c>
      <c r="B8" s="6">
        <v>2021</v>
      </c>
      <c r="C8" s="3" t="s">
        <v>7</v>
      </c>
      <c r="D8">
        <v>7683</v>
      </c>
      <c r="E8">
        <v>153</v>
      </c>
      <c r="F8">
        <v>78</v>
      </c>
      <c r="G8">
        <v>41</v>
      </c>
      <c r="H8">
        <v>702</v>
      </c>
    </row>
    <row r="9" spans="1:11" ht="24" customHeight="1" x14ac:dyDescent="0.2">
      <c r="A9" s="15">
        <v>44378</v>
      </c>
      <c r="B9" s="6">
        <v>2021</v>
      </c>
      <c r="C9" s="3" t="s">
        <v>11</v>
      </c>
      <c r="D9">
        <v>4576</v>
      </c>
      <c r="E9">
        <v>91</v>
      </c>
      <c r="F9">
        <v>76</v>
      </c>
      <c r="G9">
        <v>39</v>
      </c>
      <c r="H9">
        <v>679</v>
      </c>
      <c r="J9" s="7" t="s">
        <v>23</v>
      </c>
      <c r="K9" s="1" t="s">
        <v>15</v>
      </c>
    </row>
    <row r="10" spans="1:11" ht="24" customHeight="1" x14ac:dyDescent="0.2">
      <c r="A10" s="15">
        <v>44379</v>
      </c>
      <c r="B10" s="6">
        <v>2021</v>
      </c>
      <c r="C10" s="3" t="s">
        <v>12</v>
      </c>
      <c r="D10">
        <v>5004</v>
      </c>
      <c r="E10">
        <v>100</v>
      </c>
      <c r="F10">
        <v>135</v>
      </c>
      <c r="G10">
        <v>50</v>
      </c>
      <c r="H10">
        <v>1092</v>
      </c>
    </row>
    <row r="11" spans="1:11" ht="24" customHeight="1" x14ac:dyDescent="0.2">
      <c r="A11" s="15">
        <v>44380</v>
      </c>
      <c r="B11" s="6">
        <v>2021</v>
      </c>
      <c r="C11" s="3" t="s">
        <v>10</v>
      </c>
      <c r="D11">
        <v>5702</v>
      </c>
      <c r="E11">
        <v>114</v>
      </c>
      <c r="F11">
        <v>87</v>
      </c>
      <c r="G11">
        <v>46</v>
      </c>
      <c r="H11">
        <v>785</v>
      </c>
      <c r="J11" s="7" t="s">
        <v>43</v>
      </c>
      <c r="K11" s="14" t="s">
        <v>47</v>
      </c>
    </row>
    <row r="12" spans="1:11" ht="24" customHeight="1" x14ac:dyDescent="0.2">
      <c r="A12" s="15">
        <v>44381</v>
      </c>
      <c r="B12" s="6">
        <v>2021</v>
      </c>
      <c r="C12" s="3" t="s">
        <v>9</v>
      </c>
      <c r="D12">
        <v>6806</v>
      </c>
      <c r="E12">
        <v>136</v>
      </c>
      <c r="F12">
        <v>83</v>
      </c>
      <c r="G12">
        <v>47</v>
      </c>
      <c r="H12">
        <v>684</v>
      </c>
      <c r="J12" s="7" t="s">
        <v>44</v>
      </c>
      <c r="K12">
        <f>SUMIFS(Table1[Downloads],Table1[App], K11)</f>
        <v>91536</v>
      </c>
    </row>
    <row r="13" spans="1:11" ht="24" customHeight="1" x14ac:dyDescent="0.2">
      <c r="A13" s="15">
        <v>44382</v>
      </c>
      <c r="B13" s="6">
        <v>2021</v>
      </c>
      <c r="C13" s="3" t="s">
        <v>8</v>
      </c>
      <c r="D13">
        <v>7066</v>
      </c>
      <c r="E13">
        <v>141</v>
      </c>
      <c r="F13">
        <v>64</v>
      </c>
      <c r="G13">
        <v>32</v>
      </c>
      <c r="H13">
        <v>566</v>
      </c>
      <c r="K13">
        <f>SUMIF(Table1[App], "c" &amp; "*", Table1[Downloads])</f>
        <v>91536</v>
      </c>
    </row>
    <row r="14" spans="1:11" ht="24" customHeight="1" x14ac:dyDescent="0.2">
      <c r="A14" s="15">
        <v>44383</v>
      </c>
      <c r="B14" s="6">
        <v>2021</v>
      </c>
      <c r="C14" s="3" t="s">
        <v>7</v>
      </c>
      <c r="D14">
        <v>7098</v>
      </c>
      <c r="E14">
        <v>141</v>
      </c>
      <c r="F14">
        <v>96</v>
      </c>
      <c r="G14">
        <v>35</v>
      </c>
      <c r="H14">
        <v>773</v>
      </c>
    </row>
    <row r="15" spans="1:11" ht="24" customHeight="1" x14ac:dyDescent="0.2">
      <c r="A15" s="15">
        <v>44384</v>
      </c>
      <c r="B15" s="6">
        <v>2021</v>
      </c>
      <c r="C15" s="3" t="s">
        <v>6</v>
      </c>
      <c r="D15">
        <v>8586</v>
      </c>
      <c r="E15">
        <v>171</v>
      </c>
      <c r="F15">
        <v>81</v>
      </c>
      <c r="G15">
        <v>52</v>
      </c>
      <c r="H15">
        <v>785</v>
      </c>
      <c r="J15" s="7" t="s">
        <v>24</v>
      </c>
      <c r="K15" s="1" t="s">
        <v>16</v>
      </c>
    </row>
    <row r="16" spans="1:11" ht="24" customHeight="1" x14ac:dyDescent="0.2">
      <c r="A16" s="15">
        <v>44429</v>
      </c>
      <c r="B16" s="6">
        <v>2021</v>
      </c>
      <c r="C16" s="3" t="s">
        <v>6</v>
      </c>
      <c r="D16">
        <v>4856</v>
      </c>
      <c r="E16">
        <v>97</v>
      </c>
      <c r="F16">
        <v>87</v>
      </c>
      <c r="G16">
        <v>25</v>
      </c>
      <c r="H16">
        <v>661</v>
      </c>
      <c r="K16" s="13"/>
    </row>
    <row r="17" spans="1:11" ht="24" customHeight="1" x14ac:dyDescent="0.2">
      <c r="A17" s="15">
        <v>44430</v>
      </c>
      <c r="B17" s="6">
        <v>2021</v>
      </c>
      <c r="C17" s="3" t="s">
        <v>9</v>
      </c>
      <c r="D17">
        <v>5233</v>
      </c>
      <c r="E17">
        <v>104</v>
      </c>
      <c r="F17">
        <v>78</v>
      </c>
      <c r="G17">
        <v>31</v>
      </c>
      <c r="H17">
        <v>643</v>
      </c>
      <c r="J17" s="7" t="s">
        <v>48</v>
      </c>
      <c r="K17" s="16">
        <v>44531</v>
      </c>
    </row>
    <row r="18" spans="1:11" ht="24" customHeight="1" x14ac:dyDescent="0.2">
      <c r="A18" s="15">
        <v>44431</v>
      </c>
      <c r="B18" s="6">
        <v>2021</v>
      </c>
      <c r="C18" s="3" t="s">
        <v>11</v>
      </c>
      <c r="D18">
        <v>5429</v>
      </c>
      <c r="E18">
        <v>108</v>
      </c>
      <c r="F18">
        <v>81</v>
      </c>
      <c r="G18">
        <v>35</v>
      </c>
      <c r="H18">
        <v>684</v>
      </c>
      <c r="J18" s="7" t="s">
        <v>49</v>
      </c>
      <c r="K18">
        <f>SUMIFS(Table1[[Uninstalls ]],Table1[Months], "&gt;=" &amp; K17, Table1[Months],"&lt;=" &amp; DATE(2021,12,31))</f>
        <v>783</v>
      </c>
    </row>
    <row r="19" spans="1:11" ht="24" customHeight="1" x14ac:dyDescent="0.2">
      <c r="A19" s="15">
        <v>44432</v>
      </c>
      <c r="B19" s="6">
        <v>2021</v>
      </c>
      <c r="C19" s="3" t="s">
        <v>10</v>
      </c>
      <c r="D19">
        <v>6782</v>
      </c>
      <c r="E19">
        <v>135</v>
      </c>
      <c r="F19">
        <v>70</v>
      </c>
      <c r="G19">
        <v>45</v>
      </c>
      <c r="H19">
        <v>679</v>
      </c>
      <c r="K19">
        <f>SUMIFS(Table1[[Uninstalls ]], Table1[Months], "&gt;=" &amp; DATE(2021,12,1), Table1[Months], "&lt;=" &amp; DATE(2021,12,31))</f>
        <v>783</v>
      </c>
    </row>
    <row r="20" spans="1:11" ht="24" customHeight="1" x14ac:dyDescent="0.2">
      <c r="A20" s="15">
        <v>44433</v>
      </c>
      <c r="B20" s="6">
        <v>2021</v>
      </c>
      <c r="C20" s="3" t="s">
        <v>12</v>
      </c>
      <c r="D20">
        <v>6825</v>
      </c>
      <c r="E20">
        <v>136</v>
      </c>
      <c r="F20">
        <v>122</v>
      </c>
      <c r="G20">
        <v>29</v>
      </c>
      <c r="H20">
        <v>891</v>
      </c>
    </row>
    <row r="21" spans="1:11" ht="24" customHeight="1" x14ac:dyDescent="0.2">
      <c r="A21" s="15">
        <v>44434</v>
      </c>
      <c r="B21" s="6">
        <v>2021</v>
      </c>
      <c r="C21" s="3" t="s">
        <v>8</v>
      </c>
      <c r="D21">
        <v>7909</v>
      </c>
      <c r="E21">
        <v>158</v>
      </c>
      <c r="F21">
        <v>137</v>
      </c>
      <c r="G21">
        <v>32</v>
      </c>
      <c r="H21">
        <v>997</v>
      </c>
    </row>
    <row r="22" spans="1:11" ht="24" customHeight="1" x14ac:dyDescent="0.2">
      <c r="A22" s="15">
        <v>44435</v>
      </c>
      <c r="B22" s="6">
        <v>2021</v>
      </c>
      <c r="C22" s="3" t="s">
        <v>7</v>
      </c>
      <c r="D22">
        <v>10028</v>
      </c>
      <c r="E22">
        <v>200</v>
      </c>
      <c r="F22">
        <v>124</v>
      </c>
      <c r="G22">
        <v>39</v>
      </c>
      <c r="H22">
        <v>962</v>
      </c>
      <c r="J22" s="7" t="s">
        <v>25</v>
      </c>
      <c r="K22" s="1" t="s">
        <v>17</v>
      </c>
    </row>
    <row r="23" spans="1:11" ht="24" customHeight="1" x14ac:dyDescent="0.2">
      <c r="A23" s="15">
        <v>44440</v>
      </c>
      <c r="B23" s="6">
        <v>2021</v>
      </c>
      <c r="C23" s="3" t="s">
        <v>11</v>
      </c>
      <c r="D23">
        <v>4879</v>
      </c>
      <c r="E23">
        <v>97</v>
      </c>
      <c r="F23">
        <v>126</v>
      </c>
      <c r="G23">
        <v>29</v>
      </c>
      <c r="H23">
        <v>915</v>
      </c>
    </row>
    <row r="24" spans="1:11" ht="24" customHeight="1" x14ac:dyDescent="0.2">
      <c r="A24" s="15">
        <v>44441</v>
      </c>
      <c r="B24" s="6">
        <v>2021</v>
      </c>
      <c r="C24" s="3" t="s">
        <v>7</v>
      </c>
      <c r="D24">
        <v>5735</v>
      </c>
      <c r="E24">
        <v>114</v>
      </c>
      <c r="F24">
        <v>77</v>
      </c>
      <c r="G24">
        <v>36</v>
      </c>
      <c r="H24">
        <v>667</v>
      </c>
      <c r="J24" s="7" t="s">
        <v>50</v>
      </c>
      <c r="K24" s="16">
        <v>44470</v>
      </c>
    </row>
    <row r="25" spans="1:11" ht="24" customHeight="1" x14ac:dyDescent="0.2">
      <c r="A25" s="15">
        <v>44442</v>
      </c>
      <c r="B25" s="6">
        <v>2021</v>
      </c>
      <c r="C25" s="3" t="s">
        <v>9</v>
      </c>
      <c r="D25">
        <v>6430</v>
      </c>
      <c r="E25">
        <v>128</v>
      </c>
      <c r="F25">
        <v>143</v>
      </c>
      <c r="G25">
        <v>49</v>
      </c>
      <c r="H25">
        <v>1133</v>
      </c>
      <c r="J25" s="7" t="s">
        <v>51</v>
      </c>
      <c r="K25" s="16">
        <v>44560</v>
      </c>
    </row>
    <row r="26" spans="1:11" ht="24" customHeight="1" x14ac:dyDescent="0.2">
      <c r="A26" s="15">
        <v>44443</v>
      </c>
      <c r="B26" s="6">
        <v>2021</v>
      </c>
      <c r="C26" s="3" t="s">
        <v>6</v>
      </c>
      <c r="D26">
        <v>7258</v>
      </c>
      <c r="E26">
        <v>145</v>
      </c>
      <c r="F26">
        <v>106</v>
      </c>
      <c r="G26">
        <v>38</v>
      </c>
      <c r="H26">
        <v>850</v>
      </c>
    </row>
    <row r="27" spans="1:11" ht="24" customHeight="1" x14ac:dyDescent="0.2">
      <c r="A27" s="15">
        <v>44444</v>
      </c>
      <c r="B27" s="6">
        <v>2021</v>
      </c>
      <c r="C27" s="3" t="s">
        <v>10</v>
      </c>
      <c r="D27">
        <v>7333</v>
      </c>
      <c r="E27">
        <v>146</v>
      </c>
      <c r="F27">
        <v>60</v>
      </c>
      <c r="G27">
        <v>60</v>
      </c>
      <c r="H27">
        <v>708</v>
      </c>
      <c r="K27">
        <f>SUMIFS(Table1[Downloads], Table1[Months], "&gt;=" &amp; K24, Table1[Months], "&lt;=" &amp; K25)</f>
        <v>122200</v>
      </c>
    </row>
    <row r="28" spans="1:11" ht="24" customHeight="1" x14ac:dyDescent="0.2">
      <c r="A28" s="15">
        <v>44445</v>
      </c>
      <c r="B28" s="6">
        <v>2021</v>
      </c>
      <c r="C28" s="3" t="s">
        <v>8</v>
      </c>
      <c r="D28">
        <v>7899</v>
      </c>
      <c r="E28">
        <v>157</v>
      </c>
      <c r="F28">
        <v>51</v>
      </c>
      <c r="G28">
        <v>49</v>
      </c>
      <c r="H28">
        <v>590</v>
      </c>
    </row>
    <row r="29" spans="1:11" ht="24" customHeight="1" x14ac:dyDescent="0.2">
      <c r="A29" s="15">
        <v>44446</v>
      </c>
      <c r="B29" s="6">
        <v>2021</v>
      </c>
      <c r="C29" s="3" t="s">
        <v>12</v>
      </c>
      <c r="D29">
        <v>8453</v>
      </c>
      <c r="E29">
        <v>169</v>
      </c>
      <c r="F29">
        <v>84</v>
      </c>
      <c r="G29">
        <v>36</v>
      </c>
      <c r="H29">
        <v>708</v>
      </c>
      <c r="J29" s="7" t="s">
        <v>26</v>
      </c>
      <c r="K29" s="1" t="s">
        <v>18</v>
      </c>
    </row>
    <row r="30" spans="1:11" ht="24" customHeight="1" x14ac:dyDescent="0.2">
      <c r="A30" s="15">
        <v>44470</v>
      </c>
      <c r="B30" s="6">
        <v>2021</v>
      </c>
      <c r="C30" s="3" t="s">
        <v>12</v>
      </c>
      <c r="D30">
        <v>4340</v>
      </c>
      <c r="E30">
        <v>86</v>
      </c>
      <c r="F30">
        <v>76</v>
      </c>
      <c r="G30">
        <v>30</v>
      </c>
      <c r="H30">
        <v>625</v>
      </c>
    </row>
    <row r="31" spans="1:11" ht="24" customHeight="1" x14ac:dyDescent="0.2">
      <c r="A31" s="15">
        <v>44470</v>
      </c>
      <c r="B31" s="6">
        <v>2021</v>
      </c>
      <c r="C31" s="3" t="s">
        <v>7</v>
      </c>
      <c r="D31">
        <v>4693</v>
      </c>
      <c r="E31">
        <v>93</v>
      </c>
      <c r="F31">
        <v>85</v>
      </c>
      <c r="G31">
        <v>46</v>
      </c>
      <c r="H31">
        <v>773</v>
      </c>
      <c r="K31">
        <f>COUNTIFS(Table1[Downloads], "&gt;" &amp; 8000)</f>
        <v>5</v>
      </c>
    </row>
    <row r="32" spans="1:11" ht="24" customHeight="1" x14ac:dyDescent="0.2">
      <c r="A32" s="15">
        <v>44470</v>
      </c>
      <c r="B32" s="6">
        <v>2021</v>
      </c>
      <c r="C32" s="3" t="s">
        <v>9</v>
      </c>
      <c r="D32">
        <v>4906</v>
      </c>
      <c r="E32">
        <v>98</v>
      </c>
      <c r="F32">
        <v>76</v>
      </c>
      <c r="G32">
        <v>47</v>
      </c>
      <c r="H32">
        <v>702</v>
      </c>
    </row>
    <row r="33" spans="1:13" ht="24" customHeight="1" x14ac:dyDescent="0.2">
      <c r="A33" s="15">
        <v>44470</v>
      </c>
      <c r="B33" s="6">
        <v>2021</v>
      </c>
      <c r="C33" s="3" t="s">
        <v>8</v>
      </c>
      <c r="D33">
        <v>5165</v>
      </c>
      <c r="E33">
        <v>103</v>
      </c>
      <c r="F33">
        <v>95</v>
      </c>
      <c r="G33">
        <v>40</v>
      </c>
      <c r="H33">
        <v>797</v>
      </c>
      <c r="J33" s="7" t="s">
        <v>27</v>
      </c>
      <c r="K33" s="1" t="s">
        <v>52</v>
      </c>
    </row>
    <row r="34" spans="1:13" ht="24" customHeight="1" x14ac:dyDescent="0.2">
      <c r="A34" s="15">
        <v>44470</v>
      </c>
      <c r="B34" s="6">
        <v>2021</v>
      </c>
      <c r="C34" s="3" t="s">
        <v>10</v>
      </c>
      <c r="D34">
        <v>6032</v>
      </c>
      <c r="E34">
        <v>120</v>
      </c>
      <c r="F34">
        <v>65</v>
      </c>
      <c r="G34">
        <v>47</v>
      </c>
      <c r="H34">
        <v>661</v>
      </c>
    </row>
    <row r="35" spans="1:13" ht="24" customHeight="1" x14ac:dyDescent="0.2">
      <c r="A35" s="15">
        <v>44470</v>
      </c>
      <c r="B35" s="6">
        <v>2021</v>
      </c>
      <c r="C35" s="3" t="s">
        <v>11</v>
      </c>
      <c r="D35">
        <v>7092</v>
      </c>
      <c r="E35">
        <v>141</v>
      </c>
      <c r="F35">
        <v>68</v>
      </c>
      <c r="G35">
        <v>32</v>
      </c>
      <c r="H35">
        <v>590</v>
      </c>
      <c r="J35" s="7" t="s">
        <v>5</v>
      </c>
      <c r="K35" s="14" t="s">
        <v>46</v>
      </c>
    </row>
    <row r="36" spans="1:13" ht="24" customHeight="1" x14ac:dyDescent="0.2">
      <c r="A36" s="15">
        <v>44470</v>
      </c>
      <c r="B36" s="6">
        <v>2021</v>
      </c>
      <c r="C36" s="3" t="s">
        <v>6</v>
      </c>
      <c r="D36">
        <v>8050</v>
      </c>
      <c r="E36">
        <v>161</v>
      </c>
      <c r="F36">
        <v>104</v>
      </c>
      <c r="G36">
        <v>32</v>
      </c>
      <c r="H36">
        <v>802</v>
      </c>
      <c r="J36" s="7" t="s">
        <v>53</v>
      </c>
      <c r="K36">
        <f>SUMIFS(Table1[5 star ratings],Table1[App], K35)</f>
        <v>587</v>
      </c>
    </row>
    <row r="37" spans="1:13" ht="24" customHeight="1" x14ac:dyDescent="0.2">
      <c r="A37" s="15">
        <v>44501</v>
      </c>
      <c r="B37" s="6">
        <v>2021</v>
      </c>
      <c r="C37" s="3" t="s">
        <v>11</v>
      </c>
      <c r="D37">
        <v>2849</v>
      </c>
      <c r="E37">
        <v>56</v>
      </c>
      <c r="F37">
        <v>92</v>
      </c>
      <c r="G37">
        <v>55</v>
      </c>
      <c r="H37">
        <v>867</v>
      </c>
      <c r="J37" s="7" t="s">
        <v>54</v>
      </c>
      <c r="K37">
        <f>SUMIFS(Table1[total ratings], Table1[App], K35)</f>
        <v>5353</v>
      </c>
    </row>
    <row r="38" spans="1:13" ht="24" customHeight="1" x14ac:dyDescent="0.2">
      <c r="A38" s="15">
        <v>44502</v>
      </c>
      <c r="B38" s="6">
        <v>2021</v>
      </c>
      <c r="C38" s="3" t="s">
        <v>12</v>
      </c>
      <c r="D38">
        <v>4389</v>
      </c>
      <c r="E38">
        <v>87</v>
      </c>
      <c r="F38">
        <v>80</v>
      </c>
      <c r="G38">
        <v>51</v>
      </c>
      <c r="H38">
        <v>773</v>
      </c>
      <c r="J38" s="7" t="s">
        <v>56</v>
      </c>
      <c r="K38" s="17">
        <f>K36/K37</f>
        <v>0.10965813562488325</v>
      </c>
    </row>
    <row r="39" spans="1:13" ht="24" customHeight="1" x14ac:dyDescent="0.2">
      <c r="A39" s="15">
        <v>44503</v>
      </c>
      <c r="B39" s="6">
        <v>2021</v>
      </c>
      <c r="C39" s="3" t="s">
        <v>7</v>
      </c>
      <c r="D39">
        <v>5520</v>
      </c>
      <c r="E39">
        <v>110</v>
      </c>
      <c r="F39">
        <v>97</v>
      </c>
      <c r="G39">
        <v>32</v>
      </c>
      <c r="H39">
        <v>761</v>
      </c>
    </row>
    <row r="40" spans="1:13" ht="24" customHeight="1" x14ac:dyDescent="0.2">
      <c r="A40" s="15">
        <v>44504</v>
      </c>
      <c r="B40" s="6">
        <v>2021</v>
      </c>
      <c r="C40" s="3" t="s">
        <v>8</v>
      </c>
      <c r="D40">
        <v>5651</v>
      </c>
      <c r="E40">
        <v>113</v>
      </c>
      <c r="F40">
        <v>81</v>
      </c>
      <c r="G40">
        <v>40</v>
      </c>
      <c r="H40">
        <v>714</v>
      </c>
    </row>
    <row r="41" spans="1:13" ht="24" customHeight="1" x14ac:dyDescent="0.2">
      <c r="A41" s="15">
        <v>44505</v>
      </c>
      <c r="B41" s="6">
        <v>2021</v>
      </c>
      <c r="C41" s="3" t="s">
        <v>10</v>
      </c>
      <c r="D41">
        <v>7488</v>
      </c>
      <c r="E41">
        <v>149</v>
      </c>
      <c r="F41">
        <v>82</v>
      </c>
      <c r="G41">
        <v>50</v>
      </c>
      <c r="H41">
        <v>779</v>
      </c>
      <c r="J41" s="7" t="s">
        <v>28</v>
      </c>
      <c r="K41" s="1" t="s">
        <v>57</v>
      </c>
    </row>
    <row r="42" spans="1:13" ht="24" customHeight="1" x14ac:dyDescent="0.2">
      <c r="A42" s="15">
        <v>44506</v>
      </c>
      <c r="B42" s="6">
        <v>2021</v>
      </c>
      <c r="C42" s="3" t="s">
        <v>6</v>
      </c>
      <c r="D42">
        <v>7500</v>
      </c>
      <c r="E42">
        <v>150</v>
      </c>
      <c r="F42">
        <v>81</v>
      </c>
      <c r="G42">
        <v>56</v>
      </c>
      <c r="H42">
        <v>808</v>
      </c>
      <c r="J42" s="7" t="s">
        <v>5</v>
      </c>
      <c r="K42" s="14" t="s">
        <v>58</v>
      </c>
    </row>
    <row r="43" spans="1:13" ht="24" customHeight="1" x14ac:dyDescent="0.2">
      <c r="A43" s="15">
        <v>44507</v>
      </c>
      <c r="B43" s="6">
        <v>2021</v>
      </c>
      <c r="C43" s="3" t="s">
        <v>9</v>
      </c>
      <c r="D43">
        <v>9195</v>
      </c>
      <c r="E43">
        <v>183</v>
      </c>
      <c r="F43">
        <v>117</v>
      </c>
      <c r="G43">
        <v>41</v>
      </c>
      <c r="H43">
        <v>932</v>
      </c>
      <c r="K43">
        <f>AVERAGEIFS(Table1[[Uninstalls ]], Table1[App], K42)</f>
        <v>104.71428571428571</v>
      </c>
    </row>
    <row r="44" spans="1:13" ht="24" customHeight="1" x14ac:dyDescent="0.2">
      <c r="A44" s="15">
        <v>44531</v>
      </c>
      <c r="B44" s="6">
        <v>2021</v>
      </c>
      <c r="C44" s="3" t="s">
        <v>6</v>
      </c>
      <c r="D44">
        <v>2297</v>
      </c>
      <c r="E44">
        <v>45</v>
      </c>
      <c r="F44">
        <v>76</v>
      </c>
      <c r="G44">
        <v>47</v>
      </c>
      <c r="H44">
        <v>726</v>
      </c>
    </row>
    <row r="45" spans="1:13" ht="24" customHeight="1" x14ac:dyDescent="0.2">
      <c r="A45" s="15">
        <v>44531</v>
      </c>
      <c r="B45" s="6">
        <v>2021</v>
      </c>
      <c r="C45" s="3" t="s">
        <v>9</v>
      </c>
      <c r="D45">
        <v>5132</v>
      </c>
      <c r="E45">
        <v>102</v>
      </c>
      <c r="F45">
        <v>75</v>
      </c>
      <c r="G45">
        <v>46</v>
      </c>
      <c r="H45">
        <v>714</v>
      </c>
      <c r="J45" s="7" t="s">
        <v>29</v>
      </c>
      <c r="K45" s="1" t="s">
        <v>64</v>
      </c>
    </row>
    <row r="46" spans="1:13" ht="24" customHeight="1" x14ac:dyDescent="0.2">
      <c r="A46" s="15">
        <v>44531</v>
      </c>
      <c r="B46" s="6">
        <v>2021</v>
      </c>
      <c r="C46" s="3" t="s">
        <v>7</v>
      </c>
      <c r="D46">
        <v>5153</v>
      </c>
      <c r="E46">
        <v>103</v>
      </c>
      <c r="F46">
        <v>76</v>
      </c>
      <c r="G46">
        <v>49</v>
      </c>
      <c r="H46">
        <v>738</v>
      </c>
    </row>
    <row r="47" spans="1:13" ht="24" customHeight="1" x14ac:dyDescent="0.2">
      <c r="A47" s="15">
        <v>44531</v>
      </c>
      <c r="B47" s="6">
        <v>2021</v>
      </c>
      <c r="C47" s="3" t="s">
        <v>12</v>
      </c>
      <c r="D47">
        <v>5694</v>
      </c>
      <c r="E47">
        <v>113</v>
      </c>
      <c r="F47">
        <v>56</v>
      </c>
      <c r="G47">
        <v>55</v>
      </c>
      <c r="H47">
        <v>655</v>
      </c>
      <c r="J47" s="7" t="s">
        <v>0</v>
      </c>
      <c r="K47" s="7" t="s">
        <v>59</v>
      </c>
      <c r="L47" s="7" t="s">
        <v>44</v>
      </c>
      <c r="M47" s="7" t="s">
        <v>61</v>
      </c>
    </row>
    <row r="48" spans="1:13" ht="24" customHeight="1" x14ac:dyDescent="0.2">
      <c r="A48" s="15">
        <v>44531</v>
      </c>
      <c r="B48" s="6">
        <v>2021</v>
      </c>
      <c r="C48" s="3" t="s">
        <v>11</v>
      </c>
      <c r="D48">
        <v>6420</v>
      </c>
      <c r="E48">
        <v>128</v>
      </c>
      <c r="F48">
        <v>77</v>
      </c>
      <c r="G48">
        <v>52</v>
      </c>
      <c r="H48">
        <v>761</v>
      </c>
      <c r="J48" s="18">
        <v>44348</v>
      </c>
      <c r="K48">
        <f>SUMIFS(Table1[[Uninstalls ]], Table1[Months], "&gt;=" &amp; J48, Table1[Months], "&lt;" &amp; DATE(2021,6,31))</f>
        <v>691</v>
      </c>
      <c r="L48">
        <f>SUMIFS(Table1[Downloads],Table1[Months],"&gt;="&amp;J48,Table1[Months], "&lt;=" &amp; DATE(2021,6,30))</f>
        <v>34801</v>
      </c>
      <c r="M48">
        <f>Table2[[#This Row],[Total Uninstalls]]/Table2[[#This Row],[Total Downloads]]</f>
        <v>1.9855751271515187E-2</v>
      </c>
    </row>
    <row r="49" spans="1:13" ht="24" customHeight="1" x14ac:dyDescent="0.2">
      <c r="A49" s="15">
        <v>44531</v>
      </c>
      <c r="B49" s="6">
        <v>2021</v>
      </c>
      <c r="C49" s="3" t="s">
        <v>10</v>
      </c>
      <c r="D49">
        <v>6882</v>
      </c>
      <c r="E49">
        <v>137</v>
      </c>
      <c r="F49">
        <v>132</v>
      </c>
      <c r="G49">
        <v>30</v>
      </c>
      <c r="H49">
        <v>956</v>
      </c>
      <c r="J49" s="18">
        <v>44378</v>
      </c>
      <c r="K49">
        <f>SUMIFS(Table1[[Uninstalls ]], Table1[Months], "&gt;=" &amp; J49, Table1[Months], "&lt;=" &amp; DATE(2021,7,31))</f>
        <v>894</v>
      </c>
      <c r="L49">
        <f>SUMIFS(Table1[Downloads],Table1[Months],"&gt;="&amp;J49,Table1[Months], "&lt;=" &amp; DATE(2021,7,31))</f>
        <v>44838</v>
      </c>
      <c r="M49">
        <f>Table2[[#This Row],[Total Uninstalls]]/Table2[[#This Row],[Total Downloads]]</f>
        <v>1.9938445068914758E-2</v>
      </c>
    </row>
    <row r="50" spans="1:13" ht="24" customHeight="1" x14ac:dyDescent="0.2">
      <c r="A50" s="15">
        <v>44531</v>
      </c>
      <c r="B50" s="6">
        <v>2021</v>
      </c>
      <c r="C50" s="3" t="s">
        <v>8</v>
      </c>
      <c r="D50">
        <v>7752</v>
      </c>
      <c r="E50">
        <v>155</v>
      </c>
      <c r="F50">
        <v>94</v>
      </c>
      <c r="G50">
        <v>39</v>
      </c>
      <c r="H50">
        <v>785</v>
      </c>
      <c r="J50" s="18">
        <v>44409</v>
      </c>
      <c r="K50">
        <f>SUMIFS(Table1[[Uninstalls ]], Table1[Months], "&gt;=" &amp; J50, Table1[Months], "&lt;=" &amp; DATE(2021,8,31))</f>
        <v>938</v>
      </c>
      <c r="L50">
        <f>SUMIFS(Table1[Downloads],Table1[Months],"&gt;="&amp;J50,Table1[Months], "&lt;=" &amp; DATE(2021,8,31))</f>
        <v>47062</v>
      </c>
      <c r="M50">
        <f>Table2[[#This Row],[Total Uninstalls]]/Table2[[#This Row],[Total Downloads]]</f>
        <v>1.9931154647061324E-2</v>
      </c>
    </row>
    <row r="51" spans="1:13" ht="24" customHeight="1" x14ac:dyDescent="0.2">
      <c r="J51" s="18">
        <v>44440</v>
      </c>
      <c r="K51">
        <f>SUMIFS(Table1[[Uninstalls ]], Table1[Months], "&gt;=" &amp; J51, Table1[Months], "&lt;=" &amp; DATE(2021,9,30))</f>
        <v>956</v>
      </c>
      <c r="L51">
        <f>SUMIFS(Table1[Downloads],Table1[Months],"&gt;="&amp;J51,Table1[Months], "&lt;=" &amp; DATE(2021,9,30))</f>
        <v>47987</v>
      </c>
      <c r="M51">
        <f>Table2[[#This Row],[Total Uninstalls]]/Table2[[#This Row],[Total Downloads]]</f>
        <v>1.9922062225185989E-2</v>
      </c>
    </row>
    <row r="52" spans="1:13" ht="24" customHeight="1" x14ac:dyDescent="0.2">
      <c r="J52" s="18">
        <v>44470</v>
      </c>
      <c r="K52">
        <f>SUMIFS(Table1[[Uninstalls ]], Table1[Months], "&gt;=" &amp; J52, Table1[Months], "&lt;=" &amp; DATE(2021,10,31))</f>
        <v>802</v>
      </c>
      <c r="L52">
        <f>SUMIFS(Table1[Downloads],Table1[Months],"&gt;="&amp;J52,Table1[Months], "&lt;=" &amp; DATE(2021,10,31))</f>
        <v>40278</v>
      </c>
      <c r="M52">
        <f>Table2[[#This Row],[Total Uninstalls]]/Table2[[#This Row],[Total Downloads]]</f>
        <v>1.9911614280748797E-2</v>
      </c>
    </row>
    <row r="53" spans="1:13" ht="24" customHeight="1" x14ac:dyDescent="0.2">
      <c r="J53" s="18">
        <v>44501</v>
      </c>
      <c r="K53">
        <f>SUMIFS(Table1[[Uninstalls ]], Table1[Months], "&gt;=" &amp; J53, Table1[Months], "&lt;=" &amp; DATE(2021,11,30))</f>
        <v>848</v>
      </c>
      <c r="L53">
        <f>SUMIFS(Table1[Downloads],Table1[Months],"&gt;="&amp;J53,Table1[Months], "&lt;=" &amp; DATE(2021,11,30))</f>
        <v>42592</v>
      </c>
      <c r="M53">
        <f>Table2[[#This Row],[Total Uninstalls]]/Table2[[#This Row],[Total Downloads]]</f>
        <v>1.9909842223891812E-2</v>
      </c>
    </row>
    <row r="54" spans="1:13" ht="24" customHeight="1" x14ac:dyDescent="0.2">
      <c r="J54" s="18">
        <v>44531</v>
      </c>
      <c r="K54">
        <f>SUMIFS(Table1[[Uninstalls ]], Table1[Months], "&gt;=" &amp; J54, Table1[Months], "&lt;=" &amp; DATE(2021,12,31))</f>
        <v>783</v>
      </c>
      <c r="L54">
        <f>SUMIFS(Table1[Downloads],Table1[Months],"&gt;="&amp;J54,Table1[Months], "&lt;=" &amp; DATE(2021,12,31))</f>
        <v>39330</v>
      </c>
      <c r="M54">
        <f>Table2[[#This Row],[Total Uninstalls]]/Table2[[#This Row],[Total Downloads]]</f>
        <v>1.9908466819221968E-2</v>
      </c>
    </row>
    <row r="56" spans="1:13" ht="24" customHeight="1" x14ac:dyDescent="0.2">
      <c r="L56" s="1" t="s">
        <v>62</v>
      </c>
      <c r="M56" s="1">
        <f>MAX(Table2[Uninstall Ratio])</f>
        <v>1.9938445068914758E-2</v>
      </c>
    </row>
    <row r="57" spans="1:13" ht="24" customHeight="1" x14ac:dyDescent="0.2">
      <c r="L57" s="1" t="s">
        <v>48</v>
      </c>
      <c r="M57" s="19">
        <f>_xlfn.XLOOKUP(M56,Table2[Uninstall Ratio],Table2[Months])</f>
        <v>44378</v>
      </c>
    </row>
    <row r="59" spans="1:13" ht="24" customHeight="1" x14ac:dyDescent="0.2">
      <c r="J59" s="7" t="s">
        <v>30</v>
      </c>
      <c r="K59" s="1" t="s">
        <v>19</v>
      </c>
    </row>
    <row r="61" spans="1:13" ht="24" customHeight="1" x14ac:dyDescent="0.2">
      <c r="J61" s="7" t="s">
        <v>0</v>
      </c>
      <c r="K61" s="7" t="s">
        <v>63</v>
      </c>
    </row>
    <row r="62" spans="1:13" ht="24" customHeight="1" x14ac:dyDescent="0.2">
      <c r="J62" s="18">
        <v>44348</v>
      </c>
      <c r="K62" s="20">
        <f>AVERAGEIFS(Table1[Downloads], Table1[Months], "&gt;=" &amp; J62, Table1[Months], "&lt;=" &amp; DATE(2021,6,30))</f>
        <v>4971.5714285714284</v>
      </c>
    </row>
    <row r="63" spans="1:13" ht="24" customHeight="1" x14ac:dyDescent="0.2">
      <c r="J63" s="18">
        <v>44378</v>
      </c>
      <c r="K63" s="20">
        <f>AVERAGEIFS(Table1[Downloads], Table1[Months], "&gt;=" &amp; J63, Table1[Months], "&lt;=" &amp; DATE(2021,7,31))</f>
        <v>6405.4285714285716</v>
      </c>
    </row>
    <row r="64" spans="1:13" ht="24" customHeight="1" x14ac:dyDescent="0.2">
      <c r="J64" s="18">
        <v>44409</v>
      </c>
      <c r="K64" s="20">
        <f>AVERAGEIFS(Table1[Downloads], Table1[Months], "&gt;=" &amp; J64, Table1[Months], "&lt;=" &amp; DATE(2021,8,31))</f>
        <v>6723.1428571428569</v>
      </c>
    </row>
    <row r="65" spans="10:13" ht="24" customHeight="1" x14ac:dyDescent="0.2">
      <c r="J65" s="18">
        <v>44440</v>
      </c>
      <c r="K65" s="20">
        <f>AVERAGEIFS(Table1[Downloads], Table1[Months], "&gt;=" &amp; J65, Table1[Months], "&lt;=" &amp; DATE(2021,9,30))</f>
        <v>6855.2857142857147</v>
      </c>
    </row>
    <row r="66" spans="10:13" ht="24" customHeight="1" x14ac:dyDescent="0.2">
      <c r="J66" s="18">
        <v>44470</v>
      </c>
      <c r="K66" s="20">
        <f>AVERAGEIFS(Table1[Downloads], Table1[Months], "&gt;=" &amp; J66, Table1[Months], "&lt;=" &amp; DATE(2021,10,31))</f>
        <v>5754</v>
      </c>
    </row>
    <row r="67" spans="10:13" ht="24" customHeight="1" x14ac:dyDescent="0.2">
      <c r="J67" s="18">
        <v>44501</v>
      </c>
      <c r="K67" s="20">
        <f>AVERAGEIFS(Table1[Downloads], Table1[Months], "&gt;=" &amp; J67, Table1[Months], "&lt;=" &amp; DATE(2021,11,30))</f>
        <v>6084.5714285714284</v>
      </c>
    </row>
    <row r="68" spans="10:13" ht="24" customHeight="1" x14ac:dyDescent="0.2">
      <c r="J68" s="18">
        <v>44531</v>
      </c>
      <c r="K68" s="20">
        <f>AVERAGEIFS(Table1[Downloads], Table1[Months], "&gt;=" &amp; J68, Table1[Months], "&lt;=" &amp; DATE(2021,12,31))</f>
        <v>5618.5714285714284</v>
      </c>
    </row>
    <row r="71" spans="10:13" ht="24" customHeight="1" x14ac:dyDescent="0.2">
      <c r="J71" s="7" t="s">
        <v>31</v>
      </c>
      <c r="K71" s="1" t="s">
        <v>65</v>
      </c>
    </row>
    <row r="73" spans="10:13" ht="24" customHeight="1" x14ac:dyDescent="0.2">
      <c r="J73" s="7" t="s">
        <v>66</v>
      </c>
      <c r="K73" s="11">
        <f>MAX(Table1[Downloads])</f>
        <v>10028</v>
      </c>
    </row>
    <row r="74" spans="10:13" ht="24" customHeight="1" x14ac:dyDescent="0.2">
      <c r="J74" s="18" t="s">
        <v>67</v>
      </c>
      <c r="K74" s="9">
        <f>LARGE(Table1[Downloads],2)</f>
        <v>9195</v>
      </c>
    </row>
    <row r="75" spans="10:13" ht="24" customHeight="1" x14ac:dyDescent="0.2">
      <c r="J75" s="18" t="s">
        <v>68</v>
      </c>
      <c r="K75" s="9">
        <f>LARGE(Table1[Downloads],3)</f>
        <v>8586</v>
      </c>
    </row>
    <row r="76" spans="10:13" ht="24" customHeight="1" x14ac:dyDescent="0.2">
      <c r="J76" s="18"/>
      <c r="K76" s="20"/>
    </row>
    <row r="77" spans="10:13" ht="24" customHeight="1" x14ac:dyDescent="0.2">
      <c r="J77" s="18"/>
      <c r="K77" s="20"/>
    </row>
    <row r="78" spans="10:13" ht="24" customHeight="1" x14ac:dyDescent="0.2">
      <c r="J78" s="7" t="s">
        <v>32</v>
      </c>
      <c r="K78" s="1" t="s">
        <v>20</v>
      </c>
    </row>
    <row r="79" spans="10:13" ht="24" customHeight="1" x14ac:dyDescent="0.2">
      <c r="J79" s="18"/>
      <c r="K79" s="20"/>
      <c r="L79" s="7" t="s">
        <v>69</v>
      </c>
      <c r="M79" s="7" t="s">
        <v>48</v>
      </c>
    </row>
    <row r="80" spans="10:13" ht="24" customHeight="1" x14ac:dyDescent="0.2">
      <c r="J80" s="7" t="s">
        <v>66</v>
      </c>
      <c r="K80" s="11">
        <f>MAX(Table1[Downloads])</f>
        <v>10028</v>
      </c>
      <c r="L80" s="22" t="str">
        <f>INDEX(Table1[App],MATCH(K80,Table1[Downloads],))</f>
        <v>Chocolate Crossing</v>
      </c>
      <c r="M80" s="21">
        <f>_xlfn.XLOOKUP(K80,Table1[Downloads],Table1[Months])</f>
        <v>44435</v>
      </c>
    </row>
    <row r="81" spans="10:13" ht="24" customHeight="1" x14ac:dyDescent="0.2">
      <c r="J81" s="18" t="s">
        <v>67</v>
      </c>
      <c r="K81" s="9">
        <f>LARGE(Table1[Downloads],2)</f>
        <v>9195</v>
      </c>
      <c r="L81" s="22" t="str">
        <f>INDEX(Table1[App],MATCH(K81,Table1[Downloads],0))</f>
        <v>Where is my Coco?</v>
      </c>
      <c r="M81" s="21">
        <f>_xlfn.XLOOKUP(K81,Table1[Downloads],Table1[Months])</f>
        <v>44507</v>
      </c>
    </row>
    <row r="82" spans="10:13" ht="24" customHeight="1" x14ac:dyDescent="0.2">
      <c r="J82" s="18" t="s">
        <v>68</v>
      </c>
      <c r="K82" s="9">
        <f>LARGE(Table1[Downloads],3)</f>
        <v>8586</v>
      </c>
      <c r="L82" s="22" t="str">
        <f>INDEX(Table1[App],MATCH(K82,Table1[Downloads],0))</f>
        <v>Crushed by Candies</v>
      </c>
      <c r="M82" s="21">
        <f>_xlfn.XLOOKUP(K82,Table1[Downloads],Table1[Months])</f>
        <v>44384</v>
      </c>
    </row>
    <row r="83" spans="10:13" ht="24" customHeight="1" x14ac:dyDescent="0.2">
      <c r="J83" s="18"/>
      <c r="K83" s="20"/>
    </row>
    <row r="85" spans="10:13" ht="24" customHeight="1" x14ac:dyDescent="0.2">
      <c r="J85" s="7" t="s">
        <v>33</v>
      </c>
      <c r="K85" s="1" t="s">
        <v>71</v>
      </c>
    </row>
    <row r="87" spans="10:13" ht="24" customHeight="1" x14ac:dyDescent="0.2">
      <c r="J87" s="7" t="s">
        <v>48</v>
      </c>
      <c r="K87" s="16">
        <v>44470</v>
      </c>
      <c r="L87" s="16">
        <v>44531</v>
      </c>
    </row>
    <row r="88" spans="10:13" ht="24" customHeight="1" x14ac:dyDescent="0.2">
      <c r="J88" s="7" t="s">
        <v>70</v>
      </c>
      <c r="K88">
        <f>_xlfn.MAXIFS(Table1[1 star ratings], Table1[Months], "&gt;=" &amp; K87, Table1[Months], "&lt;=" &amp; DATE(2021,10,31))</f>
        <v>47</v>
      </c>
      <c r="L88">
        <f>_xlfn.MAXIFS(Table1[1 star ratings], Table1[Months], "&gt;=" &amp; L87, Table1[Months], "&lt;=" &amp; DATE(2021,12,31))</f>
        <v>55</v>
      </c>
    </row>
    <row r="89" spans="10:13" ht="24" customHeight="1" x14ac:dyDescent="0.2">
      <c r="J89" s="7" t="s">
        <v>69</v>
      </c>
      <c r="K89" s="22" t="str" cm="1">
        <f t="array" ref="K89:K90">_xlfn._xlws.FILTER(Table1[App],(Table1[Months]=K87)*(Table1[1 star ratings]=K88))</f>
        <v>Where is my Coco?</v>
      </c>
      <c r="L89" s="22" t="str" cm="1">
        <f t="array" ref="L89">_xlfn._xlws.FILTER(Table1[App],(Table1[Months]=L87)*(Table1[1 star ratings]=L88))</f>
        <v>Temple Bun</v>
      </c>
    </row>
    <row r="90" spans="10:13" ht="24" customHeight="1" x14ac:dyDescent="0.2">
      <c r="K90" s="22" t="str">
        <v>Sugar Rush</v>
      </c>
      <c r="L90" s="22"/>
    </row>
    <row r="93" spans="10:13" ht="24" customHeight="1" x14ac:dyDescent="0.2">
      <c r="J93" s="7" t="s">
        <v>34</v>
      </c>
      <c r="K93" s="1" t="s">
        <v>74</v>
      </c>
    </row>
    <row r="95" spans="10:13" ht="24" customHeight="1" x14ac:dyDescent="0.2">
      <c r="J95" s="7" t="s">
        <v>72</v>
      </c>
      <c r="K95" s="7" t="s">
        <v>73</v>
      </c>
      <c r="L95" s="1" t="s">
        <v>48</v>
      </c>
    </row>
    <row r="96" spans="10:13" ht="24" customHeight="1" x14ac:dyDescent="0.2">
      <c r="J96" s="13" t="s">
        <v>12</v>
      </c>
      <c r="K96" s="11">
        <f>_xlfn.MAXIFS(Table1[Downloads],Table1[App], J96)</f>
        <v>8453</v>
      </c>
      <c r="L96" s="21" cm="1">
        <f t="array" ref="L96">_xlfn._xlws.FILTER(Table1[Months], Table1[Downloads]=K96)</f>
        <v>44446</v>
      </c>
      <c r="M96" s="23">
        <f>_xlfn.XLOOKUP(K96,Table1[Downloads],Table1[Months])</f>
        <v>44446</v>
      </c>
    </row>
    <row r="97" spans="10:13" ht="24" customHeight="1" x14ac:dyDescent="0.2">
      <c r="J97" s="13" t="s">
        <v>10</v>
      </c>
      <c r="K97" s="11">
        <f>_xlfn.MAXIFS(Table1[Downloads],Table1[App], J97)</f>
        <v>7488</v>
      </c>
      <c r="L97" s="21" cm="1">
        <f t="array" ref="L97">_xlfn._xlws.FILTER(Table1[Months], Table1[Downloads] = K97)</f>
        <v>44505</v>
      </c>
      <c r="M97" s="23">
        <f>_xlfn.XLOOKUP(K97,Table1[Downloads], Table1[Months])</f>
        <v>44505</v>
      </c>
    </row>
    <row r="98" spans="10:13" ht="24" customHeight="1" x14ac:dyDescent="0.2">
      <c r="J98" s="13" t="s">
        <v>9</v>
      </c>
      <c r="K98" s="11">
        <f>_xlfn.MAXIFS(Table1[Downloads],Table1[App], J98)</f>
        <v>9195</v>
      </c>
      <c r="L98" s="21" cm="1">
        <f t="array" ref="L98">_xlfn._xlws.FILTER(Table1[Months], Table1[Downloads] = K98)</f>
        <v>44507</v>
      </c>
      <c r="M98" s="23">
        <f>_xlfn.XLOOKUP(K98,Table1[Downloads], Table1[Months])</f>
        <v>44507</v>
      </c>
    </row>
    <row r="99" spans="10:13" ht="24" customHeight="1" x14ac:dyDescent="0.2">
      <c r="J99" s="13" t="s">
        <v>8</v>
      </c>
      <c r="K99" s="11">
        <f>_xlfn.MAXIFS(Table1[Downloads],Table1[App], J99)</f>
        <v>7909</v>
      </c>
      <c r="L99" s="21" cm="1">
        <f t="array" ref="L99">_xlfn._xlws.FILTER(Table1[Months], Table1[Downloads] = K99)</f>
        <v>44434</v>
      </c>
      <c r="M99" s="23">
        <f>_xlfn.XLOOKUP(K99,Table1[Downloads], Table1[Months])</f>
        <v>44434</v>
      </c>
    </row>
    <row r="100" spans="10:13" ht="24" customHeight="1" x14ac:dyDescent="0.2">
      <c r="J100" s="13" t="s">
        <v>11</v>
      </c>
      <c r="K100" s="11">
        <f>_xlfn.MAXIFS(Table1[Downloads],Table1[App], J100)</f>
        <v>7092</v>
      </c>
      <c r="L100" s="21" cm="1">
        <f t="array" ref="L100">_xlfn._xlws.FILTER(Table1[Months], Table1[Downloads] = K100)</f>
        <v>44470</v>
      </c>
      <c r="M100" s="23">
        <f>_xlfn.XLOOKUP(K100,Table1[Downloads], Table1[Months])</f>
        <v>44470</v>
      </c>
    </row>
    <row r="101" spans="10:13" ht="24" customHeight="1" x14ac:dyDescent="0.2">
      <c r="J101" s="13" t="s">
        <v>6</v>
      </c>
      <c r="K101" s="11">
        <f>_xlfn.MAXIFS(Table1[Downloads],Table1[App], J101)</f>
        <v>8586</v>
      </c>
      <c r="L101" s="21" cm="1">
        <f t="array" ref="L101">_xlfn._xlws.FILTER(Table1[Months], Table1[Downloads] = K101)</f>
        <v>44384</v>
      </c>
      <c r="M101" s="23">
        <f>_xlfn.XLOOKUP(K101,Table1[Downloads],Table1[Months])</f>
        <v>44384</v>
      </c>
    </row>
    <row r="102" spans="10:13" ht="24" customHeight="1" x14ac:dyDescent="0.2">
      <c r="J102" s="13" t="s">
        <v>7</v>
      </c>
      <c r="K102" s="11">
        <f>_xlfn.MAXIFS(Table1[Downloads],Table1[App], J102)</f>
        <v>10028</v>
      </c>
      <c r="L102" s="21" cm="1">
        <f t="array" ref="L102">_xlfn._xlws.FILTER(Table1[Months], Table1[Downloads] = K102)</f>
        <v>44435</v>
      </c>
      <c r="M102" s="23">
        <f>_xlfn.XLOOKUP(K102,Table1[Downloads],Table1[Months])</f>
        <v>44435</v>
      </c>
    </row>
    <row r="105" spans="10:13" ht="24" customHeight="1" x14ac:dyDescent="0.2">
      <c r="J105" s="7" t="s">
        <v>35</v>
      </c>
      <c r="K105" s="1" t="s">
        <v>21</v>
      </c>
    </row>
    <row r="107" spans="10:13" ht="24" customHeight="1" x14ac:dyDescent="0.2">
      <c r="J107" s="7" t="s">
        <v>0</v>
      </c>
      <c r="K107" s="7" t="s">
        <v>75</v>
      </c>
      <c r="L107" s="7" t="s">
        <v>69</v>
      </c>
    </row>
    <row r="108" spans="10:13" ht="24" customHeight="1" x14ac:dyDescent="0.2">
      <c r="J108" s="24">
        <v>44348</v>
      </c>
      <c r="K108">
        <f>_xlfn.MINIFS(Table1[Downloads],Table1[Months],"&gt;=" &amp; J108,Table1[Months],"&lt;=" &amp; DATE(2021,6,30))</f>
        <v>1837</v>
      </c>
      <c r="L108" s="22" t="str" cm="1">
        <f t="array" ref="L108">_xlfn._xlws.FILTER(Table1[App], (Table1[Months]&gt;=J108)*(Table1[Downloads]=K108))</f>
        <v>Temple Bun</v>
      </c>
    </row>
    <row r="109" spans="10:13" ht="24" customHeight="1" x14ac:dyDescent="0.2">
      <c r="J109" s="24">
        <v>44378</v>
      </c>
      <c r="K109">
        <f>_xlfn.MINIFS(Table1[Downloads],Table1[Months], "&gt;=" &amp; J109, Table1[Months], "&lt;=" &amp; DATE(2021,7,31))</f>
        <v>4576</v>
      </c>
      <c r="L109" s="22" t="str" cm="1">
        <f t="array" ref="L109">_xlfn._xlws.FILTER(Table1[App],(Table1[Months]&gt;=J109)*(Table1[Downloads]=K109))</f>
        <v>Subway Wafers</v>
      </c>
    </row>
    <row r="110" spans="10:13" ht="24" customHeight="1" x14ac:dyDescent="0.2">
      <c r="J110" s="24">
        <v>44409</v>
      </c>
      <c r="K110">
        <f>_xlfn.MINIFS(Table1[Downloads],Table1[Months], "&gt;=" &amp; J110, Table1[Months], "&lt;=" &amp; DATE(2021,8,31))</f>
        <v>4856</v>
      </c>
      <c r="L110" s="22" t="str" cm="1">
        <f t="array" ref="L110">_xlfn._xlws.FILTER(Table1[App],(Table1[Months]&gt;=J110)*(Table1[Downloads]=K110))</f>
        <v>Crushed by Candies</v>
      </c>
    </row>
    <row r="111" spans="10:13" ht="24" customHeight="1" x14ac:dyDescent="0.2">
      <c r="J111" s="24">
        <v>44440</v>
      </c>
      <c r="K111">
        <f>_xlfn.MINIFS(Table1[Downloads],Table1[Months], "&gt;=" &amp; J111, Table1[Months], "&lt;=" &amp; DATE(2021,9,30))</f>
        <v>4879</v>
      </c>
      <c r="L111" s="22" t="str" cm="1">
        <f t="array" ref="L111">_xlfn._xlws.FILTER(Table1[App],(Table1[Months]&gt;=J111)*(Table1[Downloads]=K111))</f>
        <v>Subway Wafers</v>
      </c>
    </row>
    <row r="112" spans="10:13" ht="24" customHeight="1" x14ac:dyDescent="0.2">
      <c r="J112" s="24">
        <v>44470</v>
      </c>
      <c r="K112">
        <f>_xlfn.MINIFS(Table1[Downloads],Table1[Months], "&gt;=" &amp; J112, Table1[Months], "&lt;=" &amp; DATE(2021,10,31))</f>
        <v>4340</v>
      </c>
      <c r="L112" s="22" t="str" cm="1">
        <f t="array" ref="L112">_xlfn._xlws.FILTER(Table1[App],(Table1[Months]&gt;=J112)*(Table1[Downloads]=K112))</f>
        <v>Temple Bun</v>
      </c>
    </row>
    <row r="113" spans="10:12" ht="24" customHeight="1" x14ac:dyDescent="0.2">
      <c r="J113" s="24">
        <v>44501</v>
      </c>
      <c r="K113">
        <f>_xlfn.MINIFS(Table1[Downloads],Table1[Months], "&gt;=" &amp; J113, Table1[Months], "&lt;=" &amp; DATE(2021,11,30))</f>
        <v>2849</v>
      </c>
      <c r="L113" s="22" t="str" cm="1">
        <f t="array" ref="L113">_xlfn._xlws.FILTER(Table1[App],(Table1[Months]&gt;=J113)*(Table1[Downloads]=K113))</f>
        <v>Subway Wafers</v>
      </c>
    </row>
    <row r="114" spans="10:12" ht="24" customHeight="1" x14ac:dyDescent="0.2">
      <c r="J114" s="24">
        <v>44531</v>
      </c>
      <c r="K114">
        <f>_xlfn.MINIFS(Table1[Downloads],Table1[Months], "&gt;=" &amp; J114, Table1[Months], "&lt;=" &amp; DATE(2021,12,31))</f>
        <v>2297</v>
      </c>
      <c r="L114" s="22" t="str" cm="1">
        <f t="array" ref="L114">_xlfn._xlws.FILTER(Table1[App],(Table1[Months]&gt;=J114)*(Table1[Downloads]=K114))</f>
        <v>Crushed by Candies</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A903-B393-3B43-947C-25C66A7DC88D}">
  <sheetPr>
    <tabColor rgb="FFFF0000"/>
  </sheetPr>
  <dimension ref="C8:H18"/>
  <sheetViews>
    <sheetView showGridLines="0" workbookViewId="0">
      <selection activeCell="C26" sqref="C26"/>
    </sheetView>
  </sheetViews>
  <sheetFormatPr baseColWidth="10" defaultRowHeight="16" x14ac:dyDescent="0.2"/>
  <cols>
    <col min="1" max="1" width="19.83203125" customWidth="1"/>
    <col min="2" max="2" width="17.5" customWidth="1"/>
    <col min="3" max="3" width="17" bestFit="1" customWidth="1"/>
    <col min="4" max="4" width="16.33203125" bestFit="1" customWidth="1"/>
    <col min="5" max="5" width="15.6640625" bestFit="1" customWidth="1"/>
    <col min="6" max="6" width="17.1640625" bestFit="1" customWidth="1"/>
    <col min="7" max="8" width="18" bestFit="1" customWidth="1"/>
  </cols>
  <sheetData>
    <row r="8" spans="3:8" x14ac:dyDescent="0.2">
      <c r="C8" s="10" t="s">
        <v>0</v>
      </c>
      <c r="D8" s="1" t="s">
        <v>13</v>
      </c>
    </row>
    <row r="10" spans="3:8" x14ac:dyDescent="0.2">
      <c r="C10" s="8" t="s">
        <v>37</v>
      </c>
      <c r="D10" t="s">
        <v>42</v>
      </c>
      <c r="E10" t="s">
        <v>41</v>
      </c>
      <c r="F10" t="s">
        <v>60</v>
      </c>
      <c r="G10" t="s">
        <v>40</v>
      </c>
      <c r="H10" t="s">
        <v>39</v>
      </c>
    </row>
    <row r="11" spans="3:8" x14ac:dyDescent="0.2">
      <c r="C11" s="3" t="s">
        <v>8</v>
      </c>
      <c r="D11" s="12">
        <v>4681</v>
      </c>
      <c r="E11" s="12">
        <v>93</v>
      </c>
      <c r="F11" s="12">
        <v>897</v>
      </c>
      <c r="G11" s="12">
        <v>99</v>
      </c>
      <c r="H11" s="12">
        <v>53</v>
      </c>
    </row>
    <row r="12" spans="3:8" x14ac:dyDescent="0.2">
      <c r="C12" s="3" t="s">
        <v>7</v>
      </c>
      <c r="D12" s="12">
        <v>7683</v>
      </c>
      <c r="E12" s="12">
        <v>153</v>
      </c>
      <c r="F12" s="12">
        <v>702</v>
      </c>
      <c r="G12" s="12">
        <v>78</v>
      </c>
      <c r="H12" s="12">
        <v>41</v>
      </c>
    </row>
    <row r="13" spans="3:8" x14ac:dyDescent="0.2">
      <c r="C13" s="3" t="s">
        <v>6</v>
      </c>
      <c r="D13" s="12">
        <v>7079</v>
      </c>
      <c r="E13" s="12">
        <v>141</v>
      </c>
      <c r="F13" s="12">
        <v>879</v>
      </c>
      <c r="G13" s="12">
        <v>89</v>
      </c>
      <c r="H13" s="12">
        <v>60</v>
      </c>
    </row>
    <row r="14" spans="3:8" x14ac:dyDescent="0.2">
      <c r="C14" s="3" t="s">
        <v>11</v>
      </c>
      <c r="D14" s="12">
        <v>5649</v>
      </c>
      <c r="E14" s="12">
        <v>112</v>
      </c>
      <c r="F14" s="12">
        <v>643</v>
      </c>
      <c r="G14" s="12">
        <v>78</v>
      </c>
      <c r="H14" s="12">
        <v>31</v>
      </c>
    </row>
    <row r="15" spans="3:8" x14ac:dyDescent="0.2">
      <c r="C15" s="3" t="s">
        <v>10</v>
      </c>
      <c r="D15" s="12">
        <v>3499</v>
      </c>
      <c r="E15" s="12">
        <v>69</v>
      </c>
      <c r="F15" s="12">
        <v>785</v>
      </c>
      <c r="G15" s="12">
        <v>91</v>
      </c>
      <c r="H15" s="12">
        <v>42</v>
      </c>
    </row>
    <row r="16" spans="3:8" x14ac:dyDescent="0.2">
      <c r="C16" s="3" t="s">
        <v>12</v>
      </c>
      <c r="D16" s="12">
        <v>1837</v>
      </c>
      <c r="E16" s="12">
        <v>36</v>
      </c>
      <c r="F16" s="12">
        <v>879</v>
      </c>
      <c r="G16" s="12">
        <v>111</v>
      </c>
      <c r="H16" s="12">
        <v>38</v>
      </c>
    </row>
    <row r="17" spans="3:8" x14ac:dyDescent="0.2">
      <c r="C17" s="3" t="s">
        <v>9</v>
      </c>
      <c r="D17" s="12">
        <v>4373</v>
      </c>
      <c r="E17" s="12">
        <v>87</v>
      </c>
      <c r="F17" s="12">
        <v>808</v>
      </c>
      <c r="G17" s="12">
        <v>86</v>
      </c>
      <c r="H17" s="12">
        <v>51</v>
      </c>
    </row>
    <row r="18" spans="3:8" x14ac:dyDescent="0.2">
      <c r="C18" s="3" t="s">
        <v>38</v>
      </c>
      <c r="D18" s="12">
        <v>4971.5714285714284</v>
      </c>
      <c r="E18" s="12">
        <v>98.714285714285708</v>
      </c>
      <c r="F18" s="12">
        <v>799</v>
      </c>
      <c r="G18" s="12">
        <v>90.285714285714292</v>
      </c>
      <c r="H18" s="12">
        <v>45.142857142857146</v>
      </c>
    </row>
  </sheetData>
  <conditionalFormatting pivot="1" sqref="D11:D17">
    <cfRule type="dataBar" priority="5">
      <dataBar>
        <cfvo type="min"/>
        <cfvo type="max"/>
        <color rgb="FF008AEF"/>
      </dataBar>
      <extLst>
        <ext xmlns:x14="http://schemas.microsoft.com/office/spreadsheetml/2009/9/main" uri="{B025F937-C7B1-47D3-B67F-A62EFF666E3E}">
          <x14:id>{8587D1A0-B78D-4E4D-B2F4-B08703360B4A}</x14:id>
        </ext>
      </extLst>
    </cfRule>
  </conditionalFormatting>
  <conditionalFormatting pivot="1" sqref="E11:E17">
    <cfRule type="colorScale" priority="3">
      <colorScale>
        <cfvo type="min"/>
        <cfvo type="percentile" val="50"/>
        <cfvo type="max"/>
        <color rgb="FFF8696B"/>
        <color rgb="FFFCFCFF"/>
        <color rgb="FF5A8AC6"/>
      </colorScale>
    </cfRule>
  </conditionalFormatting>
  <conditionalFormatting pivot="1" sqref="F11:F17">
    <cfRule type="colorScale" priority="2">
      <colorScale>
        <cfvo type="min"/>
        <cfvo type="percentile" val="50"/>
        <cfvo type="max"/>
        <color rgb="FFF8696B"/>
        <color rgb="FFFCFCFF"/>
        <color rgb="FF5A8AC6"/>
      </colorScale>
    </cfRule>
  </conditionalFormatting>
  <conditionalFormatting pivot="1" sqref="G11:H17">
    <cfRule type="colorScale" priority="1">
      <colorScale>
        <cfvo type="min"/>
        <cfvo type="percentile" val="50"/>
        <cfvo type="max"/>
        <color rgb="FFF8696B"/>
        <color rgb="FFFCFCFF"/>
        <color rgb="FF5A8AC6"/>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587D1A0-B78D-4E4D-B2F4-B08703360B4A}">
            <x14:dataBar minLength="0" maxLength="100" border="1" negativeBarBorderColorSameAsPositive="0">
              <x14:cfvo type="autoMin"/>
              <x14:cfvo type="autoMax"/>
              <x14:borderColor rgb="FF008AEF"/>
              <x14:negativeFillColor rgb="FFFF0000"/>
              <x14:negativeBorderColor rgb="FFFF0000"/>
              <x14:axisColor rgb="FF000000"/>
            </x14:dataBar>
          </x14:cfRule>
          <xm:sqref>D11:D17</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2023-12-13T17:21:26Z</dcterms:created>
  <dcterms:modified xsi:type="dcterms:W3CDTF">2024-01-03T12:45:54Z</dcterms:modified>
</cp:coreProperties>
</file>