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Projeção Fluxo de Caixa 2018\"/>
    </mc:Choice>
  </mc:AlternateContent>
  <bookViews>
    <workbookView xWindow="0" yWindow="0" windowWidth="20490" windowHeight="7530" activeTab="2"/>
  </bookViews>
  <sheets>
    <sheet name="DRE-H-Contábil-R$" sheetId="1" r:id="rId1"/>
    <sheet name="DRE - H-Contabil" sheetId="2" r:id="rId2"/>
    <sheet name="Acum-Contabil-15x16x17xH18" sheetId="3" r:id="rId3"/>
  </sheets>
  <definedNames>
    <definedName name="\a" localSheetId="2">#REF!</definedName>
    <definedName name="\a">#REF!</definedName>
    <definedName name="\b" localSheetId="2">#REF!</definedName>
    <definedName name="\b">#REF!</definedName>
    <definedName name="\c" localSheetId="2">#REF!</definedName>
    <definedName name="\c">#REF!</definedName>
    <definedName name="_xlnm.Print_Area" localSheetId="2">'Acum-Contabil-15x16x17xH18'!$B$1:$L$65</definedName>
    <definedName name="_xlnm.Print_Area" localSheetId="1">'DRE - H-Contabil'!$B$1:$O$69</definedName>
    <definedName name="_xlnm.Print_Area" localSheetId="0">'DRE-H-Contábil-R$'!$B$1:$O$69</definedName>
    <definedName name="BALANCO" localSheetId="2" hidden="1">{"IMP03",#N/A,FALSE,"PREVISÃO DE VENDAS"}</definedName>
    <definedName name="BALANCO" localSheetId="1" hidden="1">{"IMP03",#N/A,FALSE,"PREVISÃO DE VENDAS"}</definedName>
    <definedName name="BALANCO" localSheetId="0" hidden="1">{"IMP03",#N/A,FALSE,"PREVISÃO DE VENDAS"}</definedName>
    <definedName name="BALANCO" hidden="1">{"IMP03",#N/A,FALSE,"PREVISÃO DE VENDAS"}</definedName>
    <definedName name="BALANÇO" localSheetId="2" hidden="1">{"IMP03",#N/A,FALSE,"PREVISÃO DE VENDAS"}</definedName>
    <definedName name="BALANÇO" localSheetId="1" hidden="1">{"IMP03",#N/A,FALSE,"PREVISÃO DE VENDAS"}</definedName>
    <definedName name="BALANÇO" localSheetId="0" hidden="1">{"IMP03",#N/A,FALSE,"PREVISÃO DE VENDAS"}</definedName>
    <definedName name="BALANÇO" hidden="1">{"IMP03",#N/A,FALSE,"PREVISÃO DE VENDAS"}</definedName>
    <definedName name="da" localSheetId="2" hidden="1">{"E001 - GERAÇÃO DE CAIXA GERAL",#N/A,FALSE,"Ajuste";"E002 - DLP GERAL",#N/A,FALSE,"Ajuste"}</definedName>
    <definedName name="da" localSheetId="1" hidden="1">{"E001 - GERAÇÃO DE CAIXA GERAL",#N/A,FALSE,"Ajuste";"E002 - DLP GERAL",#N/A,FALSE,"Ajuste"}</definedName>
    <definedName name="da" localSheetId="0" hidden="1">{"E001 - GERAÇÃO DE CAIXA GERAL",#N/A,FALSE,"Ajuste";"E002 - DLP GERAL",#N/A,FALSE,"Ajuste"}</definedName>
    <definedName name="da" hidden="1">{"E001 - GERAÇÃO DE CAIXA GERAL",#N/A,FALSE,"Ajuste";"E002 - DLP GERAL",#N/A,FALSE,"Ajuste"}</definedName>
    <definedName name="daniel" localSheetId="2" hidden="1">{"IMP03",#N/A,FALSE,"PREVISÃO DE VENDAS"}</definedName>
    <definedName name="daniel" localSheetId="1" hidden="1">{"IMP03",#N/A,FALSE,"PREVISÃO DE VENDAS"}</definedName>
    <definedName name="daniel" localSheetId="0" hidden="1">{"IMP03",#N/A,FALSE,"PREVISÃO DE VENDAS"}</definedName>
    <definedName name="daniel" hidden="1">{"IMP03",#N/A,FALSE,"PREVISÃO DE VENDAS"}</definedName>
    <definedName name="Despesas" localSheetId="2">#REF!</definedName>
    <definedName name="Despesas">#REF!</definedName>
    <definedName name="DGG" localSheetId="2" hidden="1">{"E001 - GERAÇÃO DE CAIXA GERAL",#N/A,FALSE,"Ajuste";"E002 - DLP GERAL",#N/A,FALSE,"Ajuste"}</definedName>
    <definedName name="DGG" localSheetId="1" hidden="1">{"E001 - GERAÇÃO DE CAIXA GERAL",#N/A,FALSE,"Ajuste";"E002 - DLP GERAL",#N/A,FALSE,"Ajuste"}</definedName>
    <definedName name="DGG" localSheetId="0" hidden="1">{"E001 - GERAÇÃO DE CAIXA GERAL",#N/A,FALSE,"Ajuste";"E002 - DLP GERAL",#N/A,FALSE,"Ajuste"}</definedName>
    <definedName name="DGG" hidden="1">{"E001 - GERAÇÃO DE CAIXA GERAL",#N/A,FALSE,"Ajuste";"E002 - DLP GERAL",#N/A,FALSE,"Ajuste"}</definedName>
    <definedName name="e" localSheetId="2" hidden="1">{"IMP03",#N/A,FALSE,"PREVISÃO DE VENDAS"}</definedName>
    <definedName name="e" localSheetId="1" hidden="1">{"IMP03",#N/A,FALSE,"PREVISÃO DE VENDAS"}</definedName>
    <definedName name="e" localSheetId="0" hidden="1">{"IMP03",#N/A,FALSE,"PREVISÃO DE VENDAS"}</definedName>
    <definedName name="e" hidden="1">{"IMP03",#N/A,FALSE,"PREVISÃO DE VENDAS"}</definedName>
    <definedName name="er" localSheetId="2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er" localSheetId="1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er" localSheetId="0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er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graficos" localSheetId="2" hidden="1">{"IMP03",#N/A,FALSE,"PREVISÃO DE VENDAS"}</definedName>
    <definedName name="graficos" localSheetId="1" hidden="1">{"IMP03",#N/A,FALSE,"PREVISÃO DE VENDAS"}</definedName>
    <definedName name="graficos" localSheetId="0" hidden="1">{"IMP03",#N/A,FALSE,"PREVISÃO DE VENDAS"}</definedName>
    <definedName name="graficos" hidden="1">{"IMP03",#N/A,FALSE,"PREVISÃO DE VENDAS"}</definedName>
    <definedName name="graifocosssss" localSheetId="2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graifocosssss" localSheetId="1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graifocosssss" localSheetId="0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graifocosssss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_xlnm.Recorder" localSheetId="2">#REF!</definedName>
    <definedName name="_xlnm.Recorder">#REF!</definedName>
    <definedName name="hjhkj" localSheetId="2" hidden="1">{"IMP03",#N/A,FALSE,"PREVISÃO DE VENDAS"}</definedName>
    <definedName name="hjhkj" hidden="1">{"IMP03",#N/A,FALSE,"PREVISÃO DE VENDAS"}</definedName>
    <definedName name="HJRHR" localSheetId="2" hidden="1">{"IMP03",#N/A,FALSE,"PREVISÃO DE VENDAS"}</definedName>
    <definedName name="HJRHR" localSheetId="1" hidden="1">{"IMP03",#N/A,FALSE,"PREVISÃO DE VENDAS"}</definedName>
    <definedName name="HJRHR" localSheetId="0" hidden="1">{"IMP03",#N/A,FALSE,"PREVISÃO DE VENDAS"}</definedName>
    <definedName name="HJRHR" hidden="1">{"IMP03",#N/A,FALSE,"PREVISÃO DE VENDAS"}</definedName>
    <definedName name="huju" localSheetId="2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huju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LANCAMEN" localSheetId="2" hidden="1">{"IMP02",#N/A,FALSE,"PREVISÃO DE VENDAS"}</definedName>
    <definedName name="LANCAMEN" localSheetId="1" hidden="1">{"IMP02",#N/A,FALSE,"PREVISÃO DE VENDAS"}</definedName>
    <definedName name="LANCAMEN" localSheetId="0" hidden="1">{"IMP02",#N/A,FALSE,"PREVISÃO DE VENDAS"}</definedName>
    <definedName name="LANCAMEN" hidden="1">{"IMP02",#N/A,FALSE,"PREVISÃO DE VENDAS"}</definedName>
    <definedName name="LANCAMENTOS" localSheetId="2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LANCAMENTOS" localSheetId="1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LANCAMENTOS" localSheetId="0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LANCAMENTOS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LOCAL" localSheetId="2">#REF!</definedName>
    <definedName name="LOCAL">#REF!</definedName>
    <definedName name="LucroOper" localSheetId="2">#REF!</definedName>
    <definedName name="LucroOper">#REF!</definedName>
    <definedName name="Nome_Empresa" localSheetId="2">#REF!</definedName>
    <definedName name="Nome_Empresa">#REF!</definedName>
    <definedName name="Nov" localSheetId="2">#REF!</definedName>
    <definedName name="Nov">#REF!</definedName>
    <definedName name="ntujj" localSheetId="2" hidden="1">{"IMP03",#N/A,FALSE,"PREVISÃO DE VENDAS"}</definedName>
    <definedName name="ntujj" hidden="1">{"IMP03",#N/A,FALSE,"PREVISÃO DE VENDAS"}</definedName>
    <definedName name="Out" localSheetId="2">#REF!</definedName>
    <definedName name="Out">#REF!</definedName>
    <definedName name="Out." localSheetId="2">#REF!</definedName>
    <definedName name="Out.">#REF!</definedName>
    <definedName name="Print_Area_MI" localSheetId="2">#REF!</definedName>
    <definedName name="Print_Area_MI">#REF!</definedName>
    <definedName name="Processos" localSheetId="2">#REF!</definedName>
    <definedName name="Processos">#REF!</definedName>
    <definedName name="QA" localSheetId="2" hidden="1">{"IMP03",#N/A,FALSE,"PREVISÃO DE VENDAS"}</definedName>
    <definedName name="QA" localSheetId="1" hidden="1">{"IMP03",#N/A,FALSE,"PREVISÃO DE VENDAS"}</definedName>
    <definedName name="QA" localSheetId="0" hidden="1">{"IMP03",#N/A,FALSE,"PREVISÃO DE VENDAS"}</definedName>
    <definedName name="QA" hidden="1">{"IMP03",#N/A,FALSE,"PREVISÃO DE VENDAS"}</definedName>
    <definedName name="qw" localSheetId="2" hidden="1">{"IMP03",#N/A,FALSE,"PREVISÃO DE VENDAS"}</definedName>
    <definedName name="qw" localSheetId="1" hidden="1">{"IMP03",#N/A,FALSE,"PREVISÃO DE VENDAS"}</definedName>
    <definedName name="qw" localSheetId="0" hidden="1">{"IMP03",#N/A,FALSE,"PREVISÃO DE VENDAS"}</definedName>
    <definedName name="qw" hidden="1">{"IMP03",#N/A,FALSE,"PREVISÃO DE VENDAS"}</definedName>
    <definedName name="re" localSheetId="2" hidden="1">{"IMP03",#N/A,FALSE,"PREVISÃO DE VENDAS"}</definedName>
    <definedName name="re" localSheetId="1" hidden="1">{"IMP03",#N/A,FALSE,"PREVISÃO DE VENDAS"}</definedName>
    <definedName name="re" localSheetId="0" hidden="1">{"IMP03",#N/A,FALSE,"PREVISÃO DE VENDAS"}</definedName>
    <definedName name="re" hidden="1">{"IMP03",#N/A,FALSE,"PREVISÃO DE VENDAS"}</definedName>
    <definedName name="REVENDA_DE_PRODUTOS_FABRICADOS_POR_COLIGADA" localSheetId="2">#REF!</definedName>
    <definedName name="REVENDA_DE_PRODUTOS_FABRICADOS_POR_COLIGADA">#REF!</definedName>
    <definedName name="rr" localSheetId="2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rr" localSheetId="1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rr" localSheetId="0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rr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rt" localSheetId="2" hidden="1">{"E001 - GERAÇÃO DE CAIXA GERAL",#N/A,FALSE,"Ajuste";"E002 - DLP GERAL",#N/A,FALSE,"Ajuste"}</definedName>
    <definedName name="rt" localSheetId="1" hidden="1">{"E001 - GERAÇÃO DE CAIXA GERAL",#N/A,FALSE,"Ajuste";"E002 - DLP GERAL",#N/A,FALSE,"Ajuste"}</definedName>
    <definedName name="rt" localSheetId="0" hidden="1">{"E001 - GERAÇÃO DE CAIXA GERAL",#N/A,FALSE,"Ajuste";"E002 - DLP GERAL",#N/A,FALSE,"Ajuste"}</definedName>
    <definedName name="rt" hidden="1">{"E001 - GERAÇÃO DE CAIXA GERAL",#N/A,FALSE,"Ajuste";"E002 - DLP GERAL",#N/A,FALSE,"Ajuste"}</definedName>
    <definedName name="rtgergreg" localSheetId="2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rtgergreg" localSheetId="1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rtgergreg" localSheetId="0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rtgergreg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Set" localSheetId="2">#REF!</definedName>
    <definedName name="Set">#REF!</definedName>
    <definedName name="TA" localSheetId="2" hidden="1">{#N/A,#N/A,FALSE,"PREVISÃO DE VENDAS"}</definedName>
    <definedName name="TA" localSheetId="1" hidden="1">{#N/A,#N/A,FALSE,"PREVISÃO DE VENDAS"}</definedName>
    <definedName name="TA" localSheetId="0" hidden="1">{#N/A,#N/A,FALSE,"PREVISÃO DE VENDAS"}</definedName>
    <definedName name="TA" hidden="1">{#N/A,#N/A,FALSE,"PREVISÃO DE VENDAS"}</definedName>
    <definedName name="TE" localSheetId="2" hidden="1">{"IMP03",#N/A,FALSE,"PREVISÃO DE VENDAS"}</definedName>
    <definedName name="TE" localSheetId="1" hidden="1">{"IMP03",#N/A,FALSE,"PREVISÃO DE VENDAS"}</definedName>
    <definedName name="TE" localSheetId="0" hidden="1">{"IMP03",#N/A,FALSE,"PREVISÃO DE VENDAS"}</definedName>
    <definedName name="TE" hidden="1">{"IMP03",#N/A,FALSE,"PREVISÃO DE VENDAS"}</definedName>
    <definedName name="thi" localSheetId="2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thi" localSheetId="1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thi" localSheetId="0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thi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thiago" localSheetId="2" hidden="1">{"IMP03",#N/A,FALSE,"PREVISÃO DE VENDAS"}</definedName>
    <definedName name="thiago" localSheetId="1" hidden="1">{"IMP03",#N/A,FALSE,"PREVISÃO DE VENDAS"}</definedName>
    <definedName name="thiago" localSheetId="0" hidden="1">{"IMP03",#N/A,FALSE,"PREVISÃO DE VENDAS"}</definedName>
    <definedName name="thiago" hidden="1">{"IMP03",#N/A,FALSE,"PREVISÃO DE VENDAS"}</definedName>
    <definedName name="TI" localSheetId="2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TI" localSheetId="1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TI" localSheetId="0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TI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_xlnm.Print_Titles" localSheetId="2">'Acum-Contabil-15x16x17xH18'!$A:$B</definedName>
    <definedName name="_xlnm.Print_Titles" localSheetId="1">'DRE - H-Contabil'!$B:$B</definedName>
    <definedName name="_xlnm.Print_Titles" localSheetId="0">'DRE-H-Contábil-R$'!$B:$B</definedName>
    <definedName name="TU" localSheetId="2" hidden="1">{"IMP02",#N/A,FALSE,"PREVISÃO DE VENDAS"}</definedName>
    <definedName name="TU" localSheetId="1" hidden="1">{"IMP02",#N/A,FALSE,"PREVISÃO DE VENDAS"}</definedName>
    <definedName name="TU" localSheetId="0" hidden="1">{"IMP02",#N/A,FALSE,"PREVISÃO DE VENDAS"}</definedName>
    <definedName name="TU" hidden="1">{"IMP02",#N/A,FALSE,"PREVISÃO DE VENDAS"}</definedName>
    <definedName name="UK" localSheetId="2">#REF!</definedName>
    <definedName name="UK">#REF!</definedName>
    <definedName name="wrn.DLPs._.DFCs." localSheetId="2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wrn.DLPs._.DFCs." localSheetId="1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wrn.DLPs._.DFCs." localSheetId="0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wrn.DLPs._.DFCs." hidden="1">{"E002 D.L.P. Geral",#N/A,FALSE,"Ajuste";"E003 D.L.P. Produção Própria",#N/A,FALSE,"Ajuste";"E012 D.F.C. Produção Própria",#N/A,FALSE,"Resumo";"E007 D.L.P. Venda Fabricante",#N/A,FALSE,"Ajuste";"E017 D.F.C. Venda Fabricante",#N/A,FALSE,"Resumo-VF";"E009 D.L.P. VF Terceiro",#N/A,FALSE,"Ajuste";"E021 D.F.C. Venda Fabricante Terceiros",#N/A,FALSE,"Resumo-VFT";"E006 D.L.P. Revenda PFC",#N/A,FALSE,"Ajuste";"E014 D.F.C. Revenda PFC",#N/A,FALSE,"Ajuste";"E008 D.L.P. Produtos de Revenda",#N/A,FALSE,"Ajuste"}</definedName>
    <definedName name="wrn.IMP01." localSheetId="2" hidden="1">{#N/A,#N/A,FALSE,"PREVISÃO DE VENDAS"}</definedName>
    <definedName name="wrn.IMP01." localSheetId="1" hidden="1">{#N/A,#N/A,FALSE,"PREVISÃO DE VENDAS"}</definedName>
    <definedName name="wrn.IMP01." localSheetId="0" hidden="1">{#N/A,#N/A,FALSE,"PREVISÃO DE VENDAS"}</definedName>
    <definedName name="wrn.IMP01." hidden="1">{#N/A,#N/A,FALSE,"PREVISÃO DE VENDAS"}</definedName>
    <definedName name="wrn.IMP02." localSheetId="2" hidden="1">{"IMP02",#N/A,FALSE,"PREVISÃO DE VENDAS"}</definedName>
    <definedName name="wrn.IMP02." localSheetId="1" hidden="1">{"IMP02",#N/A,FALSE,"PREVISÃO DE VENDAS"}</definedName>
    <definedName name="wrn.IMP02." localSheetId="0" hidden="1">{"IMP02",#N/A,FALSE,"PREVISÃO DE VENDAS"}</definedName>
    <definedName name="wrn.IMP02." hidden="1">{"IMP02",#N/A,FALSE,"PREVISÃO DE VENDAS"}</definedName>
    <definedName name="wrn.IMP03." localSheetId="2" hidden="1">{"IMP03",#N/A,FALSE,"PREVISÃO DE VENDAS"}</definedName>
    <definedName name="wrn.IMP03." localSheetId="1" hidden="1">{"IMP03",#N/A,FALSE,"PREVISÃO DE VENDAS"}</definedName>
    <definedName name="wrn.IMP03." localSheetId="0" hidden="1">{"IMP03",#N/A,FALSE,"PREVISÃO DE VENDAS"}</definedName>
    <definedName name="wrn.IMP03." hidden="1">{"IMP03",#N/A,FALSE,"PREVISÃO DE VENDAS"}</definedName>
    <definedName name="wrn.Orçamento._.Geral." localSheetId="2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wrn.Orçamento._.Geral." localSheetId="1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wrn.Orçamento._.Geral." localSheetId="0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wrn.Orçamento._.Geral." hidden="1">{"E001 Geração de Caixa Geral",#N/A,FALSE,"Ajuste";"E002 D.L.P. Geral",#N/A,FALSE,"Ajuste";"E003 D.L.P. Produção Própria",#N/A,FALSE,"Ajuste";"E004 Análise Orçamentária",#N/A,FALSE,"Ajuste";"E005 Instrumentos Análise Financeira",#N/A,FALSE,"Ajuste";"E006 D.L.P. Revenda PFC",#N/A,FALSE,"Ajuste";"E007 D.L.P. Venda Fabricante",#N/A,FALSE,"Ajuste";"E008 D.L.P. Produtos de Revenda",#N/A,FALSE,"Ajuste";"E009 D.L.P. VF Terceiro",#N/A,FALSE,"Ajuste";"E010 Previsão CF Produção Própria",#N/A,FALSE,"Pr.CxF";"E011 Preço Médio Produção Própria",#N/A,FALSE,"PrMédio";"E012 D.F.C. Produção Própria",#N/A,FALSE,"Resumo";"E013.01 Custo Produção Própria",#N/A,FALSE,"Vendas";"E013.02 Custo Produção Própria",#N/A,FALSE,"Vendas";"E013.03 Custo Produção Própria",#N/A,FALSE,"Vendas";"E013.04 Custo Produção Própria",#N/A,FALSE,"Vendas";"E013.05 Custo Produção Própria",#N/A,FALSE,"Vendas";"E013.06 Custo Produção Própria",#N/A,FALSE,"Vendas";"E013.07 Custo Produção Própria",#N/A,FALSE,"Vendas";"E013.08 Custo Produção Própria",#N/A,FALSE,"Vendas";"E013.09 Custo Produção Própria",#N/A,FALSE,"Vendas";"E013.10 Custo Produção Própria",#N/A,FALSE,"Vendas";"E013.11 Custo Produção Própria",#N/A,FALSE,"Vendas";"E013.12 Custo Produção Própria",#N/A,FALSE,"Vendas";"E014 D.F.C. Revenda PFC",#N/A,FALSE,"Ajuste";"E015 Previsão CF Venda Fabricante",#N/A,FALSE,"Pr.CxF-VF";"E016 Preço Médio VF",#N/A,FALSE,"PrMédio-VF";"E017 D.F.C. Venda Fabricante",#N/A,FALSE,"Resumo-VF";"E018.01 Custo Venda Fabricante",#N/A,FALSE,"Vendas Fab.";"E018.02 Custo Venda Fabricante",#N/A,FALSE,"Vendas Fab.";"E018.03 Custo Venda Fabricante",#N/A,FALSE,"Vendas Fab.";"E018.04 Custo Venda Fabricante",#N/A,FALSE,"Vendas Fab.";"E018.05 Custo Venda Fabricante",#N/A,FALSE,"Vendas Fab.";"E018.06 Custo Venda Fabricante",#N/A,FALSE,"Vendas Fab.";"E018.07 Custo Venda Fabricante",#N/A,FALSE,"Vendas Fab.";"E018.08 Custo Venda Fabricante",#N/A,FALSE,"Vendas Fab.";"E018.09 Custo Venda Fabricante",#N/A,FALSE,"Vendas Fab.";"E018.10 Custo Venda Fabricante",#N/A,FALSE,"Vendas Fab.";"E018.11 Custo Venda Fabricante",#N/A,FALSE,"Vendas Fab.";"E018.12 Custo Venda Fabricante",#N/A,FALSE,"Vendas Fab.";"E019 Previsão CF VFT",#N/A,FALSE,"Pr.CxF-VFT";"E020 Preço Médio VFT",#N/A,FALSE,"PrMédio-VFT";"E021 D.F.C. Venda Fabricante Terceiros",#N/A,FALSE,"Resumo-VFT";"E022.01 Custos VFT",#N/A,FALSE,"Vendas F. Terc.";"E022.02 Custos VFT",#N/A,FALSE,"Vendas F. Terc.";"E022.03 Custos VFT",#N/A,FALSE,"Vendas F. Terc.";"E022.04 Custos VFT",#N/A,FALSE,"Vendas F. Terc.";"E022.05 Custos VFT",#N/A,FALSE,"Vendas F. Terc.";"E022.06 Custos VFT",#N/A,FALSE,"Vendas F. Terc.";"E022.07 Custos VFT",#N/A,FALSE,"Vendas F. Terc.";"E022.08 Custos VFT",#N/A,FALSE,"Vendas F. Terc.";"E022.09 Custos VFT",#N/A,FALSE,"Vendas F. Terc.";"E022.10 Custos VFT",#N/A,FALSE,"Vendas F. Terc.";"E022.11 Custos VFT",#N/A,FALSE,"Vendas F. Terc.";"E022.12 Custos VFT",#N/A,FALSE,"Vendas F. Terc.";"E023 Despesas Por Centro de Custo",#N/A,FALSE,"Ajuste";"E024 Folha de Pagamento",#N/A,FALSE,"Folha";"E025 Previsão Vendas Produto Revenda",#N/A,FALSE,"Revenda";"E026 Preço de Custo Revenda",#N/A,FALSE,"Revenda";"E027 D.C. Revenda",#N/A,FALSE,"Revenda";"E028 Preço de Venda Revenda",#N/A,FALSE,"Revenda";"E029 D.F. Revenda",#N/A,FALSE,"Revenda";"E030 Impostos Revenda",#N/A,FALSE,"Revenda";"E031 D. Impostos Revenda",#N/A,FALSE,"Revenda";"E032 Despesas Revenda",#N/A,FALSE,"Revenda";"E033 Folha de Pagamento Revenda",#N/A,FALSE,"Revenda"}</definedName>
    <definedName name="wrn.ORÇAMENTO._.RCSA." localSheetId="2" hidden="1">{"E001 - GERAÇÃO DE CAIXA GERAL",#N/A,FALSE,"Ajuste";"E002 - DLP GERAL",#N/A,FALSE,"Ajuste"}</definedName>
    <definedName name="wrn.ORÇAMENTO._.RCSA." localSheetId="1" hidden="1">{"E001 - GERAÇÃO DE CAIXA GERAL",#N/A,FALSE,"Ajuste";"E002 - DLP GERAL",#N/A,FALSE,"Ajuste"}</definedName>
    <definedName name="wrn.ORÇAMENTO._.RCSA." localSheetId="0" hidden="1">{"E001 - GERAÇÃO DE CAIXA GERAL",#N/A,FALSE,"Ajuste";"E002 - DLP GERAL",#N/A,FALSE,"Ajuste"}</definedName>
    <definedName name="wrn.ORÇAMENTO._.RCSA." hidden="1">{"E001 - GERAÇÃO DE CAIXA GERAL",#N/A,FALSE,"Ajuste";"E002 - DLP GERAL",#N/A,FALSE,"Ajuste"}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6" i="3" l="1"/>
  <c r="Z76" i="3"/>
  <c r="X76" i="3"/>
  <c r="V76" i="3"/>
  <c r="T76" i="3"/>
  <c r="R76" i="3"/>
  <c r="P76" i="3"/>
  <c r="N76" i="3"/>
  <c r="L76" i="3"/>
  <c r="J76" i="3"/>
  <c r="I76" i="3"/>
  <c r="H76" i="3"/>
  <c r="G76" i="3"/>
  <c r="F76" i="3"/>
  <c r="E76" i="3"/>
  <c r="D76" i="3"/>
  <c r="C76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AB70" i="3"/>
  <c r="Z70" i="3"/>
  <c r="X70" i="3"/>
  <c r="V70" i="3"/>
  <c r="T70" i="3"/>
  <c r="R70" i="3"/>
  <c r="P70" i="3"/>
  <c r="N70" i="3"/>
  <c r="L70" i="3"/>
  <c r="J70" i="3"/>
  <c r="H70" i="3"/>
  <c r="F70" i="3"/>
  <c r="D70" i="3"/>
  <c r="AB69" i="3"/>
  <c r="Z69" i="3"/>
  <c r="X69" i="3"/>
  <c r="V69" i="3"/>
  <c r="T69" i="3"/>
  <c r="R69" i="3"/>
  <c r="P69" i="3"/>
  <c r="N69" i="3"/>
  <c r="L69" i="3"/>
  <c r="I69" i="3"/>
  <c r="E69" i="3"/>
  <c r="C69" i="3"/>
  <c r="AB68" i="3"/>
  <c r="Z68" i="3"/>
  <c r="X68" i="3"/>
  <c r="V68" i="3"/>
  <c r="T68" i="3"/>
  <c r="R68" i="3"/>
  <c r="P68" i="3"/>
  <c r="N68" i="3"/>
  <c r="L68" i="3"/>
  <c r="I68" i="3"/>
  <c r="E68" i="3"/>
  <c r="C68" i="3"/>
  <c r="AB67" i="3"/>
  <c r="Z67" i="3"/>
  <c r="X67" i="3"/>
  <c r="V67" i="3"/>
  <c r="T67" i="3"/>
  <c r="R67" i="3"/>
  <c r="P67" i="3"/>
  <c r="N67" i="3"/>
  <c r="L67" i="3"/>
  <c r="I67" i="3"/>
  <c r="E67" i="3"/>
  <c r="C67" i="3"/>
  <c r="AB66" i="3"/>
  <c r="Z66" i="3"/>
  <c r="X66" i="3"/>
  <c r="V66" i="3"/>
  <c r="T66" i="3"/>
  <c r="R66" i="3"/>
  <c r="P66" i="3"/>
  <c r="N66" i="3"/>
  <c r="L66" i="3"/>
  <c r="J66" i="3"/>
  <c r="I66" i="3"/>
  <c r="H66" i="3"/>
  <c r="G66" i="3"/>
  <c r="F66" i="3"/>
  <c r="E66" i="3"/>
  <c r="D66" i="3"/>
  <c r="C66" i="3"/>
  <c r="AB65" i="3"/>
  <c r="Z65" i="3"/>
  <c r="X65" i="3"/>
  <c r="V65" i="3"/>
  <c r="T65" i="3"/>
  <c r="R65" i="3"/>
  <c r="P65" i="3"/>
  <c r="N65" i="3"/>
  <c r="L65" i="3"/>
  <c r="K65" i="3"/>
  <c r="J65" i="3"/>
  <c r="I65" i="3"/>
  <c r="H65" i="3"/>
  <c r="G65" i="3"/>
  <c r="F65" i="3"/>
  <c r="E65" i="3"/>
  <c r="D65" i="3"/>
  <c r="C65" i="3"/>
  <c r="AB64" i="3"/>
  <c r="Z64" i="3"/>
  <c r="X64" i="3"/>
  <c r="V64" i="3"/>
  <c r="T64" i="3"/>
  <c r="R64" i="3"/>
  <c r="P64" i="3"/>
  <c r="N64" i="3"/>
  <c r="L64" i="3"/>
  <c r="J64" i="3"/>
  <c r="I64" i="3"/>
  <c r="H64" i="3"/>
  <c r="F64" i="3"/>
  <c r="D64" i="3"/>
  <c r="AB63" i="3"/>
  <c r="Z63" i="3"/>
  <c r="X63" i="3"/>
  <c r="V63" i="3"/>
  <c r="T63" i="3"/>
  <c r="R63" i="3"/>
  <c r="P63" i="3"/>
  <c r="N63" i="3"/>
  <c r="L63" i="3"/>
  <c r="K63" i="3"/>
  <c r="J63" i="3"/>
  <c r="I63" i="3"/>
  <c r="H63" i="3"/>
  <c r="G63" i="3"/>
  <c r="F63" i="3"/>
  <c r="E63" i="3"/>
  <c r="D63" i="3"/>
  <c r="C63" i="3"/>
  <c r="AB62" i="3"/>
  <c r="Z62" i="3"/>
  <c r="X62" i="3"/>
  <c r="V62" i="3"/>
  <c r="T62" i="3"/>
  <c r="R62" i="3"/>
  <c r="P62" i="3"/>
  <c r="N62" i="3"/>
  <c r="L62" i="3"/>
  <c r="J62" i="3"/>
  <c r="I62" i="3"/>
  <c r="H62" i="3"/>
  <c r="F62" i="3"/>
  <c r="D62" i="3"/>
  <c r="AB61" i="3"/>
  <c r="Z61" i="3"/>
  <c r="X61" i="3"/>
  <c r="V61" i="3"/>
  <c r="T61" i="3"/>
  <c r="R61" i="3"/>
  <c r="P61" i="3"/>
  <c r="N61" i="3"/>
  <c r="L61" i="3"/>
  <c r="J61" i="3"/>
  <c r="I61" i="3"/>
  <c r="H61" i="3"/>
  <c r="F61" i="3"/>
  <c r="D61" i="3"/>
  <c r="AB60" i="3"/>
  <c r="Z60" i="3"/>
  <c r="X60" i="3"/>
  <c r="V60" i="3"/>
  <c r="T60" i="3"/>
  <c r="R60" i="3"/>
  <c r="P60" i="3"/>
  <c r="N60" i="3"/>
  <c r="L60" i="3"/>
  <c r="K60" i="3"/>
  <c r="J60" i="3"/>
  <c r="I60" i="3"/>
  <c r="H60" i="3"/>
  <c r="G60" i="3"/>
  <c r="F60" i="3"/>
  <c r="E60" i="3"/>
  <c r="D60" i="3"/>
  <c r="C60" i="3"/>
  <c r="AB59" i="3"/>
  <c r="Z59" i="3"/>
  <c r="X59" i="3"/>
  <c r="V59" i="3"/>
  <c r="T59" i="3"/>
  <c r="R59" i="3"/>
  <c r="P59" i="3"/>
  <c r="N59" i="3"/>
  <c r="L59" i="3"/>
  <c r="J59" i="3"/>
  <c r="I59" i="3"/>
  <c r="H59" i="3"/>
  <c r="F59" i="3"/>
  <c r="D59" i="3"/>
  <c r="AB58" i="3"/>
  <c r="Z58" i="3"/>
  <c r="X58" i="3"/>
  <c r="V58" i="3"/>
  <c r="T58" i="3"/>
  <c r="R58" i="3"/>
  <c r="P58" i="3"/>
  <c r="N58" i="3"/>
  <c r="L58" i="3"/>
  <c r="J58" i="3"/>
  <c r="I58" i="3"/>
  <c r="H58" i="3"/>
  <c r="F58" i="3"/>
  <c r="D58" i="3"/>
  <c r="AB57" i="3"/>
  <c r="Z57" i="3"/>
  <c r="X57" i="3"/>
  <c r="V57" i="3"/>
  <c r="T57" i="3"/>
  <c r="R57" i="3"/>
  <c r="P57" i="3"/>
  <c r="N57" i="3"/>
  <c r="L57" i="3"/>
  <c r="J57" i="3"/>
  <c r="I57" i="3"/>
  <c r="H57" i="3"/>
  <c r="F57" i="3"/>
  <c r="D57" i="3"/>
  <c r="AB56" i="3"/>
  <c r="Z56" i="3"/>
  <c r="X56" i="3"/>
  <c r="V56" i="3"/>
  <c r="T56" i="3"/>
  <c r="R56" i="3"/>
  <c r="P56" i="3"/>
  <c r="N56" i="3"/>
  <c r="L56" i="3"/>
  <c r="J56" i="3"/>
  <c r="I56" i="3"/>
  <c r="H56" i="3"/>
  <c r="F56" i="3"/>
  <c r="D56" i="3"/>
  <c r="AB55" i="3"/>
  <c r="Z55" i="3"/>
  <c r="X55" i="3"/>
  <c r="V55" i="3"/>
  <c r="T55" i="3"/>
  <c r="R55" i="3"/>
  <c r="P55" i="3"/>
  <c r="N55" i="3"/>
  <c r="L55" i="3"/>
  <c r="J55" i="3"/>
  <c r="I55" i="3"/>
  <c r="H55" i="3"/>
  <c r="F55" i="3"/>
  <c r="D55" i="3"/>
  <c r="AB54" i="3"/>
  <c r="Z54" i="3"/>
  <c r="X54" i="3"/>
  <c r="V54" i="3"/>
  <c r="T54" i="3"/>
  <c r="R54" i="3"/>
  <c r="P54" i="3"/>
  <c r="N54" i="3"/>
  <c r="L54" i="3"/>
  <c r="J54" i="3"/>
  <c r="I54" i="3"/>
  <c r="H54" i="3"/>
  <c r="F54" i="3"/>
  <c r="D54" i="3"/>
  <c r="AB53" i="3"/>
  <c r="Z53" i="3"/>
  <c r="X53" i="3"/>
  <c r="V53" i="3"/>
  <c r="T53" i="3"/>
  <c r="R53" i="3"/>
  <c r="P53" i="3"/>
  <c r="N53" i="3"/>
  <c r="L53" i="3"/>
  <c r="K53" i="3"/>
  <c r="J53" i="3"/>
  <c r="I53" i="3"/>
  <c r="H53" i="3"/>
  <c r="G53" i="3"/>
  <c r="F53" i="3"/>
  <c r="E53" i="3"/>
  <c r="D53" i="3"/>
  <c r="C53" i="3"/>
  <c r="AB52" i="3"/>
  <c r="Z52" i="3"/>
  <c r="X52" i="3"/>
  <c r="V52" i="3"/>
  <c r="T52" i="3"/>
  <c r="R52" i="3"/>
  <c r="P52" i="3"/>
  <c r="N52" i="3"/>
  <c r="L52" i="3"/>
  <c r="J52" i="3"/>
  <c r="I52" i="3"/>
  <c r="H52" i="3"/>
  <c r="F52" i="3"/>
  <c r="D52" i="3"/>
  <c r="AB51" i="3"/>
  <c r="Z51" i="3"/>
  <c r="X51" i="3"/>
  <c r="V51" i="3"/>
  <c r="T51" i="3"/>
  <c r="R51" i="3"/>
  <c r="P51" i="3"/>
  <c r="N51" i="3"/>
  <c r="L51" i="3"/>
  <c r="J51" i="3"/>
  <c r="I51" i="3"/>
  <c r="H51" i="3"/>
  <c r="F51" i="3"/>
  <c r="D51" i="3"/>
  <c r="AB50" i="3"/>
  <c r="Z50" i="3"/>
  <c r="X50" i="3"/>
  <c r="V50" i="3"/>
  <c r="T50" i="3"/>
  <c r="R50" i="3"/>
  <c r="P50" i="3"/>
  <c r="N50" i="3"/>
  <c r="L50" i="3"/>
  <c r="J50" i="3"/>
  <c r="I50" i="3"/>
  <c r="H50" i="3"/>
  <c r="G50" i="3"/>
  <c r="F50" i="3"/>
  <c r="E50" i="3"/>
  <c r="D50" i="3"/>
  <c r="C50" i="3"/>
  <c r="AB49" i="3"/>
  <c r="Z49" i="3"/>
  <c r="X49" i="3"/>
  <c r="V49" i="3"/>
  <c r="T49" i="3"/>
  <c r="R49" i="3"/>
  <c r="P49" i="3"/>
  <c r="N49" i="3"/>
  <c r="L49" i="3"/>
  <c r="K49" i="3"/>
  <c r="J49" i="3"/>
  <c r="I49" i="3"/>
  <c r="H49" i="3"/>
  <c r="G49" i="3"/>
  <c r="F49" i="3"/>
  <c r="E49" i="3"/>
  <c r="D49" i="3"/>
  <c r="C49" i="3"/>
  <c r="AB48" i="3"/>
  <c r="Z48" i="3"/>
  <c r="X48" i="3"/>
  <c r="V48" i="3"/>
  <c r="T48" i="3"/>
  <c r="R48" i="3"/>
  <c r="P48" i="3"/>
  <c r="N48" i="3"/>
  <c r="L48" i="3"/>
  <c r="J48" i="3"/>
  <c r="I48" i="3"/>
  <c r="H48" i="3"/>
  <c r="F48" i="3"/>
  <c r="D48" i="3"/>
  <c r="AB47" i="3"/>
  <c r="Z47" i="3"/>
  <c r="X47" i="3"/>
  <c r="V47" i="3"/>
  <c r="T47" i="3"/>
  <c r="R47" i="3"/>
  <c r="P47" i="3"/>
  <c r="N47" i="3"/>
  <c r="L47" i="3"/>
  <c r="J47" i="3"/>
  <c r="I47" i="3"/>
  <c r="H47" i="3"/>
  <c r="F47" i="3"/>
  <c r="D47" i="3"/>
  <c r="AB46" i="3"/>
  <c r="Z46" i="3"/>
  <c r="X46" i="3"/>
  <c r="V46" i="3"/>
  <c r="T46" i="3"/>
  <c r="R46" i="3"/>
  <c r="P46" i="3"/>
  <c r="N46" i="3"/>
  <c r="L46" i="3"/>
  <c r="J46" i="3"/>
  <c r="I46" i="3"/>
  <c r="H46" i="3"/>
  <c r="F46" i="3"/>
  <c r="D46" i="3"/>
  <c r="AB45" i="3"/>
  <c r="Z45" i="3"/>
  <c r="X45" i="3"/>
  <c r="V45" i="3"/>
  <c r="T45" i="3"/>
  <c r="R45" i="3"/>
  <c r="P45" i="3"/>
  <c r="N45" i="3"/>
  <c r="L45" i="3"/>
  <c r="J45" i="3"/>
  <c r="I45" i="3"/>
  <c r="H45" i="3"/>
  <c r="F45" i="3"/>
  <c r="D45" i="3"/>
  <c r="AB44" i="3"/>
  <c r="Z44" i="3"/>
  <c r="X44" i="3"/>
  <c r="V44" i="3"/>
  <c r="T44" i="3"/>
  <c r="R44" i="3"/>
  <c r="P44" i="3"/>
  <c r="N44" i="3"/>
  <c r="L44" i="3"/>
  <c r="J44" i="3"/>
  <c r="I44" i="3"/>
  <c r="H44" i="3"/>
  <c r="F44" i="3"/>
  <c r="D44" i="3"/>
  <c r="AB43" i="3"/>
  <c r="Z43" i="3"/>
  <c r="X43" i="3"/>
  <c r="V43" i="3"/>
  <c r="T43" i="3"/>
  <c r="R43" i="3"/>
  <c r="P43" i="3"/>
  <c r="N43" i="3"/>
  <c r="L43" i="3"/>
  <c r="J43" i="3"/>
  <c r="I43" i="3"/>
  <c r="H43" i="3"/>
  <c r="F43" i="3"/>
  <c r="D43" i="3"/>
  <c r="AB42" i="3"/>
  <c r="Z42" i="3"/>
  <c r="X42" i="3"/>
  <c r="V42" i="3"/>
  <c r="T42" i="3"/>
  <c r="R42" i="3"/>
  <c r="P42" i="3"/>
  <c r="N42" i="3"/>
  <c r="L42" i="3"/>
  <c r="K42" i="3"/>
  <c r="J42" i="3"/>
  <c r="I42" i="3"/>
  <c r="H42" i="3"/>
  <c r="G42" i="3"/>
  <c r="F42" i="3"/>
  <c r="E42" i="3"/>
  <c r="D42" i="3"/>
  <c r="C42" i="3"/>
  <c r="AB41" i="3"/>
  <c r="Z41" i="3"/>
  <c r="X41" i="3"/>
  <c r="V41" i="3"/>
  <c r="T41" i="3"/>
  <c r="R41" i="3"/>
  <c r="P41" i="3"/>
  <c r="N41" i="3"/>
  <c r="L41" i="3"/>
  <c r="J41" i="3"/>
  <c r="I41" i="3"/>
  <c r="H41" i="3"/>
  <c r="F41" i="3"/>
  <c r="D41" i="3"/>
  <c r="AB40" i="3"/>
  <c r="Z40" i="3"/>
  <c r="X40" i="3"/>
  <c r="V40" i="3"/>
  <c r="T40" i="3"/>
  <c r="R40" i="3"/>
  <c r="P40" i="3"/>
  <c r="N40" i="3"/>
  <c r="L40" i="3"/>
  <c r="J40" i="3"/>
  <c r="I40" i="3"/>
  <c r="H40" i="3"/>
  <c r="F40" i="3"/>
  <c r="D40" i="3"/>
  <c r="AB39" i="3"/>
  <c r="Z39" i="3"/>
  <c r="X39" i="3"/>
  <c r="V39" i="3"/>
  <c r="T39" i="3"/>
  <c r="R39" i="3"/>
  <c r="P39" i="3"/>
  <c r="N39" i="3"/>
  <c r="L39" i="3"/>
  <c r="J39" i="3"/>
  <c r="I39" i="3"/>
  <c r="H39" i="3"/>
  <c r="F39" i="3"/>
  <c r="D39" i="3"/>
  <c r="AB38" i="3"/>
  <c r="Z38" i="3"/>
  <c r="X38" i="3"/>
  <c r="V38" i="3"/>
  <c r="T38" i="3"/>
  <c r="R38" i="3"/>
  <c r="P38" i="3"/>
  <c r="N38" i="3"/>
  <c r="L38" i="3"/>
  <c r="J38" i="3"/>
  <c r="I38" i="3"/>
  <c r="H38" i="3"/>
  <c r="F38" i="3"/>
  <c r="D38" i="3"/>
  <c r="AB37" i="3"/>
  <c r="Z37" i="3"/>
  <c r="X37" i="3"/>
  <c r="V37" i="3"/>
  <c r="T37" i="3"/>
  <c r="R37" i="3"/>
  <c r="P37" i="3"/>
  <c r="N37" i="3"/>
  <c r="L37" i="3"/>
  <c r="K37" i="3"/>
  <c r="J37" i="3"/>
  <c r="I37" i="3"/>
  <c r="H37" i="3"/>
  <c r="G37" i="3"/>
  <c r="F37" i="3"/>
  <c r="E37" i="3"/>
  <c r="D37" i="3"/>
  <c r="C37" i="3"/>
  <c r="AB36" i="3"/>
  <c r="Z36" i="3"/>
  <c r="X36" i="3"/>
  <c r="V36" i="3"/>
  <c r="T36" i="3"/>
  <c r="R36" i="3"/>
  <c r="P36" i="3"/>
  <c r="N36" i="3"/>
  <c r="L36" i="3"/>
  <c r="J36" i="3"/>
  <c r="I36" i="3"/>
  <c r="H36" i="3"/>
  <c r="F36" i="3"/>
  <c r="D36" i="3"/>
  <c r="AB35" i="3"/>
  <c r="Z35" i="3"/>
  <c r="X35" i="3"/>
  <c r="V35" i="3"/>
  <c r="T35" i="3"/>
  <c r="R35" i="3"/>
  <c r="P35" i="3"/>
  <c r="N35" i="3"/>
  <c r="L35" i="3"/>
  <c r="J35" i="3"/>
  <c r="I35" i="3"/>
  <c r="H35" i="3"/>
  <c r="F35" i="3"/>
  <c r="D35" i="3"/>
  <c r="AB34" i="3"/>
  <c r="Z34" i="3"/>
  <c r="X34" i="3"/>
  <c r="V34" i="3"/>
  <c r="T34" i="3"/>
  <c r="R34" i="3"/>
  <c r="P34" i="3"/>
  <c r="N34" i="3"/>
  <c r="L34" i="3"/>
  <c r="J34" i="3"/>
  <c r="I34" i="3"/>
  <c r="H34" i="3"/>
  <c r="F34" i="3"/>
  <c r="D34" i="3"/>
  <c r="AB33" i="3"/>
  <c r="Z33" i="3"/>
  <c r="X33" i="3"/>
  <c r="V33" i="3"/>
  <c r="T33" i="3"/>
  <c r="R33" i="3"/>
  <c r="P33" i="3"/>
  <c r="N33" i="3"/>
  <c r="L33" i="3"/>
  <c r="K33" i="3"/>
  <c r="J33" i="3"/>
  <c r="I33" i="3"/>
  <c r="H33" i="3"/>
  <c r="G33" i="3"/>
  <c r="F33" i="3"/>
  <c r="E33" i="3"/>
  <c r="D33" i="3"/>
  <c r="C33" i="3"/>
  <c r="AB32" i="3"/>
  <c r="Z32" i="3"/>
  <c r="X32" i="3"/>
  <c r="V32" i="3"/>
  <c r="T32" i="3"/>
  <c r="R32" i="3"/>
  <c r="P32" i="3"/>
  <c r="N32" i="3"/>
  <c r="L32" i="3"/>
  <c r="J32" i="3"/>
  <c r="I32" i="3"/>
  <c r="H32" i="3"/>
  <c r="F32" i="3"/>
  <c r="D32" i="3"/>
  <c r="AB31" i="3"/>
  <c r="Z31" i="3"/>
  <c r="X31" i="3"/>
  <c r="V31" i="3"/>
  <c r="T31" i="3"/>
  <c r="R31" i="3"/>
  <c r="P31" i="3"/>
  <c r="N31" i="3"/>
  <c r="L31" i="3"/>
  <c r="J31" i="3"/>
  <c r="I31" i="3"/>
  <c r="H31" i="3"/>
  <c r="F31" i="3"/>
  <c r="D31" i="3"/>
  <c r="AB30" i="3"/>
  <c r="Z30" i="3"/>
  <c r="X30" i="3"/>
  <c r="V30" i="3"/>
  <c r="T30" i="3"/>
  <c r="R30" i="3"/>
  <c r="P30" i="3"/>
  <c r="N30" i="3"/>
  <c r="L30" i="3"/>
  <c r="J30" i="3"/>
  <c r="I30" i="3"/>
  <c r="H30" i="3"/>
  <c r="F30" i="3"/>
  <c r="D30" i="3"/>
  <c r="AB29" i="3"/>
  <c r="Z29" i="3"/>
  <c r="X29" i="3"/>
  <c r="V29" i="3"/>
  <c r="T29" i="3"/>
  <c r="R29" i="3"/>
  <c r="P29" i="3"/>
  <c r="N29" i="3"/>
  <c r="L29" i="3"/>
  <c r="K29" i="3"/>
  <c r="J29" i="3"/>
  <c r="I29" i="3"/>
  <c r="H29" i="3"/>
  <c r="G29" i="3"/>
  <c r="F29" i="3"/>
  <c r="E29" i="3"/>
  <c r="D29" i="3"/>
  <c r="C29" i="3"/>
  <c r="AB28" i="3"/>
  <c r="Z28" i="3"/>
  <c r="X28" i="3"/>
  <c r="V28" i="3"/>
  <c r="T28" i="3"/>
  <c r="R28" i="3"/>
  <c r="P28" i="3"/>
  <c r="N28" i="3"/>
  <c r="L28" i="3"/>
  <c r="J28" i="3"/>
  <c r="I28" i="3"/>
  <c r="H28" i="3"/>
  <c r="F28" i="3"/>
  <c r="D28" i="3"/>
  <c r="AB27" i="3"/>
  <c r="Z27" i="3"/>
  <c r="X27" i="3"/>
  <c r="V27" i="3"/>
  <c r="T27" i="3"/>
  <c r="R27" i="3"/>
  <c r="P27" i="3"/>
  <c r="N27" i="3"/>
  <c r="L27" i="3"/>
  <c r="J27" i="3"/>
  <c r="I27" i="3"/>
  <c r="H27" i="3"/>
  <c r="F27" i="3"/>
  <c r="D27" i="3"/>
  <c r="AB26" i="3"/>
  <c r="Z26" i="3"/>
  <c r="X26" i="3"/>
  <c r="V26" i="3"/>
  <c r="T26" i="3"/>
  <c r="R26" i="3"/>
  <c r="P26" i="3"/>
  <c r="N26" i="3"/>
  <c r="L26" i="3"/>
  <c r="K26" i="3"/>
  <c r="J26" i="3"/>
  <c r="I26" i="3"/>
  <c r="H26" i="3"/>
  <c r="G26" i="3"/>
  <c r="F26" i="3"/>
  <c r="E26" i="3"/>
  <c r="D26" i="3"/>
  <c r="C26" i="3"/>
  <c r="AB25" i="3"/>
  <c r="Z25" i="3"/>
  <c r="X25" i="3"/>
  <c r="V25" i="3"/>
  <c r="T25" i="3"/>
  <c r="R25" i="3"/>
  <c r="P25" i="3"/>
  <c r="N25" i="3"/>
  <c r="L25" i="3"/>
  <c r="K25" i="3"/>
  <c r="J25" i="3"/>
  <c r="I25" i="3"/>
  <c r="H25" i="3"/>
  <c r="G25" i="3"/>
  <c r="F25" i="3"/>
  <c r="E25" i="3"/>
  <c r="D25" i="3"/>
  <c r="C25" i="3"/>
  <c r="AB24" i="3"/>
  <c r="Z24" i="3"/>
  <c r="X24" i="3"/>
  <c r="V24" i="3"/>
  <c r="T24" i="3"/>
  <c r="R24" i="3"/>
  <c r="P24" i="3"/>
  <c r="N24" i="3"/>
  <c r="L24" i="3"/>
  <c r="K24" i="3"/>
  <c r="J24" i="3"/>
  <c r="I24" i="3"/>
  <c r="H24" i="3"/>
  <c r="G24" i="3"/>
  <c r="F24" i="3"/>
  <c r="E24" i="3"/>
  <c r="D24" i="3"/>
  <c r="C24" i="3"/>
  <c r="AB23" i="3"/>
  <c r="Z23" i="3"/>
  <c r="X23" i="3"/>
  <c r="V23" i="3"/>
  <c r="T23" i="3"/>
  <c r="R23" i="3"/>
  <c r="P23" i="3"/>
  <c r="N23" i="3"/>
  <c r="L23" i="3"/>
  <c r="J23" i="3"/>
  <c r="I23" i="3"/>
  <c r="H23" i="3"/>
  <c r="F23" i="3"/>
  <c r="D23" i="3"/>
  <c r="AB22" i="3"/>
  <c r="Z22" i="3"/>
  <c r="X22" i="3"/>
  <c r="V22" i="3"/>
  <c r="T22" i="3"/>
  <c r="R22" i="3"/>
  <c r="P22" i="3"/>
  <c r="N22" i="3"/>
  <c r="L22" i="3"/>
  <c r="K22" i="3"/>
  <c r="J22" i="3"/>
  <c r="I22" i="3"/>
  <c r="H22" i="3"/>
  <c r="G22" i="3"/>
  <c r="F22" i="3"/>
  <c r="E22" i="3"/>
  <c r="D22" i="3"/>
  <c r="C22" i="3"/>
  <c r="AB21" i="3"/>
  <c r="Z21" i="3"/>
  <c r="X21" i="3"/>
  <c r="V21" i="3"/>
  <c r="T21" i="3"/>
  <c r="R21" i="3"/>
  <c r="P21" i="3"/>
  <c r="N21" i="3"/>
  <c r="L21" i="3"/>
  <c r="J21" i="3"/>
  <c r="I21" i="3"/>
  <c r="H21" i="3"/>
  <c r="F21" i="3"/>
  <c r="D21" i="3"/>
  <c r="AB20" i="3"/>
  <c r="Z20" i="3"/>
  <c r="X20" i="3"/>
  <c r="V20" i="3"/>
  <c r="T20" i="3"/>
  <c r="R20" i="3"/>
  <c r="P20" i="3"/>
  <c r="N20" i="3"/>
  <c r="L20" i="3"/>
  <c r="J20" i="3"/>
  <c r="I20" i="3"/>
  <c r="H20" i="3"/>
  <c r="F20" i="3"/>
  <c r="D20" i="3"/>
  <c r="AB19" i="3"/>
  <c r="Z19" i="3"/>
  <c r="X19" i="3"/>
  <c r="V19" i="3"/>
  <c r="T19" i="3"/>
  <c r="R19" i="3"/>
  <c r="P19" i="3"/>
  <c r="N19" i="3"/>
  <c r="L19" i="3"/>
  <c r="J19" i="3"/>
  <c r="I19" i="3"/>
  <c r="H19" i="3"/>
  <c r="F19" i="3"/>
  <c r="D19" i="3"/>
  <c r="AB18" i="3"/>
  <c r="Z18" i="3"/>
  <c r="X18" i="3"/>
  <c r="V18" i="3"/>
  <c r="T18" i="3"/>
  <c r="R18" i="3"/>
  <c r="P18" i="3"/>
  <c r="N18" i="3"/>
  <c r="L18" i="3"/>
  <c r="J18" i="3"/>
  <c r="I18" i="3"/>
  <c r="H18" i="3"/>
  <c r="F18" i="3"/>
  <c r="D18" i="3"/>
  <c r="AB17" i="3"/>
  <c r="Z17" i="3"/>
  <c r="X17" i="3"/>
  <c r="V17" i="3"/>
  <c r="T17" i="3"/>
  <c r="R17" i="3"/>
  <c r="P17" i="3"/>
  <c r="N17" i="3"/>
  <c r="L17" i="3"/>
  <c r="J17" i="3"/>
  <c r="I17" i="3"/>
  <c r="H17" i="3"/>
  <c r="F17" i="3"/>
  <c r="D17" i="3"/>
  <c r="AB16" i="3"/>
  <c r="Z16" i="3"/>
  <c r="X16" i="3"/>
  <c r="V16" i="3"/>
  <c r="T16" i="3"/>
  <c r="R16" i="3"/>
  <c r="P16" i="3"/>
  <c r="N16" i="3"/>
  <c r="L16" i="3"/>
  <c r="K16" i="3"/>
  <c r="J16" i="3"/>
  <c r="I16" i="3"/>
  <c r="H16" i="3"/>
  <c r="G16" i="3"/>
  <c r="F16" i="3"/>
  <c r="E16" i="3"/>
  <c r="D16" i="3"/>
  <c r="C16" i="3"/>
  <c r="AB15" i="3"/>
  <c r="Z15" i="3"/>
  <c r="X15" i="3"/>
  <c r="V15" i="3"/>
  <c r="T15" i="3"/>
  <c r="R15" i="3"/>
  <c r="P15" i="3"/>
  <c r="N15" i="3"/>
  <c r="L15" i="3"/>
  <c r="K15" i="3"/>
  <c r="I15" i="3"/>
  <c r="G15" i="3"/>
  <c r="E15" i="3"/>
  <c r="C15" i="3"/>
  <c r="AB14" i="3"/>
  <c r="Z14" i="3"/>
  <c r="X14" i="3"/>
  <c r="V14" i="3"/>
  <c r="T14" i="3"/>
  <c r="R14" i="3"/>
  <c r="P14" i="3"/>
  <c r="N14" i="3"/>
  <c r="L14" i="3"/>
  <c r="J14" i="3"/>
  <c r="I14" i="3"/>
  <c r="H14" i="3"/>
  <c r="F14" i="3"/>
  <c r="E14" i="3"/>
  <c r="D14" i="3"/>
  <c r="C14" i="3"/>
  <c r="AB13" i="3"/>
  <c r="Z13" i="3"/>
  <c r="X13" i="3"/>
  <c r="V13" i="3"/>
  <c r="T13" i="3"/>
  <c r="R13" i="3"/>
  <c r="P13" i="3"/>
  <c r="N13" i="3"/>
  <c r="L13" i="3"/>
  <c r="J13" i="3"/>
  <c r="I13" i="3"/>
  <c r="H13" i="3"/>
  <c r="F13" i="3"/>
  <c r="D13" i="3"/>
  <c r="AB12" i="3"/>
  <c r="Z12" i="3"/>
  <c r="X12" i="3"/>
  <c r="V12" i="3"/>
  <c r="T12" i="3"/>
  <c r="R12" i="3"/>
  <c r="P12" i="3"/>
  <c r="N12" i="3"/>
  <c r="L12" i="3"/>
  <c r="J12" i="3"/>
  <c r="I12" i="3"/>
  <c r="H12" i="3"/>
  <c r="F12" i="3"/>
  <c r="D12" i="3"/>
  <c r="AB11" i="3"/>
  <c r="Z11" i="3"/>
  <c r="X11" i="3"/>
  <c r="V11" i="3"/>
  <c r="T11" i="3"/>
  <c r="R11" i="3"/>
  <c r="P11" i="3"/>
  <c r="N11" i="3"/>
  <c r="L11" i="3"/>
  <c r="J11" i="3"/>
  <c r="I11" i="3"/>
  <c r="H11" i="3"/>
  <c r="F11" i="3"/>
  <c r="D11" i="3"/>
  <c r="AB10" i="3"/>
  <c r="Z10" i="3"/>
  <c r="X10" i="3"/>
  <c r="V10" i="3"/>
  <c r="T10" i="3"/>
  <c r="R10" i="3"/>
  <c r="P10" i="3"/>
  <c r="N10" i="3"/>
  <c r="L10" i="3"/>
  <c r="J10" i="3"/>
  <c r="I10" i="3"/>
  <c r="H10" i="3"/>
  <c r="F10" i="3"/>
  <c r="D10" i="3"/>
  <c r="AB9" i="3"/>
  <c r="Z9" i="3"/>
  <c r="X9" i="3"/>
  <c r="V9" i="3"/>
  <c r="T9" i="3"/>
  <c r="R9" i="3"/>
  <c r="P9" i="3"/>
  <c r="N9" i="3"/>
  <c r="L9" i="3"/>
  <c r="J9" i="3"/>
  <c r="I9" i="3"/>
  <c r="H9" i="3"/>
  <c r="F9" i="3"/>
  <c r="D9" i="3"/>
  <c r="AB8" i="3"/>
  <c r="Z8" i="3"/>
  <c r="X8" i="3"/>
  <c r="V8" i="3"/>
  <c r="T8" i="3"/>
  <c r="R8" i="3"/>
  <c r="P8" i="3"/>
  <c r="N8" i="3"/>
  <c r="L8" i="3"/>
  <c r="J8" i="3"/>
  <c r="I8" i="3"/>
  <c r="H8" i="3"/>
  <c r="F8" i="3"/>
  <c r="D8" i="3"/>
  <c r="AB7" i="3"/>
  <c r="Z7" i="3"/>
  <c r="X7" i="3"/>
  <c r="V7" i="3"/>
  <c r="T7" i="3"/>
  <c r="R7" i="3"/>
  <c r="P7" i="3"/>
  <c r="N7" i="3"/>
  <c r="L7" i="3"/>
  <c r="J7" i="3"/>
  <c r="I7" i="3"/>
  <c r="H7" i="3"/>
  <c r="G7" i="3"/>
  <c r="F7" i="3"/>
  <c r="E7" i="3"/>
  <c r="D7" i="3"/>
  <c r="C7" i="3"/>
  <c r="AB6" i="3"/>
  <c r="Z6" i="3"/>
  <c r="X6" i="3"/>
  <c r="V6" i="3"/>
  <c r="T6" i="3"/>
  <c r="R6" i="3"/>
  <c r="P6" i="3"/>
  <c r="N6" i="3"/>
  <c r="L6" i="3"/>
  <c r="K6" i="3"/>
  <c r="J6" i="3"/>
  <c r="I6" i="3"/>
  <c r="H6" i="3"/>
  <c r="G6" i="3"/>
  <c r="F6" i="3"/>
  <c r="E6" i="3"/>
  <c r="D6" i="3"/>
  <c r="C6" i="3"/>
  <c r="AB5" i="3"/>
  <c r="Z5" i="3"/>
  <c r="X5" i="3"/>
  <c r="V5" i="3"/>
  <c r="T5" i="3"/>
  <c r="R5" i="3"/>
  <c r="P5" i="3"/>
  <c r="N5" i="3"/>
  <c r="L5" i="3"/>
  <c r="J5" i="3"/>
  <c r="I5" i="3"/>
  <c r="H5" i="3"/>
  <c r="F5" i="3"/>
  <c r="D5" i="3"/>
  <c r="AB4" i="3"/>
  <c r="Z4" i="3"/>
  <c r="X4" i="3"/>
  <c r="V4" i="3"/>
  <c r="T4" i="3"/>
  <c r="R4" i="3"/>
  <c r="P4" i="3"/>
  <c r="N4" i="3"/>
  <c r="L4" i="3"/>
  <c r="J4" i="3"/>
  <c r="I4" i="3"/>
  <c r="H4" i="3"/>
  <c r="F4" i="3"/>
  <c r="D4" i="3"/>
  <c r="AB3" i="3"/>
  <c r="Z3" i="3"/>
  <c r="X3" i="3"/>
  <c r="V3" i="3"/>
  <c r="T3" i="3"/>
  <c r="R3" i="3"/>
  <c r="P3" i="3"/>
  <c r="N3" i="3"/>
  <c r="L3" i="3"/>
  <c r="K3" i="3"/>
  <c r="J3" i="3"/>
  <c r="I3" i="3"/>
  <c r="H3" i="3"/>
  <c r="G3" i="3"/>
  <c r="F3" i="3"/>
  <c r="E3" i="3"/>
  <c r="D3" i="3"/>
  <c r="C3" i="3"/>
  <c r="AB2" i="3"/>
  <c r="Z2" i="3"/>
  <c r="X2" i="3"/>
  <c r="V2" i="3"/>
  <c r="T2" i="3"/>
  <c r="R2" i="3"/>
  <c r="P2" i="3"/>
  <c r="N2" i="3"/>
  <c r="L2" i="3"/>
  <c r="J2" i="3"/>
  <c r="I2" i="3"/>
  <c r="H2" i="3"/>
  <c r="F2" i="3"/>
  <c r="D2" i="3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O47" i="2"/>
  <c r="O46" i="2"/>
  <c r="O45" i="2"/>
  <c r="O44" i="2"/>
  <c r="O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5" i="2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O3" i="2"/>
  <c r="N3" i="2"/>
  <c r="M3" i="2"/>
  <c r="L3" i="2"/>
  <c r="K3" i="2"/>
  <c r="J3" i="2"/>
  <c r="I3" i="2"/>
  <c r="H3" i="2"/>
  <c r="G3" i="2"/>
  <c r="F3" i="2"/>
  <c r="E3" i="2"/>
  <c r="D3" i="2"/>
  <c r="C3" i="2"/>
  <c r="O2" i="2"/>
  <c r="N2" i="2"/>
  <c r="M2" i="2"/>
  <c r="L2" i="2"/>
  <c r="K2" i="2"/>
  <c r="J2" i="2"/>
  <c r="I2" i="2"/>
  <c r="H2" i="2"/>
  <c r="G2" i="2"/>
  <c r="F2" i="2"/>
  <c r="E2" i="2"/>
  <c r="D2" i="2"/>
  <c r="C2" i="2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O71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O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O62" i="1"/>
  <c r="N62" i="1"/>
  <c r="M62" i="1"/>
  <c r="L62" i="1"/>
  <c r="K62" i="1"/>
  <c r="J62" i="1"/>
  <c r="I62" i="1"/>
  <c r="H62" i="1"/>
  <c r="G62" i="1"/>
  <c r="F62" i="1"/>
  <c r="E62" i="1"/>
  <c r="D62" i="1"/>
  <c r="O61" i="1"/>
  <c r="N61" i="1"/>
  <c r="M61" i="1"/>
  <c r="L61" i="1"/>
  <c r="K61" i="1"/>
  <c r="J61" i="1"/>
  <c r="I61" i="1"/>
  <c r="H61" i="1"/>
  <c r="G61" i="1"/>
  <c r="F61" i="1"/>
  <c r="E61" i="1"/>
  <c r="D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O59" i="1"/>
  <c r="O58" i="1"/>
  <c r="O57" i="1"/>
  <c r="O56" i="1"/>
  <c r="O55" i="1"/>
  <c r="O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O52" i="1"/>
  <c r="O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O48" i="1"/>
  <c r="O47" i="1"/>
  <c r="O46" i="1"/>
  <c r="O45" i="1"/>
  <c r="O44" i="1"/>
  <c r="O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O41" i="1"/>
  <c r="O40" i="1"/>
  <c r="O39" i="1"/>
  <c r="O38" i="1"/>
  <c r="Q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O36" i="1"/>
  <c r="O35" i="1"/>
  <c r="O34" i="1"/>
  <c r="Q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O31" i="1"/>
  <c r="O30" i="1"/>
  <c r="Q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O28" i="1"/>
  <c r="Q27" i="1"/>
  <c r="O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Q23" i="1"/>
  <c r="O23" i="1"/>
  <c r="Q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O21" i="1"/>
  <c r="Q20" i="1"/>
  <c r="O20" i="1"/>
  <c r="AE19" i="1"/>
  <c r="AD19" i="1"/>
  <c r="AC19" i="1"/>
  <c r="AB19" i="1"/>
  <c r="AA19" i="1"/>
  <c r="Z19" i="1"/>
  <c r="Y19" i="1"/>
  <c r="X19" i="1"/>
  <c r="W19" i="1"/>
  <c r="V19" i="1"/>
  <c r="U19" i="1"/>
  <c r="T19" i="1"/>
  <c r="Q19" i="1"/>
  <c r="O19" i="1"/>
  <c r="AE18" i="1"/>
  <c r="AD18" i="1"/>
  <c r="AC18" i="1"/>
  <c r="AB18" i="1"/>
  <c r="AA18" i="1"/>
  <c r="Z18" i="1"/>
  <c r="Y18" i="1"/>
  <c r="X18" i="1"/>
  <c r="W18" i="1"/>
  <c r="V18" i="1"/>
  <c r="U18" i="1"/>
  <c r="T18" i="1"/>
  <c r="Q18" i="1"/>
  <c r="O18" i="1"/>
  <c r="AE17" i="1"/>
  <c r="AD17" i="1"/>
  <c r="AC17" i="1"/>
  <c r="AB17" i="1"/>
  <c r="AA17" i="1"/>
  <c r="Z17" i="1"/>
  <c r="Y17" i="1"/>
  <c r="X17" i="1"/>
  <c r="W17" i="1"/>
  <c r="V17" i="1"/>
  <c r="U17" i="1"/>
  <c r="T17" i="1"/>
  <c r="Q17" i="1"/>
  <c r="O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15" i="1"/>
  <c r="O15" i="1"/>
  <c r="AE14" i="1"/>
  <c r="AD14" i="1"/>
  <c r="AC14" i="1"/>
  <c r="AB14" i="1"/>
  <c r="AA14" i="1"/>
  <c r="Z14" i="1"/>
  <c r="Y14" i="1"/>
  <c r="X14" i="1"/>
  <c r="W14" i="1"/>
  <c r="V14" i="1"/>
  <c r="U14" i="1"/>
  <c r="T14" i="1"/>
  <c r="Q14" i="1"/>
  <c r="O14" i="1"/>
  <c r="AE13" i="1"/>
  <c r="AD13" i="1"/>
  <c r="AC13" i="1"/>
  <c r="AB13" i="1"/>
  <c r="AA13" i="1"/>
  <c r="Z13" i="1"/>
  <c r="Y13" i="1"/>
  <c r="X13" i="1"/>
  <c r="W13" i="1"/>
  <c r="V13" i="1"/>
  <c r="U13" i="1"/>
  <c r="T13" i="1"/>
  <c r="Q13" i="1"/>
  <c r="O13" i="1"/>
  <c r="O12" i="1"/>
  <c r="Q11" i="1"/>
  <c r="O11" i="1"/>
  <c r="Q10" i="1"/>
  <c r="O10" i="1"/>
  <c r="Q9" i="1"/>
  <c r="O9" i="1"/>
  <c r="Q8" i="1"/>
  <c r="O8" i="1"/>
  <c r="O7" i="1"/>
  <c r="N7" i="1"/>
  <c r="M7" i="1"/>
  <c r="L7" i="1"/>
  <c r="K7" i="1"/>
  <c r="J7" i="1"/>
  <c r="I7" i="1"/>
  <c r="H7" i="1"/>
  <c r="G7" i="1"/>
  <c r="F7" i="1"/>
  <c r="E7" i="1"/>
  <c r="D7" i="1"/>
  <c r="C7" i="1"/>
  <c r="Q6" i="1"/>
  <c r="O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comments1.xml><?xml version="1.0" encoding="utf-8"?>
<comments xmlns="http://schemas.openxmlformats.org/spreadsheetml/2006/main">
  <authors>
    <author>Administrator</author>
  </authors>
  <commentList>
    <comment ref="C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E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F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H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I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J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K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L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M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N30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C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E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H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I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J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K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L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M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N31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E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H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I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J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K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M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  <comment ref="N32" authorId="0" shape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Estava com o vínculo para pasta errada [REFAZER]</t>
        </r>
      </text>
    </comment>
  </commentList>
</comments>
</file>

<file path=xl/comments2.xml><?xml version="1.0" encoding="utf-8"?>
<comments xmlns="http://schemas.openxmlformats.org/spreadsheetml/2006/main">
  <authors>
    <author>Tintas Hidracor S/A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Cta. Rec. Bruta de Vdas + ICMS SUBSTITUTO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Cta: 43107002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sz val="10"/>
            <color indexed="81"/>
            <rFont val="Tahoma"/>
            <family val="2"/>
          </rPr>
          <t xml:space="preserve">Bonificações Totais
</t>
        </r>
      </text>
    </comment>
    <comment ref="B28" authorId="0" shapeId="0">
      <text>
        <r>
          <rPr>
            <sz val="10"/>
            <color indexed="81"/>
            <rFont val="Tahoma"/>
            <family val="2"/>
          </rPr>
          <t xml:space="preserve">Insolvencia + Representações Junto a Terceiros + Viagens e Estadias no Pais + Outras Desp c/ Vendas
</t>
        </r>
      </text>
    </comment>
  </commentList>
</comments>
</file>

<file path=xl/sharedStrings.xml><?xml version="1.0" encoding="utf-8"?>
<sst xmlns="http://schemas.openxmlformats.org/spreadsheetml/2006/main" count="261" uniqueCount="118">
  <si>
    <t>D R E - Contábil-H2018-R$ mil</t>
  </si>
  <si>
    <t>DADOS_BD_FONTE</t>
  </si>
  <si>
    <t>Check¹</t>
  </si>
  <si>
    <t>Check²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</si>
  <si>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</si>
  <si>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</si>
  <si>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</si>
  <si>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</si>
  <si>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</si>
  <si>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</si>
  <si>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</si>
  <si>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</si>
  <si>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</si>
  <si>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</si>
  <si>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</si>
  <si>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</si>
  <si>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FATURAMENTO</t>
  </si>
  <si>
    <t>(+/-) Deduções da Receita Bruta de Vendas</t>
  </si>
  <si>
    <t>(-) IPI</t>
  </si>
  <si>
    <t>(-) ICMS Substituto</t>
  </si>
  <si>
    <t>RECEITA  BRUTA DE VENDAS</t>
  </si>
  <si>
    <t>(+/-) Adições/Deduções da Receita de Vendas</t>
  </si>
  <si>
    <t>(-) ICMS</t>
  </si>
  <si>
    <t>(+) FDI/PROVIN (56,25%)</t>
  </si>
  <si>
    <t>(-) PIS</t>
  </si>
  <si>
    <t>(-) COFINS</t>
  </si>
  <si>
    <t>(-) CFEM</t>
  </si>
  <si>
    <t>(-) DEVOLUÇÕES</t>
  </si>
  <si>
    <t>(-) BONIFICAÇÃO</t>
  </si>
  <si>
    <t>RECEITA  LÍQUIDA DE IMPOSTOS</t>
  </si>
  <si>
    <t>(-) DESPESAS VARIÁVEIS DE VENDA</t>
  </si>
  <si>
    <t>Fretes</t>
  </si>
  <si>
    <t>Comissões</t>
  </si>
  <si>
    <t>Prêmio Atingimento de Metas</t>
  </si>
  <si>
    <t>CUSTO VARIÁVEL</t>
  </si>
  <si>
    <t>MARGEM DE CONTRIBUIÇÃO</t>
  </si>
  <si>
    <t>CUSTO FIXO</t>
  </si>
  <si>
    <t>MARGEM BRUTA</t>
  </si>
  <si>
    <t>(-) DESPESAS OPERACIONAIS</t>
  </si>
  <si>
    <t>DESPESAS COM VENDAS</t>
  </si>
  <si>
    <t>Estrutura de Vendas</t>
  </si>
  <si>
    <t>Outras Despesas com Vendas</t>
  </si>
  <si>
    <t>DESPESAS COM LOGÍSTICA</t>
  </si>
  <si>
    <t>Estrutura de Logística / Suprimentos</t>
  </si>
  <si>
    <t>Almoxarifado Insumos</t>
  </si>
  <si>
    <t>Almoxarifado Produtos/Expedição</t>
  </si>
  <si>
    <t>DESPESAS COM MARKETING</t>
  </si>
  <si>
    <t>Estrutura de Marketing</t>
  </si>
  <si>
    <t>Propaganda</t>
  </si>
  <si>
    <t>Promoção, Eventos e PDV</t>
  </si>
  <si>
    <t>DESPESAS GERAIS E ADM</t>
  </si>
  <si>
    <t>Estrutura Administrativa</t>
  </si>
  <si>
    <t>Serviços Prestados</t>
  </si>
  <si>
    <t>Depreciação/Amortização</t>
  </si>
  <si>
    <t>Outras Despesas/Receitas Operacionais</t>
  </si>
  <si>
    <t>RESULTADO FINANCEIRO - OPERACIONAL</t>
  </si>
  <si>
    <t>Tarifas de Cobrança</t>
  </si>
  <si>
    <t>Outras Tarifas Bancárias</t>
  </si>
  <si>
    <t>Juros Recebidos de Clientes</t>
  </si>
  <si>
    <t>Juros Pagos à Fornecedores</t>
  </si>
  <si>
    <t>Outros Resultados Financeiros Operacionais</t>
  </si>
  <si>
    <t>EBIT - RESULTADO OPERACIONAL</t>
  </si>
  <si>
    <t>(+/-) RESULTADO NÃO-OPERACIONAL</t>
  </si>
  <si>
    <t>Compensação de Impostos</t>
  </si>
  <si>
    <t>Outras Rec e Desp Não-Operacionais</t>
  </si>
  <si>
    <t>(+/-) RESULTADO FINANCEIRO NÃO-OPERACIONAL</t>
  </si>
  <si>
    <t>(-) Juros s/ Empréstimos e Financiamentos</t>
  </si>
  <si>
    <t>(-) Apropriação FDI/Provin (TJLP)</t>
  </si>
  <si>
    <t>(+) Rendimento de Aplicações</t>
  </si>
  <si>
    <t>(-) PIS e COFINS s/ Receitas Financeiras</t>
  </si>
  <si>
    <t>(+/-) Outros Resultados Financeiros Não-Operacionais</t>
  </si>
  <si>
    <t>RESULTADO LÍQUIDO CONTÁBIL ANTES IRPJ / CSLL</t>
  </si>
  <si>
    <t>(-) PREVISAO PARA I.R.P.J</t>
  </si>
  <si>
    <t>(-) PREVISAO PARA CSLL</t>
  </si>
  <si>
    <t>RESULTADO LÍQUIDO CONTÁBIL APÓS IRPJ/CSLL</t>
  </si>
  <si>
    <t>DEPRECIAÇÃO/AMORTIZAÇÃO</t>
  </si>
  <si>
    <t>EBITDA (Res.Oper. + Deprec./Amort.)</t>
  </si>
  <si>
    <t>GERAÇÃO DE CAIXA (Res.líq.Ger. + Deprec./Amort.)</t>
  </si>
  <si>
    <t>EBITDA-% (S/ Receita Líquida)</t>
  </si>
  <si>
    <t>GERAÇÃO DE CAIXA-%(S/ Receita Líquida)</t>
  </si>
  <si>
    <t>EBIT-% (S/ Receita Líquida)</t>
  </si>
  <si>
    <t>D R E-H2018-Contábil-R$mil</t>
  </si>
  <si>
    <t>RESULTADO LÍQUIDO APÓS IRPJ / CSLL</t>
  </si>
  <si>
    <t>D R E Contábil Comp. Acum.</t>
  </si>
  <si>
    <t>%</t>
  </si>
  <si>
    <t>2015-Real</t>
  </si>
  <si>
    <t>H-2018</t>
  </si>
  <si>
    <t>2018 - Real</t>
  </si>
  <si>
    <t>Δ (%) H18 x 15</t>
  </si>
  <si>
    <t>Δ (%) H18 x 16</t>
  </si>
  <si>
    <t>Δ (%) H18 x 17</t>
  </si>
  <si>
    <t>Δ (%) 18 x H18</t>
  </si>
  <si>
    <t>Δ (R$) H18 x 15</t>
  </si>
  <si>
    <t>Δ (R$) H18 x 16</t>
  </si>
  <si>
    <t>Δ (R$) H18 x 17</t>
  </si>
  <si>
    <t>Δ (R$) 18 x H18</t>
  </si>
  <si>
    <t>(-) BONIFICAÇÕES COMERCIAIS</t>
  </si>
  <si>
    <t>RECEITA  LÍQUIDA DE VENDAS</t>
  </si>
  <si>
    <t>DESPESA/RECEITA FINANCEIRA-OPERACIONAL</t>
  </si>
  <si>
    <t>(+) Acionista (Operacional)</t>
  </si>
  <si>
    <t>(+) Assessoria (Operacional)</t>
  </si>
  <si>
    <t>(+) Parcelamento Fiscal (REFIS+PAES Cemec)(Ñ.Operac.)</t>
  </si>
  <si>
    <t>(+) Outros Ajustes (Operacional)</t>
  </si>
  <si>
    <t>(+) Outros Ajustes (Ñ.Operacional)</t>
  </si>
  <si>
    <t>MARGEM DE CONTRIBUIÇÃO (-) FDI / Provin</t>
  </si>
  <si>
    <t>2016-Real</t>
  </si>
  <si>
    <t>(-) Juros s/ Mutuos</t>
  </si>
  <si>
    <t>(-) PR0VISAO PARA I.R.P.J</t>
  </si>
  <si>
    <t>(-) PROVISAO PARA CSLL</t>
  </si>
  <si>
    <t>IOF</t>
  </si>
  <si>
    <t>Outras Verbas Comerciais</t>
  </si>
  <si>
    <t>(-) Juros s/ Empréstimos e Financiamentos (Vr. Anterior)</t>
  </si>
  <si>
    <t>Estimativa de antecipação de recebiveis mensal</t>
  </si>
  <si>
    <t xml:space="preserve"> IOF</t>
  </si>
  <si>
    <t xml:space="preserve">Outras Verbas Comerciais </t>
  </si>
  <si>
    <t>(-) Juros s/ Empréstimos e Financ. - Intercompanhia</t>
  </si>
  <si>
    <t>(-) Juros s/ Empréstimos e Financiamentos - Intercompanhia</t>
  </si>
  <si>
    <t>2017-Real + F(10+2)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</si>
</sst>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#,##0.00_ ;\-#,##0.00\ "/>
    <numFmt numFmtId="166" formatCode="0.0%"/>
    <numFmt numFmtId="167" formatCode="_(* #,##0_);_(* \(#,##0\);_(* &quot;-&quot;??_);_(@_)"/>
    <numFmt numFmtId="168" formatCode="#,##0.0_);[Red]\(#,##0.0\)"/>
    <numFmt numFmtId="169" formatCode="_(* #,##0_);_(* \(#,##0\);_(* &quot;-&quot;_);_(@_)"/>
    <numFmt numFmtId="170" formatCode="_(* #,##0.0_);_(* \(#,##0.0\);_(* &quot;-&quot;??_);_(@_)"/>
  </numFmts>
  <fonts count="13" x14ac:knownFonts="1"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0">
    <xf numFmtId="0" fontId="0" fillId="0" borderId="0" xfId="0"/>
    <xf numFmtId="168" fontId="5" fillId="2" borderId="4" xfId="0" applyNumberFormat="1" applyFont="1" applyFill="1" applyBorder="1" applyAlignment="1">
      <alignment horizontal="right" wrapText="1"/>
    </xf>
    <xf numFmtId="39" fontId="5" fillId="2" borderId="4" xfId="0" applyNumberFormat="1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0" fontId="8" fillId="2" borderId="1" xfId="0" applyFont="1" applyFill="1" applyBorder="1" applyAlignment="1">
      <alignment horizontal="center"/>
    </xf>
    <xf numFmtId="17" fontId="8" fillId="2" borderId="2" xfId="0" applyNumberFormat="1" applyFont="1" applyFill="1" applyBorder="1" applyAlignment="1">
      <alignment horizontal="center"/>
    </xf>
    <xf numFmtId="0" fontId="8" fillId="2" borderId="3" xfId="0" applyNumberFormat="1" applyFont="1" applyFill="1" applyBorder="1" applyAlignment="1">
      <alignment horizontal="center"/>
    </xf>
    <xf numFmtId="4" fontId="6" fillId="0" borderId="0" xfId="0" applyNumberFormat="1" applyFont="1" applyFill="1" applyBorder="1"/>
    <xf numFmtId="165" fontId="10" fillId="0" borderId="0" xfId="0" applyNumberFormat="1" applyFont="1" applyFill="1" applyBorder="1"/>
    <xf numFmtId="0" fontId="6" fillId="3" borderId="4" xfId="0" applyFont="1" applyFill="1" applyBorder="1" applyAlignment="1">
      <alignment horizontal="left"/>
    </xf>
    <xf numFmtId="167" fontId="6" fillId="0" borderId="6" xfId="1" applyNumberFormat="1" applyFont="1" applyFill="1" applyBorder="1" applyAlignment="1">
      <alignment horizontal="center"/>
    </xf>
    <xf numFmtId="167" fontId="6" fillId="0" borderId="7" xfId="1" applyNumberFormat="1" applyFont="1" applyBorder="1"/>
    <xf numFmtId="4" fontId="9" fillId="0" borderId="0" xfId="0" applyNumberFormat="1" applyFont="1" applyFill="1" applyBorder="1"/>
    <xf numFmtId="0" fontId="6" fillId="3" borderId="8" xfId="0" applyFont="1" applyFill="1" applyBorder="1" applyAlignment="1">
      <alignment horizontal="left" indent="1"/>
    </xf>
    <xf numFmtId="167" fontId="9" fillId="0" borderId="6" xfId="1" applyNumberFormat="1" applyFont="1" applyBorder="1"/>
    <xf numFmtId="0" fontId="9" fillId="3" borderId="10" xfId="0" applyFont="1" applyFill="1" applyBorder="1" applyAlignment="1">
      <alignment horizontal="left" indent="1"/>
    </xf>
    <xf numFmtId="167" fontId="9" fillId="0" borderId="11" xfId="1" applyNumberFormat="1" applyFont="1" applyFill="1" applyBorder="1" applyAlignment="1">
      <alignment horizontal="center"/>
    </xf>
    <xf numFmtId="167" fontId="6" fillId="0" borderId="12" xfId="1" applyNumberFormat="1" applyFont="1" applyBorder="1"/>
    <xf numFmtId="167" fontId="6" fillId="0" borderId="13" xfId="1" applyNumberFormat="1" applyFont="1" applyBorder="1"/>
    <xf numFmtId="0" fontId="6" fillId="0" borderId="8" xfId="0" applyFont="1" applyBorder="1" applyAlignment="1">
      <alignment horizontal="left" indent="1"/>
    </xf>
    <xf numFmtId="4" fontId="9" fillId="0" borderId="0" xfId="1" applyNumberFormat="1" applyFont="1" applyFill="1" applyBorder="1"/>
    <xf numFmtId="167" fontId="6" fillId="0" borderId="13" xfId="1" applyNumberFormat="1" applyFont="1" applyFill="1" applyBorder="1"/>
    <xf numFmtId="10" fontId="9" fillId="0" borderId="0" xfId="2" applyNumberFormat="1" applyFont="1" applyBorder="1"/>
    <xf numFmtId="4" fontId="10" fillId="0" borderId="0" xfId="1" applyNumberFormat="1" applyFont="1" applyBorder="1"/>
    <xf numFmtId="167" fontId="6" fillId="0" borderId="14" xfId="1" applyNumberFormat="1" applyFont="1" applyBorder="1"/>
    <xf numFmtId="166" fontId="9" fillId="0" borderId="0" xfId="2" applyNumberFormat="1" applyFont="1" applyBorder="1"/>
    <xf numFmtId="167" fontId="6" fillId="0" borderId="6" xfId="1" applyNumberFormat="1" applyFont="1" applyBorder="1"/>
    <xf numFmtId="0" fontId="6" fillId="0" borderId="0" xfId="0" applyFont="1" applyBorder="1"/>
    <xf numFmtId="0" fontId="6" fillId="3" borderId="10" xfId="0" applyFont="1" applyFill="1" applyBorder="1" applyAlignment="1">
      <alignment horizontal="left" indent="1"/>
    </xf>
    <xf numFmtId="167" fontId="9" fillId="0" borderId="6" xfId="1" applyNumberFormat="1" applyFont="1" applyBorder="1" applyAlignment="1">
      <alignment horizontal="center"/>
    </xf>
    <xf numFmtId="167" fontId="9" fillId="0" borderId="11" xfId="1" applyNumberFormat="1" applyFont="1" applyBorder="1" applyAlignment="1">
      <alignment horizontal="center"/>
    </xf>
    <xf numFmtId="167" fontId="6" fillId="0" borderId="12" xfId="1" applyNumberFormat="1" applyFont="1" applyFill="1" applyBorder="1"/>
    <xf numFmtId="4" fontId="9" fillId="0" borderId="0" xfId="2" applyNumberFormat="1" applyFont="1" applyFill="1" applyBorder="1"/>
    <xf numFmtId="0" fontId="9" fillId="3" borderId="4" xfId="0" applyFont="1" applyFill="1" applyBorder="1" applyAlignment="1">
      <alignment horizontal="left" indent="1"/>
    </xf>
    <xf numFmtId="167" fontId="9" fillId="0" borderId="6" xfId="1" applyNumberFormat="1" applyFont="1" applyFill="1" applyBorder="1" applyAlignment="1">
      <alignment horizontal="center"/>
    </xf>
    <xf numFmtId="167" fontId="6" fillId="0" borderId="7" xfId="1" applyNumberFormat="1" applyFont="1" applyFill="1" applyBorder="1"/>
    <xf numFmtId="0" fontId="6" fillId="2" borderId="4" xfId="0" applyFont="1" applyFill="1" applyBorder="1" applyAlignment="1">
      <alignment horizontal="left"/>
    </xf>
    <xf numFmtId="167" fontId="6" fillId="2" borderId="6" xfId="1" applyNumberFormat="1" applyFont="1" applyFill="1" applyBorder="1"/>
    <xf numFmtId="167" fontId="6" fillId="2" borderId="7" xfId="1" applyNumberFormat="1" applyFont="1" applyFill="1" applyBorder="1"/>
    <xf numFmtId="167" fontId="9" fillId="0" borderId="6" xfId="1" applyNumberFormat="1" applyFont="1" applyFill="1" applyBorder="1"/>
    <xf numFmtId="0" fontId="6" fillId="0" borderId="4" xfId="0" applyFont="1" applyBorder="1" applyAlignment="1">
      <alignment horizontal="left"/>
    </xf>
    <xf numFmtId="167" fontId="6" fillId="0" borderId="11" xfId="1" applyNumberFormat="1" applyFont="1" applyBorder="1"/>
    <xf numFmtId="0" fontId="6" fillId="3" borderId="15" xfId="0" applyFont="1" applyFill="1" applyBorder="1" applyAlignment="1">
      <alignment horizontal="left" indent="2"/>
    </xf>
    <xf numFmtId="167" fontId="6" fillId="0" borderId="17" xfId="1" applyNumberFormat="1" applyFont="1" applyBorder="1"/>
    <xf numFmtId="167" fontId="6" fillId="0" borderId="18" xfId="1" applyNumberFormat="1" applyFont="1" applyBorder="1"/>
    <xf numFmtId="0" fontId="6" fillId="0" borderId="0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left" indent="2"/>
    </xf>
    <xf numFmtId="167" fontId="6" fillId="0" borderId="18" xfId="1" applyNumberFormat="1" applyFont="1" applyFill="1" applyBorder="1"/>
    <xf numFmtId="0" fontId="9" fillId="0" borderId="0" xfId="0" applyFont="1" applyFill="1" applyBorder="1"/>
    <xf numFmtId="167" fontId="6" fillId="0" borderId="19" xfId="1" applyNumberFormat="1" applyFont="1" applyBorder="1"/>
    <xf numFmtId="167" fontId="6" fillId="0" borderId="17" xfId="1" applyNumberFormat="1" applyFont="1" applyFill="1" applyBorder="1"/>
    <xf numFmtId="167" fontId="6" fillId="0" borderId="20" xfId="1" applyNumberFormat="1" applyFont="1" applyBorder="1"/>
    <xf numFmtId="167" fontId="6" fillId="0" borderId="17" xfId="1" applyNumberFormat="1" applyFont="1" applyBorder="1" applyAlignment="1">
      <alignment horizontal="center"/>
    </xf>
    <xf numFmtId="167" fontId="6" fillId="0" borderId="17" xfId="1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67" fontId="9" fillId="0" borderId="21" xfId="1" applyNumberFormat="1" applyFont="1" applyFill="1" applyBorder="1" applyAlignment="1">
      <alignment horizontal="center"/>
    </xf>
    <xf numFmtId="0" fontId="6" fillId="0" borderId="0" xfId="0" applyFont="1" applyFill="1" applyBorder="1"/>
    <xf numFmtId="167" fontId="9" fillId="0" borderId="22" xfId="1" applyNumberFormat="1" applyFont="1" applyFill="1" applyBorder="1" applyAlignment="1">
      <alignment horizontal="center"/>
    </xf>
    <xf numFmtId="167" fontId="6" fillId="0" borderId="22" xfId="1" applyNumberFormat="1" applyFont="1" applyBorder="1"/>
    <xf numFmtId="167" fontId="6" fillId="0" borderId="22" xfId="1" applyNumberFormat="1" applyFont="1" applyFill="1" applyBorder="1"/>
    <xf numFmtId="0" fontId="6" fillId="0" borderId="23" xfId="0" applyFont="1" applyBorder="1" applyAlignment="1">
      <alignment horizontal="left" indent="1"/>
    </xf>
    <xf numFmtId="167" fontId="9" fillId="0" borderId="25" xfId="1" applyNumberFormat="1" applyFont="1" applyFill="1" applyBorder="1"/>
    <xf numFmtId="0" fontId="9" fillId="0" borderId="10" xfId="0" applyFont="1" applyBorder="1" applyAlignment="1">
      <alignment horizontal="left" indent="1"/>
    </xf>
    <xf numFmtId="0" fontId="6" fillId="0" borderId="15" xfId="0" applyFont="1" applyBorder="1" applyAlignment="1">
      <alignment horizontal="left" indent="1"/>
    </xf>
    <xf numFmtId="0" fontId="9" fillId="0" borderId="10" xfId="0" applyFont="1" applyFill="1" applyBorder="1" applyAlignment="1">
      <alignment horizontal="left" indent="1"/>
    </xf>
    <xf numFmtId="167" fontId="9" fillId="0" borderId="11" xfId="1" applyNumberFormat="1" applyFont="1" applyFill="1" applyBorder="1"/>
    <xf numFmtId="0" fontId="9" fillId="0" borderId="8" xfId="0" applyFont="1" applyBorder="1" applyAlignment="1">
      <alignment horizontal="left" indent="1"/>
    </xf>
    <xf numFmtId="0" fontId="6" fillId="2" borderId="27" xfId="0" applyFont="1" applyFill="1" applyBorder="1" applyAlignment="1">
      <alignment horizontal="left" indent="1"/>
    </xf>
    <xf numFmtId="167" fontId="6" fillId="2" borderId="25" xfId="1" applyNumberFormat="1" applyFont="1" applyFill="1" applyBorder="1"/>
    <xf numFmtId="167" fontId="6" fillId="2" borderId="12" xfId="1" applyNumberFormat="1" applyFont="1" applyFill="1" applyBorder="1"/>
    <xf numFmtId="0" fontId="9" fillId="0" borderId="26" xfId="0" applyFont="1" applyBorder="1" applyAlignment="1">
      <alignment horizontal="left" indent="1"/>
    </xf>
    <xf numFmtId="167" fontId="9" fillId="0" borderId="17" xfId="1" applyNumberFormat="1" applyFont="1" applyBorder="1"/>
    <xf numFmtId="0" fontId="9" fillId="0" borderId="15" xfId="0" applyFont="1" applyBorder="1" applyAlignment="1">
      <alignment horizontal="left" indent="1"/>
    </xf>
    <xf numFmtId="10" fontId="9" fillId="0" borderId="17" xfId="2" applyNumberFormat="1" applyFont="1" applyBorder="1"/>
    <xf numFmtId="10" fontId="9" fillId="0" borderId="19" xfId="2" applyNumberFormat="1" applyFont="1" applyBorder="1"/>
    <xf numFmtId="10" fontId="9" fillId="0" borderId="20" xfId="2" applyNumberFormat="1" applyFont="1" applyBorder="1"/>
    <xf numFmtId="0" fontId="9" fillId="0" borderId="1" xfId="0" applyFont="1" applyBorder="1" applyAlignment="1">
      <alignment horizontal="left" indent="1"/>
    </xf>
    <xf numFmtId="10" fontId="9" fillId="0" borderId="2" xfId="2" applyNumberFormat="1" applyFont="1" applyBorder="1"/>
    <xf numFmtId="10" fontId="9" fillId="0" borderId="3" xfId="2" applyNumberFormat="1" applyFont="1" applyBorder="1"/>
    <xf numFmtId="0" fontId="9" fillId="0" borderId="0" xfId="0" applyFont="1" applyBorder="1" applyAlignment="1">
      <alignment horizontal="left"/>
    </xf>
    <xf numFmtId="164" fontId="9" fillId="0" borderId="0" xfId="1" applyNumberFormat="1" applyFont="1" applyBorder="1"/>
    <xf numFmtId="164" fontId="9" fillId="0" borderId="0" xfId="0" applyNumberFormat="1" applyFont="1" applyBorder="1"/>
    <xf numFmtId="164" fontId="9" fillId="0" borderId="0" xfId="1" applyNumberFormat="1" applyFont="1" applyFill="1" applyBorder="1"/>
    <xf numFmtId="0" fontId="9" fillId="0" borderId="0" xfId="0" applyFont="1" applyBorder="1" applyAlignment="1">
      <alignment horizontal="center"/>
    </xf>
    <xf numFmtId="0" fontId="9" fillId="0" borderId="45" xfId="0" applyFont="1" applyBorder="1" applyAlignment="1">
      <alignment horizontal="left"/>
    </xf>
    <xf numFmtId="167" fontId="9" fillId="0" borderId="27" xfId="3" applyNumberFormat="1" applyFont="1" applyBorder="1"/>
    <xf numFmtId="168" fontId="9" fillId="0" borderId="46" xfId="3" applyNumberFormat="1" applyFont="1" applyFill="1" applyBorder="1" applyAlignment="1">
      <alignment horizontal="center"/>
    </xf>
    <xf numFmtId="168" fontId="0" fillId="0" borderId="10" xfId="2" applyNumberFormat="1" applyFont="1" applyBorder="1" applyAlignment="1">
      <alignment horizontal="right"/>
    </xf>
    <xf numFmtId="167" fontId="9" fillId="0" borderId="47" xfId="3" applyNumberFormat="1" applyFont="1" applyBorder="1"/>
    <xf numFmtId="0" fontId="9" fillId="0" borderId="18" xfId="0" applyFont="1" applyBorder="1" applyAlignment="1">
      <alignment horizontal="left" indent="1"/>
    </xf>
    <xf numFmtId="169" fontId="9" fillId="0" borderId="48" xfId="0" applyNumberFormat="1" applyFont="1" applyBorder="1" applyAlignment="1">
      <alignment horizontal="center"/>
    </xf>
    <xf numFmtId="168" fontId="9" fillId="0" borderId="44" xfId="0" applyNumberFormat="1" applyFont="1" applyFill="1" applyBorder="1" applyAlignment="1">
      <alignment horizontal="center"/>
    </xf>
    <xf numFmtId="169" fontId="9" fillId="0" borderId="48" xfId="0" applyNumberFormat="1" applyFont="1" applyFill="1" applyBorder="1" applyAlignment="1">
      <alignment horizontal="center"/>
    </xf>
    <xf numFmtId="168" fontId="9" fillId="0" borderId="47" xfId="2" applyNumberFormat="1" applyFont="1" applyBorder="1" applyAlignment="1">
      <alignment horizontal="right"/>
    </xf>
    <xf numFmtId="167" fontId="9" fillId="0" borderId="47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 indent="1"/>
    </xf>
    <xf numFmtId="167" fontId="9" fillId="0" borderId="49" xfId="0" applyNumberFormat="1" applyFont="1" applyBorder="1" applyAlignment="1">
      <alignment horizontal="center"/>
    </xf>
    <xf numFmtId="168" fontId="9" fillId="0" borderId="5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67" fontId="9" fillId="2" borderId="49" xfId="3" applyNumberFormat="1" applyFont="1" applyFill="1" applyBorder="1"/>
    <xf numFmtId="168" fontId="9" fillId="0" borderId="8" xfId="0" applyNumberFormat="1" applyFont="1" applyFill="1" applyBorder="1" applyAlignment="1">
      <alignment horizontal="right"/>
    </xf>
    <xf numFmtId="167" fontId="9" fillId="2" borderId="51" xfId="3" applyNumberFormat="1" applyFont="1" applyFill="1" applyBorder="1"/>
    <xf numFmtId="168" fontId="9" fillId="0" borderId="30" xfId="2" applyNumberFormat="1" applyFont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167" fontId="6" fillId="2" borderId="47" xfId="3" applyNumberFormat="1" applyFont="1" applyFill="1" applyBorder="1"/>
    <xf numFmtId="168" fontId="6" fillId="2" borderId="52" xfId="0" applyNumberFormat="1" applyFont="1" applyFill="1" applyBorder="1" applyAlignment="1">
      <alignment horizontal="center"/>
    </xf>
    <xf numFmtId="164" fontId="6" fillId="0" borderId="0" xfId="3" applyFont="1" applyBorder="1"/>
    <xf numFmtId="168" fontId="6" fillId="0" borderId="4" xfId="2" applyNumberFormat="1" applyFont="1" applyBorder="1" applyAlignment="1">
      <alignment horizontal="right"/>
    </xf>
    <xf numFmtId="167" fontId="6" fillId="0" borderId="47" xfId="3" applyNumberFormat="1" applyFont="1" applyBorder="1"/>
    <xf numFmtId="0" fontId="9" fillId="0" borderId="37" xfId="0" applyFont="1" applyBorder="1" applyAlignment="1">
      <alignment horizontal="center"/>
    </xf>
    <xf numFmtId="0" fontId="9" fillId="0" borderId="45" xfId="0" applyFont="1" applyBorder="1" applyAlignment="1">
      <alignment horizontal="left" indent="1"/>
    </xf>
    <xf numFmtId="167" fontId="9" fillId="0" borderId="27" xfId="0" applyNumberFormat="1" applyFont="1" applyBorder="1" applyAlignment="1">
      <alignment horizontal="center"/>
    </xf>
    <xf numFmtId="168" fontId="9" fillId="0" borderId="46" xfId="0" applyNumberFormat="1" applyFont="1" applyFill="1" applyBorder="1" applyAlignment="1">
      <alignment horizontal="center"/>
    </xf>
    <xf numFmtId="0" fontId="9" fillId="0" borderId="37" xfId="0" applyFont="1" applyBorder="1"/>
    <xf numFmtId="168" fontId="9" fillId="0" borderId="4" xfId="0" applyNumberFormat="1" applyFont="1" applyBorder="1" applyAlignment="1">
      <alignment horizontal="right"/>
    </xf>
    <xf numFmtId="0" fontId="9" fillId="0" borderId="37" xfId="0" applyFont="1" applyFill="1" applyBorder="1"/>
    <xf numFmtId="168" fontId="6" fillId="0" borderId="50" xfId="0" applyNumberFormat="1" applyFont="1" applyFill="1" applyBorder="1" applyAlignment="1">
      <alignment horizontal="center"/>
    </xf>
    <xf numFmtId="168" fontId="9" fillId="0" borderId="10" xfId="0" applyNumberFormat="1" applyFont="1" applyBorder="1" applyAlignment="1">
      <alignment horizontal="right"/>
    </xf>
    <xf numFmtId="168" fontId="9" fillId="0" borderId="30" xfId="0" applyNumberFormat="1" applyFont="1" applyBorder="1" applyAlignment="1">
      <alignment horizontal="right"/>
    </xf>
    <xf numFmtId="167" fontId="6" fillId="0" borderId="26" xfId="3" applyNumberFormat="1" applyFont="1" applyFill="1" applyBorder="1"/>
    <xf numFmtId="168" fontId="6" fillId="0" borderId="34" xfId="0" applyNumberFormat="1" applyFont="1" applyFill="1" applyBorder="1" applyAlignment="1">
      <alignment horizontal="center"/>
    </xf>
    <xf numFmtId="167" fontId="6" fillId="2" borderId="26" xfId="3" applyNumberFormat="1" applyFont="1" applyFill="1" applyBorder="1"/>
    <xf numFmtId="168" fontId="6" fillId="0" borderId="53" xfId="2" applyNumberFormat="1" applyFont="1" applyBorder="1" applyAlignment="1">
      <alignment horizontal="right"/>
    </xf>
    <xf numFmtId="167" fontId="6" fillId="0" borderId="47" xfId="3" applyNumberFormat="1" applyFont="1" applyFill="1" applyBorder="1"/>
    <xf numFmtId="0" fontId="9" fillId="0" borderId="20" xfId="0" applyFont="1" applyBorder="1" applyAlignment="1">
      <alignment horizontal="left" indent="1"/>
    </xf>
    <xf numFmtId="167" fontId="9" fillId="0" borderId="26" xfId="3" applyNumberFormat="1" applyFont="1" applyBorder="1"/>
    <xf numFmtId="168" fontId="9" fillId="0" borderId="34" xfId="3" applyNumberFormat="1" applyFont="1" applyBorder="1" applyAlignment="1">
      <alignment horizontal="center"/>
    </xf>
    <xf numFmtId="167" fontId="9" fillId="0" borderId="26" xfId="3" applyNumberFormat="1" applyFont="1" applyFill="1" applyBorder="1"/>
    <xf numFmtId="167" fontId="9" fillId="0" borderId="26" xfId="0" applyNumberFormat="1" applyFont="1" applyFill="1" applyBorder="1" applyAlignment="1">
      <alignment horizontal="center"/>
    </xf>
    <xf numFmtId="168" fontId="9" fillId="0" borderId="34" xfId="0" applyNumberFormat="1" applyFont="1" applyFill="1" applyBorder="1" applyAlignment="1">
      <alignment horizontal="center"/>
    </xf>
    <xf numFmtId="167" fontId="9" fillId="0" borderId="26" xfId="0" applyNumberFormat="1" applyFont="1" applyBorder="1" applyAlignment="1">
      <alignment horizontal="center"/>
    </xf>
    <xf numFmtId="167" fontId="6" fillId="2" borderId="51" xfId="3" applyNumberFormat="1" applyFont="1" applyFill="1" applyBorder="1"/>
    <xf numFmtId="168" fontId="6" fillId="2" borderId="54" xfId="3" applyNumberFormat="1" applyFont="1" applyFill="1" applyBorder="1" applyAlignment="1">
      <alignment horizontal="center"/>
    </xf>
    <xf numFmtId="170" fontId="6" fillId="2" borderId="51" xfId="3" applyNumberFormat="1" applyFont="1" applyFill="1" applyBorder="1"/>
    <xf numFmtId="168" fontId="9" fillId="0" borderId="52" xfId="3" applyNumberFormat="1" applyFont="1" applyBorder="1" applyAlignment="1">
      <alignment horizontal="center"/>
    </xf>
    <xf numFmtId="168" fontId="9" fillId="0" borderId="29" xfId="3" applyNumberFormat="1" applyFont="1" applyBorder="1" applyAlignment="1">
      <alignment horizontal="center"/>
    </xf>
    <xf numFmtId="168" fontId="6" fillId="2" borderId="52" xfId="3" applyNumberFormat="1" applyFont="1" applyFill="1" applyBorder="1" applyAlignment="1">
      <alignment horizontal="center"/>
    </xf>
    <xf numFmtId="168" fontId="6" fillId="2" borderId="29" xfId="3" applyNumberFormat="1" applyFont="1" applyFill="1" applyBorder="1" applyAlignment="1">
      <alignment horizontal="center"/>
    </xf>
    <xf numFmtId="170" fontId="6" fillId="0" borderId="4" xfId="3" applyNumberFormat="1" applyFont="1" applyFill="1" applyBorder="1"/>
    <xf numFmtId="0" fontId="6" fillId="0" borderId="13" xfId="0" applyFont="1" applyBorder="1" applyAlignment="1">
      <alignment horizontal="left" indent="1"/>
    </xf>
    <xf numFmtId="167" fontId="6" fillId="0" borderId="49" xfId="3" applyNumberFormat="1" applyFont="1" applyBorder="1"/>
    <xf numFmtId="168" fontId="6" fillId="0" borderId="55" xfId="3" applyNumberFormat="1" applyFont="1" applyBorder="1" applyAlignment="1">
      <alignment horizontal="center"/>
    </xf>
    <xf numFmtId="168" fontId="6" fillId="0" borderId="9" xfId="3" applyNumberFormat="1" applyFont="1" applyBorder="1" applyAlignment="1">
      <alignment horizontal="center"/>
    </xf>
    <xf numFmtId="167" fontId="6" fillId="2" borderId="56" xfId="3" applyNumberFormat="1" applyFont="1" applyFill="1" applyBorder="1"/>
    <xf numFmtId="167" fontId="6" fillId="0" borderId="56" xfId="3" applyNumberFormat="1" applyFont="1" applyFill="1" applyBorder="1"/>
    <xf numFmtId="168" fontId="6" fillId="0" borderId="4" xfId="0" applyNumberFormat="1" applyFont="1" applyBorder="1" applyAlignment="1">
      <alignment horizontal="right"/>
    </xf>
    <xf numFmtId="0" fontId="9" fillId="0" borderId="20" xfId="0" applyFont="1" applyBorder="1" applyAlignment="1">
      <alignment horizontal="left" indent="2"/>
    </xf>
    <xf numFmtId="168" fontId="9" fillId="0" borderId="57" xfId="3" applyNumberFormat="1" applyFont="1" applyBorder="1" applyAlignment="1">
      <alignment horizontal="center"/>
    </xf>
    <xf numFmtId="168" fontId="9" fillId="0" borderId="8" xfId="0" applyNumberFormat="1" applyFont="1" applyBorder="1" applyAlignment="1">
      <alignment horizontal="right"/>
    </xf>
    <xf numFmtId="0" fontId="9" fillId="0" borderId="13" xfId="0" applyFont="1" applyBorder="1" applyAlignment="1">
      <alignment horizontal="left" indent="2"/>
    </xf>
    <xf numFmtId="167" fontId="9" fillId="0" borderId="49" xfId="0" applyNumberFormat="1" applyFont="1" applyFill="1" applyBorder="1" applyAlignment="1">
      <alignment horizontal="center"/>
    </xf>
    <xf numFmtId="168" fontId="9" fillId="0" borderId="50" xfId="3" applyNumberFormat="1" applyFont="1" applyBorder="1" applyAlignment="1">
      <alignment horizontal="center"/>
    </xf>
    <xf numFmtId="168" fontId="9" fillId="0" borderId="0" xfId="3" applyNumberFormat="1" applyFont="1" applyBorder="1" applyAlignment="1">
      <alignment horizontal="center"/>
    </xf>
    <xf numFmtId="168" fontId="9" fillId="0" borderId="32" xfId="0" applyNumberFormat="1" applyFont="1" applyBorder="1" applyAlignment="1">
      <alignment horizontal="right"/>
    </xf>
    <xf numFmtId="0" fontId="9" fillId="0" borderId="0" xfId="0" quotePrefix="1" applyFont="1" applyFill="1" applyBorder="1"/>
    <xf numFmtId="167" fontId="9" fillId="0" borderId="0" xfId="0" applyNumberFormat="1" applyFont="1" applyFill="1" applyBorder="1"/>
    <xf numFmtId="0" fontId="9" fillId="0" borderId="0" xfId="0" quotePrefix="1" applyFont="1" applyFill="1" applyBorder="1" applyAlignment="1">
      <alignment horizontal="left"/>
    </xf>
    <xf numFmtId="168" fontId="9" fillId="2" borderId="52" xfId="3" applyNumberFormat="1" applyFont="1" applyFill="1" applyBorder="1" applyAlignment="1">
      <alignment horizontal="center"/>
    </xf>
    <xf numFmtId="167" fontId="6" fillId="2" borderId="4" xfId="3" applyNumberFormat="1" applyFont="1" applyFill="1" applyBorder="1"/>
    <xf numFmtId="170" fontId="6" fillId="2" borderId="4" xfId="3" applyNumberFormat="1" applyFont="1" applyFill="1" applyBorder="1"/>
    <xf numFmtId="0" fontId="9" fillId="0" borderId="13" xfId="0" applyFont="1" applyFill="1" applyBorder="1" applyAlignment="1">
      <alignment horizontal="left" indent="1"/>
    </xf>
    <xf numFmtId="168" fontId="9" fillId="0" borderId="55" xfId="3" applyNumberFormat="1" applyFont="1" applyBorder="1" applyAlignment="1">
      <alignment horizontal="center"/>
    </xf>
    <xf numFmtId="167" fontId="6" fillId="2" borderId="53" xfId="3" applyNumberFormat="1" applyFont="1" applyFill="1" applyBorder="1"/>
    <xf numFmtId="167" fontId="9" fillId="0" borderId="27" xfId="0" applyNumberFormat="1" applyFont="1" applyFill="1" applyBorder="1" applyAlignment="1">
      <alignment horizontal="center"/>
    </xf>
    <xf numFmtId="168" fontId="9" fillId="0" borderId="46" xfId="3" applyNumberFormat="1" applyFont="1" applyBorder="1" applyAlignment="1">
      <alignment horizontal="center"/>
    </xf>
    <xf numFmtId="0" fontId="9" fillId="0" borderId="58" xfId="0" applyFont="1" applyFill="1" applyBorder="1"/>
    <xf numFmtId="168" fontId="9" fillId="2" borderId="59" xfId="3" applyNumberFormat="1" applyFont="1" applyFill="1" applyBorder="1" applyAlignment="1">
      <alignment horizontal="center"/>
    </xf>
    <xf numFmtId="4" fontId="6" fillId="2" borderId="4" xfId="3" applyNumberFormat="1" applyFont="1" applyFill="1" applyBorder="1"/>
    <xf numFmtId="167" fontId="9" fillId="0" borderId="48" xfId="3" applyNumberFormat="1" applyFont="1" applyBorder="1"/>
    <xf numFmtId="168" fontId="9" fillId="0" borderId="44" xfId="3" applyNumberFormat="1" applyFont="1" applyBorder="1" applyAlignment="1">
      <alignment horizontal="center"/>
    </xf>
    <xf numFmtId="167" fontId="9" fillId="0" borderId="51" xfId="3" applyNumberFormat="1" applyFont="1" applyBorder="1"/>
    <xf numFmtId="168" fontId="9" fillId="0" borderId="48" xfId="3" applyNumberFormat="1" applyFont="1" applyBorder="1" applyAlignment="1">
      <alignment horizontal="right"/>
    </xf>
    <xf numFmtId="4" fontId="9" fillId="0" borderId="48" xfId="3" applyNumberFormat="1" applyFont="1" applyBorder="1"/>
    <xf numFmtId="0" fontId="9" fillId="0" borderId="33" xfId="0" applyFont="1" applyBorder="1" applyAlignment="1">
      <alignment horizontal="left" indent="1"/>
    </xf>
    <xf numFmtId="10" fontId="9" fillId="0" borderId="56" xfId="4" applyNumberFormat="1" applyFont="1" applyBorder="1"/>
    <xf numFmtId="168" fontId="9" fillId="0" borderId="59" xfId="3" applyNumberFormat="1" applyFont="1" applyBorder="1" applyAlignment="1">
      <alignment horizontal="center"/>
    </xf>
    <xf numFmtId="10" fontId="9" fillId="0" borderId="26" xfId="4" applyNumberFormat="1" applyFont="1" applyBorder="1"/>
    <xf numFmtId="168" fontId="9" fillId="0" borderId="60" xfId="3" applyNumberFormat="1" applyFont="1" applyBorder="1" applyAlignment="1">
      <alignment horizontal="center"/>
    </xf>
    <xf numFmtId="10" fontId="9" fillId="0" borderId="48" xfId="4" applyNumberFormat="1" applyFont="1" applyBorder="1"/>
    <xf numFmtId="167" fontId="9" fillId="5" borderId="49" xfId="0" applyNumberFormat="1" applyFont="1" applyFill="1" applyBorder="1" applyAlignment="1">
      <alignment horizontal="center"/>
    </xf>
    <xf numFmtId="167" fontId="9" fillId="0" borderId="0" xfId="3" applyNumberFormat="1" applyFont="1" applyBorder="1"/>
    <xf numFmtId="164" fontId="9" fillId="0" borderId="0" xfId="3" applyFont="1" applyBorder="1"/>
    <xf numFmtId="168" fontId="9" fillId="0" borderId="0" xfId="0" applyNumberFormat="1" applyFont="1" applyBorder="1" applyAlignment="1">
      <alignment horizontal="right"/>
    </xf>
    <xf numFmtId="168" fontId="6" fillId="2" borderId="47" xfId="3" applyNumberFormat="1" applyFont="1" applyFill="1" applyBorder="1" applyAlignment="1">
      <alignment horizontal="right"/>
    </xf>
    <xf numFmtId="167" fontId="6" fillId="0" borderId="29" xfId="1" applyNumberFormat="1" applyFont="1" applyFill="1" applyBorder="1" applyAlignment="1">
      <alignment horizontal="center"/>
    </xf>
    <xf numFmtId="167" fontId="6" fillId="0" borderId="4" xfId="1" applyNumberFormat="1" applyFont="1" applyBorder="1"/>
    <xf numFmtId="167" fontId="6" fillId="0" borderId="8" xfId="1" applyNumberFormat="1" applyFont="1" applyBorder="1"/>
    <xf numFmtId="167" fontId="6" fillId="0" borderId="10" xfId="1" applyNumberFormat="1" applyFont="1" applyBorder="1"/>
    <xf numFmtId="167" fontId="6" fillId="0" borderId="5" xfId="1" applyNumberFormat="1" applyFont="1" applyFill="1" applyBorder="1" applyAlignment="1">
      <alignment horizontal="center"/>
    </xf>
    <xf numFmtId="167" fontId="9" fillId="0" borderId="0" xfId="1" applyNumberFormat="1" applyFont="1" applyFill="1" applyBorder="1" applyAlignment="1">
      <alignment horizontal="center"/>
    </xf>
    <xf numFmtId="167" fontId="6" fillId="0" borderId="30" xfId="1" applyNumberFormat="1" applyFont="1" applyBorder="1"/>
    <xf numFmtId="0" fontId="6" fillId="0" borderId="10" xfId="0" applyFont="1" applyBorder="1" applyAlignment="1">
      <alignment horizontal="left" indent="1"/>
    </xf>
    <xf numFmtId="167" fontId="9" fillId="0" borderId="29" xfId="1" applyNumberFormat="1" applyFont="1" applyBorder="1" applyAlignment="1">
      <alignment horizontal="center"/>
    </xf>
    <xf numFmtId="167" fontId="9" fillId="0" borderId="0" xfId="1" applyNumberFormat="1" applyFont="1" applyBorder="1" applyAlignment="1">
      <alignment horizontal="center"/>
    </xf>
    <xf numFmtId="0" fontId="9" fillId="0" borderId="4" xfId="0" applyFont="1" applyBorder="1" applyAlignment="1">
      <alignment horizontal="left" indent="1"/>
    </xf>
    <xf numFmtId="167" fontId="9" fillId="0" borderId="29" xfId="1" applyNumberFormat="1" applyFont="1" applyFill="1" applyBorder="1" applyAlignment="1">
      <alignment horizontal="center"/>
    </xf>
    <xf numFmtId="167" fontId="6" fillId="2" borderId="4" xfId="1" applyNumberFormat="1" applyFont="1" applyFill="1" applyBorder="1"/>
    <xf numFmtId="167" fontId="6" fillId="0" borderId="6" xfId="1" applyNumberFormat="1" applyFont="1" applyFill="1" applyBorder="1"/>
    <xf numFmtId="167" fontId="6" fillId="0" borderId="25" xfId="1" applyNumberFormat="1" applyFont="1" applyBorder="1"/>
    <xf numFmtId="167" fontId="6" fillId="0" borderId="25" xfId="1" applyNumberFormat="1" applyFont="1" applyFill="1" applyBorder="1"/>
    <xf numFmtId="167" fontId="6" fillId="0" borderId="0" xfId="1" applyNumberFormat="1" applyFont="1" applyBorder="1"/>
    <xf numFmtId="0" fontId="6" fillId="0" borderId="15" xfId="0" applyFont="1" applyBorder="1" applyAlignment="1">
      <alignment horizontal="left" indent="2"/>
    </xf>
    <xf numFmtId="167" fontId="9" fillId="0" borderId="17" xfId="1" applyNumberFormat="1" applyFont="1" applyFill="1" applyBorder="1"/>
    <xf numFmtId="167" fontId="9" fillId="0" borderId="31" xfId="1" applyNumberFormat="1" applyFont="1" applyBorder="1"/>
    <xf numFmtId="167" fontId="6" fillId="0" borderId="32" xfId="1" applyNumberFormat="1" applyFont="1" applyBorder="1"/>
    <xf numFmtId="0" fontId="9" fillId="0" borderId="10" xfId="0" applyFont="1" applyBorder="1" applyAlignment="1">
      <alignment horizontal="left" indent="2"/>
    </xf>
    <xf numFmtId="167" fontId="6" fillId="0" borderId="32" xfId="1" applyNumberFormat="1" applyFont="1" applyFill="1" applyBorder="1"/>
    <xf numFmtId="167" fontId="6" fillId="0" borderId="33" xfId="1" applyNumberFormat="1" applyFont="1" applyBorder="1"/>
    <xf numFmtId="167" fontId="6" fillId="0" borderId="15" xfId="1" applyNumberFormat="1" applyFont="1" applyBorder="1"/>
    <xf numFmtId="167" fontId="6" fillId="0" borderId="10" xfId="1" applyNumberFormat="1" applyFont="1" applyFill="1" applyBorder="1"/>
    <xf numFmtId="167" fontId="9" fillId="0" borderId="17" xfId="1" applyNumberFormat="1" applyFont="1" applyBorder="1" applyAlignment="1">
      <alignment horizontal="center"/>
    </xf>
    <xf numFmtId="167" fontId="9" fillId="0" borderId="17" xfId="1" applyNumberFormat="1" applyFont="1" applyFill="1" applyBorder="1" applyAlignment="1">
      <alignment horizontal="center"/>
    </xf>
    <xf numFmtId="167" fontId="9" fillId="0" borderId="34" xfId="1" applyNumberFormat="1" applyFont="1" applyBorder="1" applyAlignment="1">
      <alignment horizontal="center"/>
    </xf>
    <xf numFmtId="167" fontId="9" fillId="0" borderId="35" xfId="1" applyNumberFormat="1" applyFont="1" applyFill="1" applyBorder="1" applyAlignment="1">
      <alignment horizontal="center"/>
    </xf>
    <xf numFmtId="167" fontId="9" fillId="0" borderId="36" xfId="1" applyNumberFormat="1" applyFont="1" applyBorder="1" applyAlignment="1">
      <alignment horizontal="center"/>
    </xf>
    <xf numFmtId="167" fontId="9" fillId="0" borderId="22" xfId="1" applyNumberFormat="1" applyFont="1" applyBorder="1" applyAlignment="1">
      <alignment horizontal="center"/>
    </xf>
    <xf numFmtId="167" fontId="9" fillId="0" borderId="37" xfId="1" applyNumberFormat="1" applyFont="1" applyBorder="1" applyAlignment="1">
      <alignment horizontal="center"/>
    </xf>
    <xf numFmtId="167" fontId="9" fillId="0" borderId="22" xfId="1" applyNumberFormat="1" applyFont="1" applyBorder="1"/>
    <xf numFmtId="167" fontId="9" fillId="0" borderId="22" xfId="1" applyNumberFormat="1" applyFont="1" applyFill="1" applyBorder="1"/>
    <xf numFmtId="167" fontId="9" fillId="0" borderId="38" xfId="1" applyNumberFormat="1" applyFont="1" applyBorder="1"/>
    <xf numFmtId="167" fontId="9" fillId="2" borderId="6" xfId="1" applyNumberFormat="1" applyFont="1" applyFill="1" applyBorder="1"/>
    <xf numFmtId="167" fontId="9" fillId="2" borderId="39" xfId="1" applyNumberFormat="1" applyFont="1" applyFill="1" applyBorder="1"/>
    <xf numFmtId="167" fontId="9" fillId="0" borderId="25" xfId="1" applyNumberFormat="1" applyFont="1" applyBorder="1"/>
    <xf numFmtId="167" fontId="9" fillId="0" borderId="40" xfId="1" applyNumberFormat="1" applyFont="1" applyBorder="1"/>
    <xf numFmtId="167" fontId="6" fillId="2" borderId="39" xfId="1" applyNumberFormat="1" applyFont="1" applyFill="1" applyBorder="1"/>
    <xf numFmtId="167" fontId="9" fillId="0" borderId="41" xfId="1" applyNumberFormat="1" applyFont="1" applyBorder="1" applyAlignment="1">
      <alignment horizontal="center"/>
    </xf>
    <xf numFmtId="167" fontId="6" fillId="2" borderId="24" xfId="1" applyNumberFormat="1" applyFont="1" applyFill="1" applyBorder="1"/>
    <xf numFmtId="167" fontId="6" fillId="2" borderId="40" xfId="1" applyNumberFormat="1" applyFont="1" applyFill="1" applyBorder="1"/>
    <xf numFmtId="167" fontId="6" fillId="2" borderId="8" xfId="1" applyNumberFormat="1" applyFont="1" applyFill="1" applyBorder="1"/>
    <xf numFmtId="167" fontId="9" fillId="0" borderId="16" xfId="1" applyNumberFormat="1" applyFont="1" applyBorder="1"/>
    <xf numFmtId="10" fontId="9" fillId="0" borderId="16" xfId="2" applyNumberFormat="1" applyFont="1" applyBorder="1"/>
    <xf numFmtId="10" fontId="9" fillId="0" borderId="17" xfId="2" applyNumberFormat="1" applyFont="1" applyFill="1" applyBorder="1"/>
    <xf numFmtId="10" fontId="9" fillId="0" borderId="31" xfId="2" applyNumberFormat="1" applyFont="1" applyBorder="1"/>
    <xf numFmtId="10" fontId="9" fillId="0" borderId="33" xfId="2" applyNumberFormat="1" applyFont="1" applyBorder="1"/>
    <xf numFmtId="10" fontId="9" fillId="0" borderId="15" xfId="2" applyNumberFormat="1" applyFont="1" applyBorder="1"/>
    <xf numFmtId="10" fontId="9" fillId="0" borderId="28" xfId="2" applyNumberFormat="1" applyFont="1" applyBorder="1"/>
    <xf numFmtId="10" fontId="9" fillId="0" borderId="2" xfId="2" applyNumberFormat="1" applyFont="1" applyFill="1" applyBorder="1"/>
    <xf numFmtId="10" fontId="9" fillId="0" borderId="42" xfId="2" applyNumberFormat="1" applyFont="1" applyBorder="1"/>
    <xf numFmtId="10" fontId="9" fillId="0" borderId="1" xfId="2" applyNumberFormat="1" applyFont="1" applyBorder="1"/>
    <xf numFmtId="164" fontId="9" fillId="0" borderId="0" xfId="1" applyFont="1" applyBorder="1"/>
    <xf numFmtId="167" fontId="9" fillId="0" borderId="53" xfId="0" applyNumberFormat="1" applyFont="1" applyFill="1" applyBorder="1" applyAlignment="1">
      <alignment horizontal="center"/>
    </xf>
    <xf numFmtId="167" fontId="9" fillId="5" borderId="53" xfId="0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left" indent="1"/>
    </xf>
    <xf numFmtId="167" fontId="9" fillId="0" borderId="51" xfId="0" applyNumberFormat="1" applyFont="1" applyFill="1" applyBorder="1" applyAlignment="1">
      <alignment horizontal="center"/>
    </xf>
    <xf numFmtId="168" fontId="9" fillId="0" borderId="54" xfId="3" applyNumberFormat="1" applyFont="1" applyBorder="1" applyAlignment="1">
      <alignment horizontal="center"/>
    </xf>
    <xf numFmtId="167" fontId="9" fillId="5" borderId="5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 wrapText="1"/>
    </xf>
    <xf numFmtId="17" fontId="5" fillId="2" borderId="43" xfId="0" applyNumberFormat="1" applyFont="1" applyFill="1" applyBorder="1" applyAlignment="1">
      <alignment horizontal="center" wrapText="1"/>
    </xf>
    <xf numFmtId="168" fontId="5" fillId="2" borderId="44" xfId="0" applyNumberFormat="1" applyFont="1" applyFill="1" applyBorder="1" applyAlignment="1">
      <alignment horizontal="center" wrapText="1"/>
    </xf>
    <xf numFmtId="0" fontId="12" fillId="0" borderId="0" xfId="0" applyFont="1" applyBorder="1" applyAlignment="1">
      <alignment wrapText="1"/>
    </xf>
    <xf numFmtId="167" fontId="9" fillId="0" borderId="53" xfId="0" applyNumberFormat="1" applyFont="1" applyBorder="1" applyAlignment="1">
      <alignment horizontal="center"/>
    </xf>
    <xf numFmtId="167" fontId="9" fillId="0" borderId="51" xfId="0" applyNumberFormat="1" applyFont="1" applyBorder="1" applyAlignment="1">
      <alignment horizontal="center"/>
    </xf>
    <xf numFmtId="167" fontId="9" fillId="0" borderId="0" xfId="1" applyNumberFormat="1" applyFont="1" applyFill="1" applyBorder="1"/>
    <xf numFmtId="167" fontId="9" fillId="6" borderId="11" xfId="1" applyNumberFormat="1" applyFont="1" applyFill="1" applyBorder="1" applyAlignment="1">
      <alignment horizontal="center"/>
    </xf>
    <xf numFmtId="167" fontId="6" fillId="6" borderId="13" xfId="1" applyNumberFormat="1" applyFont="1" applyFill="1" applyBorder="1"/>
    <xf numFmtId="3" fontId="6" fillId="0" borderId="0" xfId="2" applyNumberFormat="1" applyFont="1" applyFill="1" applyBorder="1"/>
    <xf numFmtId="3" fontId="6" fillId="0" borderId="0" xfId="0" applyNumberFormat="1" applyFont="1" applyFill="1" applyBorder="1"/>
    <xf numFmtId="167" fontId="9" fillId="0" borderId="0" xfId="1" applyNumberFormat="1" applyFont="1" applyBorder="1"/>
    <xf numFmtId="17" fontId="5" fillId="2" borderId="43" xfId="0" applyNumberFormat="1" applyFont="1" applyFill="1" applyBorder="1" applyAlignment="1">
      <alignment horizontal="center" vertical="center" wrapText="1"/>
    </xf>
    <xf numFmtId="168" fontId="5" fillId="2" borderId="44" xfId="0" applyNumberFormat="1" applyFont="1" applyFill="1" applyBorder="1" applyAlignment="1">
      <alignment horizontal="center" vertical="center" wrapText="1"/>
    </xf>
    <xf numFmtId="167" fontId="9" fillId="7" borderId="27" xfId="3" applyNumberFormat="1" applyFont="1" applyFill="1" applyBorder="1"/>
    <xf numFmtId="169" fontId="9" fillId="7" borderId="48" xfId="0" applyNumberFormat="1" applyFont="1" applyFill="1" applyBorder="1" applyAlignment="1">
      <alignment horizontal="center"/>
    </xf>
    <xf numFmtId="167" fontId="9" fillId="7" borderId="49" xfId="3" applyNumberFormat="1" applyFont="1" applyFill="1" applyBorder="1"/>
    <xf numFmtId="167" fontId="9" fillId="7" borderId="51" xfId="3" applyNumberFormat="1" applyFont="1" applyFill="1" applyBorder="1"/>
    <xf numFmtId="167" fontId="9" fillId="7" borderId="27" xfId="0" applyNumberFormat="1" applyFont="1" applyFill="1" applyBorder="1" applyAlignment="1">
      <alignment horizontal="center"/>
    </xf>
    <xf numFmtId="167" fontId="9" fillId="7" borderId="26" xfId="3" applyNumberFormat="1" applyFont="1" applyFill="1" applyBorder="1"/>
    <xf numFmtId="167" fontId="9" fillId="7" borderId="47" xfId="3" applyNumberFormat="1" applyFont="1" applyFill="1" applyBorder="1"/>
    <xf numFmtId="167" fontId="6" fillId="7" borderId="56" xfId="3" applyNumberFormat="1" applyFont="1" applyFill="1" applyBorder="1"/>
    <xf numFmtId="167" fontId="9" fillId="7" borderId="26" xfId="0" applyNumberFormat="1" applyFont="1" applyFill="1" applyBorder="1" applyAlignment="1">
      <alignment horizontal="center"/>
    </xf>
    <xf numFmtId="167" fontId="6" fillId="7" borderId="49" xfId="3" applyNumberFormat="1" applyFont="1" applyFill="1" applyBorder="1"/>
    <xf numFmtId="167" fontId="6" fillId="7" borderId="51" xfId="3" applyNumberFormat="1" applyFont="1" applyFill="1" applyBorder="1"/>
    <xf numFmtId="167" fontId="9" fillId="7" borderId="56" xfId="3" applyNumberFormat="1" applyFont="1" applyFill="1" applyBorder="1"/>
    <xf numFmtId="167" fontId="9" fillId="0" borderId="56" xfId="3" applyNumberFormat="1" applyFont="1" applyBorder="1"/>
    <xf numFmtId="167" fontId="9" fillId="0" borderId="43" xfId="0" applyNumberFormat="1" applyFont="1" applyBorder="1" applyAlignment="1">
      <alignment horizontal="center"/>
    </xf>
    <xf numFmtId="167" fontId="9" fillId="7" borderId="43" xfId="3" applyNumberFormat="1" applyFont="1" applyFill="1" applyBorder="1"/>
    <xf numFmtId="0" fontId="9" fillId="0" borderId="12" xfId="0" applyFont="1" applyBorder="1" applyAlignment="1">
      <alignment horizontal="left" indent="1"/>
    </xf>
    <xf numFmtId="0" fontId="9" fillId="0" borderId="51" xfId="0" applyFont="1" applyBorder="1" applyAlignment="1">
      <alignment horizontal="left" indent="1"/>
    </xf>
    <xf numFmtId="0" fontId="6" fillId="2" borderId="47" xfId="0" applyFont="1" applyFill="1" applyBorder="1" applyAlignment="1">
      <alignment horizontal="left" indent="1"/>
    </xf>
    <xf numFmtId="0" fontId="6" fillId="0" borderId="45" xfId="0" applyFont="1" applyBorder="1" applyAlignment="1">
      <alignment horizontal="left" indent="1"/>
    </xf>
    <xf numFmtId="0" fontId="6" fillId="0" borderId="20" xfId="0" applyFont="1" applyBorder="1" applyAlignment="1">
      <alignment horizontal="left" indent="1"/>
    </xf>
    <xf numFmtId="0" fontId="6" fillId="0" borderId="19" xfId="0" applyFont="1" applyBorder="1" applyAlignment="1">
      <alignment horizontal="left" indent="1"/>
    </xf>
    <xf numFmtId="167" fontId="9" fillId="0" borderId="0" xfId="0" applyNumberFormat="1" applyFont="1" applyBorder="1"/>
    <xf numFmtId="166" fontId="6" fillId="0" borderId="0" xfId="2" applyNumberFormat="1" applyFont="1" applyBorder="1"/>
    <xf numFmtId="43" fontId="9" fillId="0" borderId="0" xfId="0" applyNumberFormat="1" applyFont="1" applyBorder="1"/>
    <xf numFmtId="164" fontId="6" fillId="0" borderId="0" xfId="1" applyFont="1" applyBorder="1"/>
  </cellXfs>
  <cellStyles count="5">
    <cellStyle name="Normal" xfId="0" builtinId="0"/>
    <cellStyle name="Porcentagem" xfId="2" builtinId="5"/>
    <cellStyle name="Porcentagem 3" xfId="4"/>
    <cellStyle name="Vírgula" xfId="1" builtinId="3"/>
    <cellStyle name="Vírgula 2" xfId="3"/>
  </cellStyles>
  <dxfs count="24"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ww/" TargetMode="External"/><Relationship Id="rId3" Type="http://schemas.openxmlformats.org/officeDocument/2006/relationships/hyperlink" Target="http://www.www/" TargetMode="External"/><Relationship Id="rId7" Type="http://schemas.openxmlformats.org/officeDocument/2006/relationships/hyperlink" Target="http://www.www/" TargetMode="External"/><Relationship Id="rId2" Type="http://schemas.openxmlformats.org/officeDocument/2006/relationships/hyperlink" Target="http://www.www/" TargetMode="External"/><Relationship Id="rId1" Type="http://schemas.openxmlformats.org/officeDocument/2006/relationships/hyperlink" Target="http://www.www/" TargetMode="External"/><Relationship Id="rId6" Type="http://schemas.openxmlformats.org/officeDocument/2006/relationships/hyperlink" Target="http://www.www/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://www.www/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://www.www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outlinePr summaryBelow="0"/>
  </sheetPr>
  <dimension ref="A1:AR73"/>
  <sheetViews>
    <sheetView showGridLines="0" zoomScale="80" zoomScaleNormal="80" zoomScaleSheetLayoutView="75" workbookViewId="0">
      <pane xSplit="2" ySplit="1" topLeftCell="C20" activePane="bottomRight" state="frozen"/>
      <selection activeCell="K64" sqref="K64"/>
      <selection pane="topRight" activeCell="K64" sqref="K64"/>
      <selection pane="bottomLeft" activeCell="K64" sqref="K64"/>
      <selection pane="bottomRight" activeCell="N36" sqref="N36"/>
    </sheetView>
  </sheetViews>
  <sheetFormatPr defaultRowHeight="20.25" customHeight="1" outlineLevelRow="1" x14ac:dyDescent="0.2"/>
  <cols>
    <col min="1" max="1" width="0.85546875" style="7" customWidth="1"/>
    <col min="2" max="2" width="49.28515625" style="83" bestFit="1" customWidth="1"/>
    <col min="3" max="3" width="13.140625" style="84" customWidth="1"/>
    <col min="4" max="4" width="12" style="85" bestFit="1" customWidth="1"/>
    <col min="5" max="5" width="12" style="86" bestFit="1" customWidth="1"/>
    <col min="6" max="14" width="12" style="85" bestFit="1" customWidth="1"/>
    <col min="15" max="15" width="13" style="85" bestFit="1" customWidth="1"/>
    <col min="16" max="16" width="16.5703125" style="16" bestFit="1" customWidth="1"/>
    <col min="17" max="17" width="13.85546875" style="12" bestFit="1" customWidth="1"/>
    <col min="18" max="18" width="9.140625" style="7"/>
    <col min="19" max="31" width="7" style="7" bestFit="1" customWidth="1"/>
    <col min="32" max="32" width="1.7109375" style="7" customWidth="1"/>
    <col min="33" max="33" width="5" style="7" bestFit="1" customWidth="1"/>
    <col min="34" max="34" width="8.5703125" style="7" bestFit="1" customWidth="1"/>
    <col min="35" max="44" width="5.5703125" style="7" bestFit="1" customWidth="1"/>
    <col min="45" max="16384" width="9.140625" style="7"/>
  </cols>
  <sheetData>
    <row r="1" spans="1:44" ht="20.25" customHeight="1" thickBot="1" x14ac:dyDescent="0.25">
      <c r="A1" s="3"/>
      <c r="B1" s="8" t="s">
        <v>0</v>
      </c>
      <c r="C1" s="9">
        <v>43101</v>
      </c>
      <c r="D1" s="9">
        <v>43132</v>
      </c>
      <c r="E1" s="9">
        <v>43160</v>
      </c>
      <c r="F1" s="9">
        <v>43191</v>
      </c>
      <c r="G1" s="9">
        <v>43221</v>
      </c>
      <c r="H1" s="9">
        <v>43252</v>
      </c>
      <c r="I1" s="9">
        <v>43282</v>
      </c>
      <c r="J1" s="9">
        <v>43313</v>
      </c>
      <c r="K1" s="9">
        <v>43344</v>
      </c>
      <c r="L1" s="9">
        <v>43374</v>
      </c>
      <c r="M1" s="9">
        <v>43405</v>
      </c>
      <c r="N1" s="9">
        <v>43435</v>
      </c>
      <c r="O1" s="10">
        <v>2018</v>
      </c>
      <c r="P1" s="11" t="s">
        <v>1</v>
      </c>
      <c r="Q1" s="12" t="s">
        <v>2</v>
      </c>
      <c r="S1" s="12" t="s">
        <v>3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G1" s="7" t="s">
        <v>4</v>
      </c>
      <c r="AH1" s="7" t="s">
        <v>5</v>
      </c>
      <c r="AI1" s="7" t="s">
        <v>6</v>
      </c>
      <c r="AJ1" s="7" t="s">
        <v>7</v>
      </c>
      <c r="AK1" s="7" t="s">
        <v>8</v>
      </c>
      <c r="AL1" s="7" t="s">
        <v>9</v>
      </c>
      <c r="AM1" s="7" t="s">
        <v>10</v>
      </c>
      <c r="AN1" s="7" t="s">
        <v>11</v>
      </c>
      <c r="AO1" s="7" t="s">
        <v>12</v>
      </c>
      <c r="AP1" s="7" t="s">
        <v>13</v>
      </c>
      <c r="AQ1" s="7" t="s">
        <v>14</v>
      </c>
      <c r="AR1" s="7" t="s">
        <v>15</v>
      </c>
    </row>
    <row r="2" spans="1:44" ht="20.25" customHeight="1" thickTop="1" thickBot="1" x14ac:dyDescent="0.25">
      <c r="A2" s="3"/>
      <c r="B2" s="13" t="s">
        <v>16</v>
      </c>
      <c r="C2" s="14">
        <f>C6-C3</f>
        <v>11598671.124686893</v>
      </c>
      <c r="D2" s="14">
        <f t="shared" ref="D2:N2" si="0">D6-D3</f>
        <v>9866035.6874336842</v>
      </c>
      <c r="E2" s="14">
        <f t="shared" si="0"/>
        <v>11767070.117725287</v>
      </c>
      <c r="F2" s="14">
        <f t="shared" si="0"/>
        <v>11418112.897635387</v>
      </c>
      <c r="G2" s="14">
        <f t="shared" si="0"/>
        <v>13679263.359713987</v>
      </c>
      <c r="H2" s="14">
        <f t="shared" si="0"/>
        <v>13029526.772115827</v>
      </c>
      <c r="I2" s="14">
        <f t="shared" si="0"/>
        <v>14135567.527906097</v>
      </c>
      <c r="J2" s="14">
        <f t="shared" si="0"/>
        <v>15227961.652865529</v>
      </c>
      <c r="K2" s="14">
        <f t="shared" si="0"/>
        <v>15151620.410653843</v>
      </c>
      <c r="L2" s="14">
        <f t="shared" si="0"/>
        <v>16535892.739724949</v>
      </c>
      <c r="M2" s="14">
        <f t="shared" si="0"/>
        <v>18193525.085289542</v>
      </c>
      <c r="N2" s="14">
        <f t="shared" si="0"/>
        <v>18506603.23585682</v>
      </c>
      <c r="O2" s="15">
        <f t="shared" ref="O2:O34" si="1">SUM(C2:N2)</f>
        <v>169109850.61160785</v>
      </c>
    </row>
    <row r="3" spans="1:44" ht="20.25" customHeight="1" thickTop="1" thickBot="1" x14ac:dyDescent="0.25">
      <c r="A3" s="3"/>
      <c r="B3" s="17" t="s">
        <v>17</v>
      </c>
      <c r="C3" s="18">
        <f>SUM(C4:C5)</f>
        <v>-879111.11628873309</v>
      </c>
      <c r="D3" s="18">
        <f>SUM(D4:D5)</f>
        <v>-747787.53128569655</v>
      </c>
      <c r="E3" s="18">
        <f>SUM(E4:E5)</f>
        <v>-891874.7704315586</v>
      </c>
      <c r="F3" s="18">
        <f t="shared" ref="F3:N3" si="2">SUM(F4:F5)</f>
        <v>-865425.86365660024</v>
      </c>
      <c r="G3" s="18">
        <f t="shared" si="2"/>
        <v>-1036807.7819337565</v>
      </c>
      <c r="H3" s="18">
        <f t="shared" si="2"/>
        <v>-987561.56651160237</v>
      </c>
      <c r="I3" s="18">
        <f t="shared" si="2"/>
        <v>-1071392.956593358</v>
      </c>
      <c r="J3" s="18">
        <f t="shared" si="2"/>
        <v>-1154190.0122471161</v>
      </c>
      <c r="K3" s="18">
        <f t="shared" si="2"/>
        <v>-1148403.7946763169</v>
      </c>
      <c r="L3" s="18">
        <f t="shared" si="2"/>
        <v>-1253323.5030959446</v>
      </c>
      <c r="M3" s="18">
        <f t="shared" si="2"/>
        <v>-1378962.2944747231</v>
      </c>
      <c r="N3" s="18">
        <f t="shared" si="2"/>
        <v>-1402691.7786089017</v>
      </c>
      <c r="O3" s="15">
        <f t="shared" si="1"/>
        <v>-12817532.969804307</v>
      </c>
    </row>
    <row r="4" spans="1:44" ht="20.25" customHeight="1" outlineLevel="1" thickTop="1" x14ac:dyDescent="0.2">
      <c r="A4" s="3"/>
      <c r="B4" s="19" t="s">
        <v>18</v>
      </c>
      <c r="C4" s="20">
        <f>-C6*0.866%</f>
        <v>-92831.389672728066</v>
      </c>
      <c r="D4" s="20">
        <f t="shared" ref="D4:N4" si="3">-D6*0.866%</f>
        <v>-78964.029032241568</v>
      </c>
      <c r="E4" s="20">
        <f t="shared" si="3"/>
        <v>-94179.191707563674</v>
      </c>
      <c r="F4" s="20">
        <f t="shared" si="3"/>
        <v>-91386.269714256283</v>
      </c>
      <c r="G4" s="20">
        <f t="shared" si="3"/>
        <v>-109483.66530357678</v>
      </c>
      <c r="H4" s="20">
        <f t="shared" si="3"/>
        <v>-104283.41868053257</v>
      </c>
      <c r="I4" s="20">
        <f t="shared" si="3"/>
        <v>-113135.75178756833</v>
      </c>
      <c r="J4" s="20">
        <f t="shared" si="3"/>
        <v>-121878.86240775546</v>
      </c>
      <c r="K4" s="20">
        <f t="shared" si="3"/>
        <v>-121267.85589436536</v>
      </c>
      <c r="L4" s="20">
        <f t="shared" si="3"/>
        <v>-132347.04958920716</v>
      </c>
      <c r="M4" s="20">
        <f t="shared" si="3"/>
        <v>-145614.1137684563</v>
      </c>
      <c r="N4" s="20">
        <f t="shared" si="3"/>
        <v>-148119.87321976695</v>
      </c>
      <c r="O4" s="21">
        <f t="shared" si="1"/>
        <v>-1353491.4707780182</v>
      </c>
    </row>
    <row r="5" spans="1:44" ht="20.25" customHeight="1" outlineLevel="1" thickBot="1" x14ac:dyDescent="0.25">
      <c r="A5" s="3"/>
      <c r="B5" s="19" t="s">
        <v>19</v>
      </c>
      <c r="C5" s="20">
        <f>-C6*7.335%</f>
        <v>-786279.72661600506</v>
      </c>
      <c r="D5" s="20">
        <f t="shared" ref="D5:N5" si="4">-D6*7.335%</f>
        <v>-668823.50225345499</v>
      </c>
      <c r="E5" s="20">
        <f t="shared" si="4"/>
        <v>-797695.5787239949</v>
      </c>
      <c r="F5" s="20">
        <f t="shared" si="4"/>
        <v>-774039.59394234396</v>
      </c>
      <c r="G5" s="20">
        <f t="shared" si="4"/>
        <v>-927324.11663017981</v>
      </c>
      <c r="H5" s="20">
        <f t="shared" si="4"/>
        <v>-883278.14783106977</v>
      </c>
      <c r="I5" s="20">
        <f t="shared" si="4"/>
        <v>-958257.20480578952</v>
      </c>
      <c r="J5" s="20">
        <f t="shared" si="4"/>
        <v>-1032311.1498393606</v>
      </c>
      <c r="K5" s="20">
        <f t="shared" si="4"/>
        <v>-1027135.9387819514</v>
      </c>
      <c r="L5" s="20">
        <f t="shared" si="4"/>
        <v>-1120976.4535067375</v>
      </c>
      <c r="M5" s="20">
        <f t="shared" si="4"/>
        <v>-1233348.1807062668</v>
      </c>
      <c r="N5" s="20">
        <f t="shared" si="4"/>
        <v>-1254571.9053891348</v>
      </c>
      <c r="O5" s="22">
        <f t="shared" si="1"/>
        <v>-11464041.499026287</v>
      </c>
    </row>
    <row r="6" spans="1:44" ht="20.25" customHeight="1" thickTop="1" thickBot="1" x14ac:dyDescent="0.25">
      <c r="A6" s="3"/>
      <c r="B6" s="13" t="s">
        <v>20</v>
      </c>
      <c r="C6" s="14">
        <v>10719560.00839816</v>
      </c>
      <c r="D6" s="14">
        <v>9118248.1561479885</v>
      </c>
      <c r="E6" s="14">
        <v>10875195.347293727</v>
      </c>
      <c r="F6" s="14">
        <v>10552687.033978786</v>
      </c>
      <c r="G6" s="14">
        <v>12642455.57778023</v>
      </c>
      <c r="H6" s="14">
        <v>12041965.205604224</v>
      </c>
      <c r="I6" s="14">
        <v>13064174.57131274</v>
      </c>
      <c r="J6" s="14">
        <v>14073771.640618414</v>
      </c>
      <c r="K6" s="14">
        <v>14003216.615977526</v>
      </c>
      <c r="L6" s="14">
        <v>15282569.236629004</v>
      </c>
      <c r="M6" s="14">
        <v>16814562.790814817</v>
      </c>
      <c r="N6" s="14">
        <v>17103911.457247917</v>
      </c>
      <c r="O6" s="15">
        <f t="shared" si="1"/>
        <v>156292317.64180353</v>
      </c>
      <c r="P6" s="16">
        <v>156292317.64180353</v>
      </c>
      <c r="Q6" s="12">
        <f>P6-O6</f>
        <v>0</v>
      </c>
    </row>
    <row r="7" spans="1:44" ht="20.25" customHeight="1" thickTop="1" thickBot="1" x14ac:dyDescent="0.25">
      <c r="A7" s="3"/>
      <c r="B7" s="23" t="s">
        <v>21</v>
      </c>
      <c r="C7" s="18">
        <f>SUM(C8:C14)</f>
        <v>-2097414.3546112836</v>
      </c>
      <c r="D7" s="18">
        <f t="shared" ref="D7:M7" si="5">SUM(D8:D14)</f>
        <v>-1783169.4431641861</v>
      </c>
      <c r="E7" s="18">
        <f t="shared" si="5"/>
        <v>-2111148.6442805948</v>
      </c>
      <c r="F7" s="18">
        <f t="shared" si="5"/>
        <v>-2046745.5272246511</v>
      </c>
      <c r="G7" s="18">
        <f t="shared" si="5"/>
        <v>-2435390.9086458925</v>
      </c>
      <c r="H7" s="18">
        <f t="shared" si="5"/>
        <v>-2322641.5101818894</v>
      </c>
      <c r="I7" s="18">
        <f t="shared" si="5"/>
        <v>-2519492.7902555042</v>
      </c>
      <c r="J7" s="18">
        <f t="shared" si="5"/>
        <v>-2715087.4242926482</v>
      </c>
      <c r="K7" s="18">
        <f t="shared" si="5"/>
        <v>-2702508.6256267112</v>
      </c>
      <c r="L7" s="18">
        <f t="shared" si="5"/>
        <v>-2949195.2362306737</v>
      </c>
      <c r="M7" s="18">
        <f t="shared" si="5"/>
        <v>-3243657.1478580893</v>
      </c>
      <c r="N7" s="18">
        <f>SUM(N8:N14)</f>
        <v>-3308410.9880486643</v>
      </c>
      <c r="O7" s="15">
        <f>SUM(C7:N7)</f>
        <v>-30234862.600420792</v>
      </c>
    </row>
    <row r="8" spans="1:44" ht="20.25" customHeight="1" outlineLevel="1" thickTop="1" x14ac:dyDescent="0.2">
      <c r="A8" s="3"/>
      <c r="B8" s="19" t="s">
        <v>22</v>
      </c>
      <c r="C8" s="20">
        <v>-1409720.8143941546</v>
      </c>
      <c r="D8" s="20">
        <v>-1199285.3695728518</v>
      </c>
      <c r="E8" s="20">
        <v>-1432921.6359426472</v>
      </c>
      <c r="F8" s="20">
        <v>-1390721.4363543014</v>
      </c>
      <c r="G8" s="20">
        <v>-1668855.0734034646</v>
      </c>
      <c r="H8" s="20">
        <v>-1589109.4242015518</v>
      </c>
      <c r="I8" s="20">
        <v>-1724055.4712028583</v>
      </c>
      <c r="J8" s="20">
        <v>-1857144.8693692631</v>
      </c>
      <c r="K8" s="20">
        <v>-1847665.7564223581</v>
      </c>
      <c r="L8" s="20">
        <v>-2016506.6490651269</v>
      </c>
      <c r="M8" s="20">
        <v>-2218843.0726234252</v>
      </c>
      <c r="N8" s="20">
        <v>-2255564.3267140784</v>
      </c>
      <c r="O8" s="22">
        <f>SUM(C8:N8)</f>
        <v>-20610393.899266083</v>
      </c>
      <c r="P8" s="24">
        <v>-20610393.899266083</v>
      </c>
      <c r="Q8" s="12">
        <f>P8-O8</f>
        <v>0</v>
      </c>
    </row>
    <row r="9" spans="1:44" ht="20.25" customHeight="1" outlineLevel="1" x14ac:dyDescent="0.2">
      <c r="A9" s="3"/>
      <c r="B9" s="19" t="s">
        <v>23</v>
      </c>
      <c r="C9" s="20">
        <v>390583.19811654568</v>
      </c>
      <c r="D9" s="20">
        <v>332279.0656981662</v>
      </c>
      <c r="E9" s="20">
        <v>397011.31564649491</v>
      </c>
      <c r="F9" s="20">
        <v>385319.15025596239</v>
      </c>
      <c r="G9" s="20">
        <v>462380.0295117856</v>
      </c>
      <c r="H9" s="20">
        <v>440285.36340263172</v>
      </c>
      <c r="I9" s="20">
        <v>477674.08468189271</v>
      </c>
      <c r="J9" s="20">
        <v>514548.39499955717</v>
      </c>
      <c r="K9" s="20">
        <v>511922.07196289185</v>
      </c>
      <c r="L9" s="20">
        <v>558701.84221804445</v>
      </c>
      <c r="M9" s="20">
        <v>614762.02562593971</v>
      </c>
      <c r="N9" s="20">
        <v>624936.17125472624</v>
      </c>
      <c r="O9" s="25">
        <f>SUM(C9:N9)</f>
        <v>5710402.713374638</v>
      </c>
      <c r="P9" s="24">
        <v>5710402.7133746371</v>
      </c>
      <c r="Q9" s="12">
        <f>P9-O9</f>
        <v>0</v>
      </c>
    </row>
    <row r="10" spans="1:44" ht="20.25" customHeight="1" outlineLevel="1" x14ac:dyDescent="0.2">
      <c r="A10" s="3"/>
      <c r="B10" s="19" t="s">
        <v>24</v>
      </c>
      <c r="C10" s="20">
        <v>-164682.98198732935</v>
      </c>
      <c r="D10" s="20">
        <v>-140100.00341799061</v>
      </c>
      <c r="E10" s="20">
        <v>-167393.29202755078</v>
      </c>
      <c r="F10" s="20">
        <v>-162463.48277900397</v>
      </c>
      <c r="G10" s="20">
        <v>-194954.93518046587</v>
      </c>
      <c r="H10" s="20">
        <v>-185639.08258256657</v>
      </c>
      <c r="I10" s="20">
        <v>-201403.42201819315</v>
      </c>
      <c r="J10" s="20">
        <v>-216950.86853182214</v>
      </c>
      <c r="K10" s="20">
        <v>-215843.52261570052</v>
      </c>
      <c r="L10" s="20">
        <v>-235567.44340760811</v>
      </c>
      <c r="M10" s="20">
        <v>-259204.29778047351</v>
      </c>
      <c r="N10" s="20">
        <v>-263494.05896170577</v>
      </c>
      <c r="O10" s="22">
        <f>SUM(C10:N10)</f>
        <v>-2407697.3912904104</v>
      </c>
      <c r="P10" s="16">
        <v>-2407697.39129041</v>
      </c>
      <c r="Q10" s="12">
        <f>P10-O10</f>
        <v>0</v>
      </c>
    </row>
    <row r="11" spans="1:44" ht="20.25" customHeight="1" outlineLevel="1" x14ac:dyDescent="0.2">
      <c r="A11" s="3"/>
      <c r="B11" s="19" t="s">
        <v>25</v>
      </c>
      <c r="C11" s="20">
        <v>-759611.03209862392</v>
      </c>
      <c r="D11" s="20">
        <v>-646220.4346138729</v>
      </c>
      <c r="E11" s="20">
        <v>-772112.51453545678</v>
      </c>
      <c r="F11" s="20">
        <v>-749373.4467450392</v>
      </c>
      <c r="G11" s="20">
        <v>-899242.39735073526</v>
      </c>
      <c r="H11" s="20">
        <v>-856272.41756670771</v>
      </c>
      <c r="I11" s="20">
        <v>-928986.46491114248</v>
      </c>
      <c r="J11" s="20">
        <v>-1000700.0794582998</v>
      </c>
      <c r="K11" s="20">
        <v>-995592.37394990667</v>
      </c>
      <c r="L11" s="20">
        <v>-1086570.2494350928</v>
      </c>
      <c r="M11" s="20">
        <v>-1195596.7871444877</v>
      </c>
      <c r="N11" s="20">
        <v>-1215383.5913364545</v>
      </c>
      <c r="O11" s="22">
        <f>SUM(C11:N11)</f>
        <v>-11105661.78914582</v>
      </c>
      <c r="P11" s="16">
        <v>-11105661.78914582</v>
      </c>
      <c r="Q11" s="12">
        <f>P11-O11</f>
        <v>0</v>
      </c>
    </row>
    <row r="12" spans="1:44" ht="20.25" customHeight="1" outlineLevel="1" x14ac:dyDescent="0.2">
      <c r="A12" s="3"/>
      <c r="B12" s="19" t="s">
        <v>26</v>
      </c>
      <c r="C12" s="20">
        <v>-23788.324875539489</v>
      </c>
      <c r="D12" s="20">
        <v>-19083.012691581447</v>
      </c>
      <c r="E12" s="20">
        <v>-20923.505611962988</v>
      </c>
      <c r="F12" s="20">
        <v>-18078.477863789529</v>
      </c>
      <c r="G12" s="20">
        <v>-24482.233796361379</v>
      </c>
      <c r="H12" s="20">
        <v>-26937.253323133671</v>
      </c>
      <c r="I12" s="20">
        <v>-28838.95356978543</v>
      </c>
      <c r="J12" s="20">
        <v>-32166.212396501956</v>
      </c>
      <c r="K12" s="20">
        <v>-33281.398305849376</v>
      </c>
      <c r="L12" s="20">
        <v>-36052.297336588366</v>
      </c>
      <c r="M12" s="20">
        <v>-38209.23499170968</v>
      </c>
      <c r="N12" s="20">
        <v>-49913.777223800178</v>
      </c>
      <c r="O12" s="22">
        <f t="shared" si="1"/>
        <v>-351754.68198660354</v>
      </c>
    </row>
    <row r="13" spans="1:44" ht="20.25" customHeight="1" outlineLevel="1" x14ac:dyDescent="0.2">
      <c r="A13" s="3"/>
      <c r="B13" s="19" t="s">
        <v>27</v>
      </c>
      <c r="C13" s="20">
        <v>-26728.651526739322</v>
      </c>
      <c r="D13" s="20">
        <v>-22738.744010249782</v>
      </c>
      <c r="E13" s="20">
        <v>-27168.544779340704</v>
      </c>
      <c r="F13" s="20">
        <v>-26368.418670937819</v>
      </c>
      <c r="G13" s="20">
        <v>-31641.900474316459</v>
      </c>
      <c r="H13" s="20">
        <v>-30129.903455809235</v>
      </c>
      <c r="I13" s="20">
        <v>-32688.513521277429</v>
      </c>
      <c r="J13" s="20">
        <v>-35211.921070609875</v>
      </c>
      <c r="K13" s="20">
        <v>-35032.194770087517</v>
      </c>
      <c r="L13" s="20">
        <v>-38233.459401234817</v>
      </c>
      <c r="M13" s="20">
        <v>-42069.807493165856</v>
      </c>
      <c r="N13" s="20">
        <v>-42766.051454517685</v>
      </c>
      <c r="O13" s="22">
        <f t="shared" si="1"/>
        <v>-390778.11062828649</v>
      </c>
      <c r="P13" s="16">
        <v>-390778.11062828655</v>
      </c>
      <c r="Q13" s="12">
        <f>P13-O13</f>
        <v>0</v>
      </c>
      <c r="T13" s="26">
        <f t="shared" ref="T13:AE14" si="6">C13/C$6</f>
        <v>-2.4934466998457919E-3</v>
      </c>
      <c r="U13" s="26">
        <f t="shared" si="6"/>
        <v>-2.49376235663406E-3</v>
      </c>
      <c r="V13" s="26">
        <f t="shared" si="6"/>
        <v>-2.4982121158956053E-3</v>
      </c>
      <c r="W13" s="26">
        <f t="shared" si="6"/>
        <v>-2.4987397604073424E-3</v>
      </c>
      <c r="X13" s="26">
        <f t="shared" si="6"/>
        <v>-2.5028286854279114E-3</v>
      </c>
      <c r="Y13" s="26">
        <f t="shared" si="6"/>
        <v>-2.5020752793561509E-3</v>
      </c>
      <c r="Z13" s="26">
        <f t="shared" si="6"/>
        <v>-2.5021491670095433E-3</v>
      </c>
      <c r="AA13" s="26">
        <f t="shared" si="6"/>
        <v>-2.5019534187256881E-3</v>
      </c>
      <c r="AB13" s="26">
        <f t="shared" si="6"/>
        <v>-2.5017248344295514E-3</v>
      </c>
      <c r="AC13" s="26">
        <f t="shared" si="6"/>
        <v>-2.5017690945314031E-3</v>
      </c>
      <c r="AD13" s="26">
        <f t="shared" si="6"/>
        <v>-2.5019864040798645E-3</v>
      </c>
      <c r="AE13" s="26">
        <f t="shared" si="6"/>
        <v>-2.500366747186079E-3</v>
      </c>
      <c r="AG13" s="27">
        <v>6.0655330015420804E-4</v>
      </c>
      <c r="AH13" s="27" t="e">
        <v>#VALUE!</v>
      </c>
      <c r="AI13" s="27">
        <v>-2.4982121158956053E-3</v>
      </c>
      <c r="AJ13" s="27">
        <v>-2.4987397604073424E-3</v>
      </c>
      <c r="AK13" s="27">
        <v>-2.5028286854279114E-3</v>
      </c>
      <c r="AL13" s="27">
        <v>-2.5020752793561509E-3</v>
      </c>
      <c r="AM13" s="27">
        <v>-2.5021491670095433E-3</v>
      </c>
      <c r="AN13" s="27">
        <v>-2.5019534187256881E-3</v>
      </c>
      <c r="AO13" s="27">
        <v>-2.5017248344295514E-3</v>
      </c>
      <c r="AP13" s="27">
        <v>-2.5017690945314031E-3</v>
      </c>
      <c r="AQ13" s="27">
        <v>-2.5019864040798645E-3</v>
      </c>
      <c r="AR13" s="27">
        <v>-2.500366747186079E-3</v>
      </c>
    </row>
    <row r="14" spans="1:44" ht="20.25" customHeight="1" outlineLevel="1" thickBot="1" x14ac:dyDescent="0.25">
      <c r="A14" s="3"/>
      <c r="B14" s="19" t="s">
        <v>28</v>
      </c>
      <c r="C14" s="20">
        <v>-103465.74784544256</v>
      </c>
      <c r="D14" s="20">
        <v>-88020.944555805618</v>
      </c>
      <c r="E14" s="20">
        <v>-87640.467030131302</v>
      </c>
      <c r="F14" s="20">
        <v>-85059.415067541355</v>
      </c>
      <c r="G14" s="20">
        <v>-78594.397952334417</v>
      </c>
      <c r="H14" s="20">
        <v>-74838.79245475198</v>
      </c>
      <c r="I14" s="20">
        <v>-81194.049714140725</v>
      </c>
      <c r="J14" s="20">
        <v>-87461.868465708394</v>
      </c>
      <c r="K14" s="20">
        <v>-87015.451525701268</v>
      </c>
      <c r="L14" s="20">
        <v>-94966.979803067152</v>
      </c>
      <c r="M14" s="20">
        <v>-104495.9734507668</v>
      </c>
      <c r="N14" s="20">
        <v>-106225.35361283425</v>
      </c>
      <c r="O14" s="28">
        <f t="shared" si="1"/>
        <v>-1078979.4414782256</v>
      </c>
      <c r="P14" s="16">
        <v>-1078979.4414782259</v>
      </c>
      <c r="Q14" s="12">
        <f>P14-O14</f>
        <v>0</v>
      </c>
      <c r="T14" s="26">
        <f t="shared" si="6"/>
        <v>-9.6520517413385513E-3</v>
      </c>
      <c r="U14" s="26">
        <f t="shared" si="6"/>
        <v>-9.6532736385834591E-3</v>
      </c>
      <c r="V14" s="26">
        <f t="shared" si="6"/>
        <v>-8.058748760953565E-3</v>
      </c>
      <c r="W14" s="26">
        <f t="shared" si="6"/>
        <v>-8.0604508400236845E-3</v>
      </c>
      <c r="X14" s="26">
        <f t="shared" si="6"/>
        <v>-6.2167035089661015E-3</v>
      </c>
      <c r="Y14" s="26">
        <f t="shared" si="6"/>
        <v>-6.2148321454975368E-3</v>
      </c>
      <c r="Z14" s="26">
        <f t="shared" si="6"/>
        <v>-6.2150156728946731E-3</v>
      </c>
      <c r="AA14" s="26">
        <f t="shared" si="6"/>
        <v>-6.2145294594154179E-3</v>
      </c>
      <c r="AB14" s="26">
        <f t="shared" si="6"/>
        <v>-6.2139616855185643E-3</v>
      </c>
      <c r="AC14" s="26">
        <f t="shared" si="6"/>
        <v>-6.2140716219005829E-3</v>
      </c>
      <c r="AD14" s="26">
        <f t="shared" si="6"/>
        <v>-6.2146113907790186E-3</v>
      </c>
      <c r="AE14" s="26">
        <f t="shared" si="6"/>
        <v>-6.2105883720428422E-3</v>
      </c>
      <c r="AF14" s="29"/>
      <c r="AG14" s="27">
        <v>2.3479482586614489E-3</v>
      </c>
      <c r="AH14" s="27">
        <v>2.3467263614165412E-3</v>
      </c>
      <c r="AI14" s="27">
        <v>1.9412512390464352E-3</v>
      </c>
      <c r="AJ14" s="27">
        <v>1.9395491599763157E-3</v>
      </c>
      <c r="AK14" s="27">
        <v>1.4832964910338987E-3</v>
      </c>
      <c r="AL14" s="27">
        <v>1.4851678545024635E-3</v>
      </c>
      <c r="AM14" s="27">
        <v>1.4849843271053272E-3</v>
      </c>
      <c r="AN14" s="27">
        <v>1.4854705405845823E-3</v>
      </c>
      <c r="AO14" s="27">
        <v>1.486038314481436E-3</v>
      </c>
      <c r="AP14" s="27">
        <v>1.4859283780994173E-3</v>
      </c>
      <c r="AQ14" s="27">
        <v>1.4853886092209816E-3</v>
      </c>
      <c r="AR14" s="27">
        <v>1.489411627957158E-3</v>
      </c>
    </row>
    <row r="15" spans="1:44" s="31" customFormat="1" ht="20.25" customHeight="1" thickTop="1" thickBot="1" x14ac:dyDescent="0.25">
      <c r="A15" s="3"/>
      <c r="B15" s="13" t="s">
        <v>29</v>
      </c>
      <c r="C15" s="30">
        <v>8622145.653786879</v>
      </c>
      <c r="D15" s="30">
        <v>7335078.712983802</v>
      </c>
      <c r="E15" s="30">
        <v>8764046.7030131314</v>
      </c>
      <c r="F15" s="30">
        <v>8505941.5067541357</v>
      </c>
      <c r="G15" s="30">
        <v>10207064.669134339</v>
      </c>
      <c r="H15" s="30">
        <v>9719323.6954223327</v>
      </c>
      <c r="I15" s="30">
        <v>10544681.781057233</v>
      </c>
      <c r="J15" s="30">
        <v>11358684.216325765</v>
      </c>
      <c r="K15" s="30">
        <v>11300707.990350815</v>
      </c>
      <c r="L15" s="30">
        <v>12333374.000398329</v>
      </c>
      <c r="M15" s="30">
        <v>13570905.64295673</v>
      </c>
      <c r="N15" s="30">
        <v>13795500.469199253</v>
      </c>
      <c r="O15" s="15">
        <f t="shared" si="1"/>
        <v>126057455.04138274</v>
      </c>
      <c r="P15" s="11">
        <v>126057455.04138274</v>
      </c>
      <c r="Q15" s="12">
        <f>P15-O15</f>
        <v>0</v>
      </c>
    </row>
    <row r="16" spans="1:44" ht="20.25" customHeight="1" thickTop="1" thickBot="1" x14ac:dyDescent="0.25">
      <c r="A16" s="3"/>
      <c r="B16" s="32" t="s">
        <v>30</v>
      </c>
      <c r="C16" s="33">
        <f>SUM(C17:C20)</f>
        <v>-553541.75097311765</v>
      </c>
      <c r="D16" s="33">
        <f>SUM(D17:D20)</f>
        <v>-470912.05337356008</v>
      </c>
      <c r="E16" s="33">
        <f>SUM(E17:E20)</f>
        <v>-562651.79833344289</v>
      </c>
      <c r="F16" s="33">
        <f t="shared" ref="F16:N16" si="7">SUM(F17:F20)</f>
        <v>-546081.4447336155</v>
      </c>
      <c r="G16" s="33">
        <f t="shared" si="7"/>
        <v>-655293.55175842461</v>
      </c>
      <c r="H16" s="33">
        <f t="shared" si="7"/>
        <v>-623980.58124611387</v>
      </c>
      <c r="I16" s="33">
        <f t="shared" si="7"/>
        <v>-676968.57034387463</v>
      </c>
      <c r="J16" s="33">
        <f t="shared" si="7"/>
        <v>-729227.52668811427</v>
      </c>
      <c r="K16" s="33">
        <f t="shared" si="7"/>
        <v>-725505.45298052207</v>
      </c>
      <c r="L16" s="33">
        <f t="shared" si="7"/>
        <v>-791802.61082557263</v>
      </c>
      <c r="M16" s="33">
        <f t="shared" si="7"/>
        <v>-871252.14227782201</v>
      </c>
      <c r="N16" s="33">
        <f t="shared" si="7"/>
        <v>-885671.13012259221</v>
      </c>
      <c r="O16" s="15">
        <f t="shared" si="1"/>
        <v>-8092888.6136567723</v>
      </c>
    </row>
    <row r="17" spans="1:44" ht="20.25" customHeight="1" outlineLevel="1" thickTop="1" x14ac:dyDescent="0.2">
      <c r="B17" s="19" t="s">
        <v>31</v>
      </c>
      <c r="C17" s="34">
        <v>-241420.07830603261</v>
      </c>
      <c r="D17" s="34">
        <v>-205382.2039635464</v>
      </c>
      <c r="E17" s="34">
        <v>-245393.30768436761</v>
      </c>
      <c r="F17" s="34">
        <v>-238166.36218911575</v>
      </c>
      <c r="G17" s="34">
        <v>-285797.81073576154</v>
      </c>
      <c r="H17" s="34">
        <v>-272141.06347182533</v>
      </c>
      <c r="I17" s="34">
        <v>-295251.08986960264</v>
      </c>
      <c r="J17" s="34">
        <v>-318043.15805712144</v>
      </c>
      <c r="K17" s="34">
        <v>-316419.8237298227</v>
      </c>
      <c r="L17" s="34">
        <v>-345334.47201115318</v>
      </c>
      <c r="M17" s="34">
        <v>-379985.35800278845</v>
      </c>
      <c r="N17" s="34">
        <v>-386274.0131375792</v>
      </c>
      <c r="O17" s="35">
        <f t="shared" si="1"/>
        <v>-3529608.7411587173</v>
      </c>
      <c r="P17" s="36">
        <v>-3529608.7411587173</v>
      </c>
      <c r="Q17" s="12">
        <f t="shared" ref="Q17:Q23" si="8">P17-O17</f>
        <v>0</v>
      </c>
      <c r="T17" s="26">
        <f t="shared" ref="T17:AE19" si="9">C17/C$6</f>
        <v>-2.2521454063123284E-2</v>
      </c>
      <c r="U17" s="26">
        <f t="shared" si="9"/>
        <v>-2.2524305156694735E-2</v>
      </c>
      <c r="V17" s="26">
        <f t="shared" si="9"/>
        <v>-2.256449653066998E-2</v>
      </c>
      <c r="W17" s="26">
        <f t="shared" si="9"/>
        <v>-2.2569262352066313E-2</v>
      </c>
      <c r="X17" s="26">
        <f t="shared" si="9"/>
        <v>-2.2606194578058552E-2</v>
      </c>
      <c r="Y17" s="26">
        <f t="shared" si="9"/>
        <v>-2.2599389619991039E-2</v>
      </c>
      <c r="Z17" s="26">
        <f t="shared" si="9"/>
        <v>-2.2600056992344266E-2</v>
      </c>
      <c r="AA17" s="26">
        <f t="shared" si="9"/>
        <v>-2.2598288943328795E-2</v>
      </c>
      <c r="AB17" s="26">
        <f t="shared" si="9"/>
        <v>-2.259622431097659E-2</v>
      </c>
      <c r="AC17" s="26">
        <f t="shared" si="9"/>
        <v>-2.2596624079638479E-2</v>
      </c>
      <c r="AD17" s="26">
        <f t="shared" si="9"/>
        <v>-2.2598586875560073E-2</v>
      </c>
      <c r="AE17" s="26">
        <f t="shared" si="9"/>
        <v>-2.2583957716519432E-2</v>
      </c>
      <c r="AG17" s="27">
        <v>5.4785459368767164E-3</v>
      </c>
      <c r="AH17" s="27" t="e">
        <v>#VALUE!</v>
      </c>
      <c r="AI17" s="27">
        <v>-2.256449653066998E-2</v>
      </c>
      <c r="AJ17" s="27">
        <v>-2.2569262352066313E-2</v>
      </c>
      <c r="AK17" s="27">
        <v>-2.2606194578058552E-2</v>
      </c>
      <c r="AL17" s="27">
        <v>-2.2599389619991039E-2</v>
      </c>
      <c r="AM17" s="27">
        <v>-2.2600056992344266E-2</v>
      </c>
      <c r="AN17" s="27">
        <v>-2.2598288943328795E-2</v>
      </c>
      <c r="AO17" s="27">
        <v>-2.259622431097659E-2</v>
      </c>
      <c r="AP17" s="27">
        <v>-2.2596624079638479E-2</v>
      </c>
      <c r="AQ17" s="27">
        <v>-2.2598586875560073E-2</v>
      </c>
      <c r="AR17" s="27">
        <v>-2.2583957716519432E-2</v>
      </c>
    </row>
    <row r="18" spans="1:44" ht="20.25" customHeight="1" outlineLevel="1" x14ac:dyDescent="0.2">
      <c r="B18" s="19" t="s">
        <v>32</v>
      </c>
      <c r="C18" s="34">
        <v>-250042.22395981947</v>
      </c>
      <c r="D18" s="34">
        <v>-212717.28267653027</v>
      </c>
      <c r="E18" s="34">
        <v>-254157.35438738079</v>
      </c>
      <c r="F18" s="34">
        <v>-246672.30369586995</v>
      </c>
      <c r="G18" s="34">
        <v>-296004.87540489587</v>
      </c>
      <c r="H18" s="34">
        <v>-281860.38716724777</v>
      </c>
      <c r="I18" s="34">
        <v>-305795.77165065991</v>
      </c>
      <c r="J18" s="34">
        <v>-329401.84227344726</v>
      </c>
      <c r="K18" s="34">
        <v>-327720.53172017355</v>
      </c>
      <c r="L18" s="34">
        <v>-357667.84601155156</v>
      </c>
      <c r="M18" s="34">
        <v>-393556.26364574517</v>
      </c>
      <c r="N18" s="34">
        <v>-400069.5136067784</v>
      </c>
      <c r="O18" s="22">
        <f t="shared" si="1"/>
        <v>-3655666.1962001002</v>
      </c>
      <c r="P18" s="16">
        <v>-3655666.1962000998</v>
      </c>
      <c r="Q18" s="12">
        <f t="shared" si="8"/>
        <v>0</v>
      </c>
      <c r="T18" s="26">
        <f t="shared" si="9"/>
        <v>-2.3325791708234827E-2</v>
      </c>
      <c r="U18" s="26">
        <f t="shared" si="9"/>
        <v>-2.3328744626576699E-2</v>
      </c>
      <c r="V18" s="26">
        <f t="shared" si="9"/>
        <v>-2.3370371406765341E-2</v>
      </c>
      <c r="W18" s="26">
        <f t="shared" si="9"/>
        <v>-2.337530743606869E-2</v>
      </c>
      <c r="X18" s="26">
        <f t="shared" si="9"/>
        <v>-2.3413558670132072E-2</v>
      </c>
      <c r="Y18" s="26">
        <f t="shared" si="9"/>
        <v>-2.340651067784787E-2</v>
      </c>
      <c r="Z18" s="26">
        <f t="shared" si="9"/>
        <v>-2.3407201884927991E-2</v>
      </c>
      <c r="AA18" s="26">
        <f t="shared" si="9"/>
        <v>-2.3405370691304828E-2</v>
      </c>
      <c r="AB18" s="26">
        <f t="shared" si="9"/>
        <v>-2.3403232322082898E-2</v>
      </c>
      <c r="AC18" s="26">
        <f t="shared" si="9"/>
        <v>-2.3403646368196997E-2</v>
      </c>
      <c r="AD18" s="26">
        <f t="shared" si="9"/>
        <v>-2.3405679263972932E-2</v>
      </c>
      <c r="AE18" s="26">
        <f t="shared" si="9"/>
        <v>-2.3390527634966549E-2</v>
      </c>
      <c r="AG18" s="27">
        <v>5.6742082917651745E-3</v>
      </c>
      <c r="AH18" s="27" t="e">
        <v>#VALUE!</v>
      </c>
      <c r="AI18" s="27">
        <v>-2.3370371406765341E-2</v>
      </c>
      <c r="AJ18" s="27">
        <v>-2.337530743606869E-2</v>
      </c>
      <c r="AK18" s="27">
        <v>-2.3413558670132072E-2</v>
      </c>
      <c r="AL18" s="27">
        <v>-2.340651067784787E-2</v>
      </c>
      <c r="AM18" s="27">
        <v>-2.3407201884927991E-2</v>
      </c>
      <c r="AN18" s="27">
        <v>-2.3405370691304828E-2</v>
      </c>
      <c r="AO18" s="27">
        <v>-2.3403232322082898E-2</v>
      </c>
      <c r="AP18" s="27">
        <v>-2.3403646368196997E-2</v>
      </c>
      <c r="AQ18" s="27">
        <v>-2.3405679263972932E-2</v>
      </c>
      <c r="AR18" s="27">
        <v>-2.3390527634966549E-2</v>
      </c>
    </row>
    <row r="19" spans="1:44" ht="20.25" customHeight="1" outlineLevel="1" x14ac:dyDescent="0.2">
      <c r="B19" s="19" t="s">
        <v>33</v>
      </c>
      <c r="C19" s="34">
        <v>-44835.157399691772</v>
      </c>
      <c r="D19" s="34">
        <v>-38142.409307515773</v>
      </c>
      <c r="E19" s="34">
        <v>-45573.042855668282</v>
      </c>
      <c r="F19" s="34">
        <v>-44230.895835121497</v>
      </c>
      <c r="G19" s="34">
        <v>-53076.736279498553</v>
      </c>
      <c r="H19" s="34">
        <v>-50540.483216196139</v>
      </c>
      <c r="I19" s="34">
        <v>-54832.345261497612</v>
      </c>
      <c r="J19" s="34">
        <v>-59065.157924893982</v>
      </c>
      <c r="K19" s="34">
        <v>-58763.681549824221</v>
      </c>
      <c r="L19" s="34">
        <v>-64133.544802071308</v>
      </c>
      <c r="M19" s="34">
        <v>-70568.709343374983</v>
      </c>
      <c r="N19" s="34">
        <v>-71736.602439836119</v>
      </c>
      <c r="O19" s="22">
        <f>SUM(C19:N19)</f>
        <v>-655498.76621519017</v>
      </c>
      <c r="P19" s="16">
        <v>-655498.76621519029</v>
      </c>
      <c r="Q19" s="12">
        <f t="shared" si="8"/>
        <v>0</v>
      </c>
      <c r="T19" s="26">
        <f t="shared" si="9"/>
        <v>-4.1825557545800383E-3</v>
      </c>
      <c r="U19" s="26">
        <f t="shared" si="9"/>
        <v>-4.1830852433861667E-3</v>
      </c>
      <c r="V19" s="26">
        <f t="shared" si="9"/>
        <v>-4.1905493556958547E-3</v>
      </c>
      <c r="W19" s="26">
        <f t="shared" si="9"/>
        <v>-4.1914344368123154E-3</v>
      </c>
      <c r="X19" s="26">
        <f t="shared" si="9"/>
        <v>-4.1982932787823007E-3</v>
      </c>
      <c r="Y19" s="26">
        <f t="shared" si="9"/>
        <v>-4.1970295008554792E-3</v>
      </c>
      <c r="Z19" s="26">
        <f t="shared" si="9"/>
        <v>-4.1971534414353617E-3</v>
      </c>
      <c r="AA19" s="26">
        <f t="shared" si="9"/>
        <v>-4.1968250894753477E-3</v>
      </c>
      <c r="AB19" s="26">
        <f t="shared" si="9"/>
        <v>-4.1964416577527953E-3</v>
      </c>
      <c r="AC19" s="26">
        <f t="shared" si="9"/>
        <v>-4.1965159005042888E-3</v>
      </c>
      <c r="AD19" s="26">
        <f t="shared" si="9"/>
        <v>-4.1968804197468693E-3</v>
      </c>
      <c r="AE19" s="26">
        <f t="shared" si="9"/>
        <v>-4.1941635759250358E-3</v>
      </c>
      <c r="AG19" s="27">
        <v>1.0174442454199614E-3</v>
      </c>
      <c r="AH19" s="27" t="e">
        <v>#VALUE!</v>
      </c>
      <c r="AI19" s="27">
        <v>-4.1905493556958547E-3</v>
      </c>
      <c r="AJ19" s="27">
        <v>-4.1914344368123154E-3</v>
      </c>
      <c r="AK19" s="27">
        <v>-4.1982932787823007E-3</v>
      </c>
      <c r="AL19" s="27">
        <v>-4.1970295008554792E-3</v>
      </c>
      <c r="AM19" s="27">
        <v>-4.1971534414353617E-3</v>
      </c>
      <c r="AN19" s="27">
        <v>-4.1968250894753477E-3</v>
      </c>
      <c r="AO19" s="27">
        <v>-4.1964416577527953E-3</v>
      </c>
      <c r="AP19" s="27">
        <v>-4.1965159005042888E-3</v>
      </c>
      <c r="AQ19" s="27">
        <v>-4.1968804197468693E-3</v>
      </c>
      <c r="AR19" s="27">
        <v>-4.1941635759250358E-3</v>
      </c>
    </row>
    <row r="20" spans="1:44" ht="20.25" customHeight="1" outlineLevel="1" thickBot="1" x14ac:dyDescent="0.25">
      <c r="B20" s="19" t="s">
        <v>114</v>
      </c>
      <c r="C20" s="20">
        <v>-17244.291307573756</v>
      </c>
      <c r="D20" s="20">
        <v>-14670.157425967604</v>
      </c>
      <c r="E20" s="20">
        <v>-17528.093406026266</v>
      </c>
      <c r="F20" s="20">
        <v>-17011.883013508268</v>
      </c>
      <c r="G20" s="20">
        <v>-20414.129338268682</v>
      </c>
      <c r="H20" s="20">
        <v>-19438.647390844668</v>
      </c>
      <c r="I20" s="20">
        <v>-21089.363562114471</v>
      </c>
      <c r="J20" s="20">
        <v>-22717.368432651529</v>
      </c>
      <c r="K20" s="20">
        <v>-22601.415980701626</v>
      </c>
      <c r="L20" s="20">
        <v>-24666.748000796655</v>
      </c>
      <c r="M20" s="20">
        <v>-27141.81128591346</v>
      </c>
      <c r="N20" s="20">
        <v>-27591.000938398516</v>
      </c>
      <c r="O20" s="22">
        <f t="shared" si="1"/>
        <v>-252114.91008276551</v>
      </c>
      <c r="P20" s="16">
        <v>-252114.91008276551</v>
      </c>
      <c r="Q20" s="12">
        <f t="shared" si="8"/>
        <v>0</v>
      </c>
    </row>
    <row r="21" spans="1:44" ht="20.25" customHeight="1" outlineLevel="1" thickTop="1" thickBot="1" x14ac:dyDescent="0.25">
      <c r="B21" s="37" t="s">
        <v>34</v>
      </c>
      <c r="C21" s="38">
        <v>-5142967.1240185834</v>
      </c>
      <c r="D21" s="38">
        <v>-4411780.2752120448</v>
      </c>
      <c r="E21" s="38">
        <v>-5313817.8293022774</v>
      </c>
      <c r="F21" s="38">
        <v>-5146705.4961055648</v>
      </c>
      <c r="G21" s="38">
        <v>-6171804.6529879337</v>
      </c>
      <c r="H21" s="38">
        <v>-5891653.7604882484</v>
      </c>
      <c r="I21" s="38">
        <v>-6403461.6696933461</v>
      </c>
      <c r="J21" s="38">
        <v>-6907704.3581767473</v>
      </c>
      <c r="K21" s="38">
        <v>-6878261.8916493049</v>
      </c>
      <c r="L21" s="38">
        <v>-7505433.1235360885</v>
      </c>
      <c r="M21" s="38">
        <v>-8268667.0500687836</v>
      </c>
      <c r="N21" s="38">
        <v>-8333164.7429834213</v>
      </c>
      <c r="O21" s="39">
        <f>SUM(C21:N21)</f>
        <v>-76375421.974222332</v>
      </c>
      <c r="P21" s="36">
        <v>-76375421.974222332</v>
      </c>
      <c r="Q21" s="12">
        <f t="shared" si="8"/>
        <v>0</v>
      </c>
    </row>
    <row r="22" spans="1:44" s="31" customFormat="1" ht="20.25" customHeight="1" thickTop="1" thickBot="1" x14ac:dyDescent="0.25">
      <c r="A22" s="3"/>
      <c r="B22" s="40" t="s">
        <v>35</v>
      </c>
      <c r="C22" s="41">
        <f t="shared" ref="C22:N22" si="10">C15+C16+C21</f>
        <v>2925636.778795178</v>
      </c>
      <c r="D22" s="41">
        <f t="shared" si="10"/>
        <v>2452386.3843981968</v>
      </c>
      <c r="E22" s="41">
        <f t="shared" si="10"/>
        <v>2887577.0753774112</v>
      </c>
      <c r="F22" s="41">
        <f t="shared" si="10"/>
        <v>2813154.565914955</v>
      </c>
      <c r="G22" s="41">
        <f t="shared" si="10"/>
        <v>3379966.4643879803</v>
      </c>
      <c r="H22" s="41">
        <f t="shared" si="10"/>
        <v>3203689.3536879709</v>
      </c>
      <c r="I22" s="41">
        <f t="shared" si="10"/>
        <v>3464251.5410200125</v>
      </c>
      <c r="J22" s="41">
        <f t="shared" si="10"/>
        <v>3721752.3314609043</v>
      </c>
      <c r="K22" s="41">
        <f t="shared" si="10"/>
        <v>3696940.6457209876</v>
      </c>
      <c r="L22" s="41">
        <f t="shared" si="10"/>
        <v>4036138.2660366679</v>
      </c>
      <c r="M22" s="41">
        <f t="shared" si="10"/>
        <v>4430986.4506101245</v>
      </c>
      <c r="N22" s="41">
        <f t="shared" si="10"/>
        <v>4576664.5960932393</v>
      </c>
      <c r="O22" s="42">
        <f>SUM(C22:N22)</f>
        <v>41589144.453503631</v>
      </c>
      <c r="P22" s="11">
        <v>41589144.453503631</v>
      </c>
      <c r="Q22" s="12">
        <f t="shared" si="8"/>
        <v>0</v>
      </c>
    </row>
    <row r="23" spans="1:44" ht="20.25" customHeight="1" outlineLevel="1" thickTop="1" thickBot="1" x14ac:dyDescent="0.25">
      <c r="A23" s="3"/>
      <c r="B23" s="19" t="s">
        <v>36</v>
      </c>
      <c r="C23" s="43">
        <v>-938240.46763250581</v>
      </c>
      <c r="D23" s="43">
        <v>-793754.67275566503</v>
      </c>
      <c r="E23" s="43">
        <v>-943887.65836999775</v>
      </c>
      <c r="F23" s="43">
        <v>-894863.18328863045</v>
      </c>
      <c r="G23" s="43">
        <v>-1077132.0031111173</v>
      </c>
      <c r="H23" s="43">
        <v>-1039087.1130687796</v>
      </c>
      <c r="I23" s="43">
        <v>-1123957.8833752468</v>
      </c>
      <c r="J23" s="43">
        <v>-1221316.8444233886</v>
      </c>
      <c r="K23" s="43">
        <v>-1222328.1031192685</v>
      </c>
      <c r="L23" s="43">
        <v>-1326739.3591415405</v>
      </c>
      <c r="M23" s="43">
        <v>-1449285.0260148607</v>
      </c>
      <c r="N23" s="43">
        <v>-1502023.8116755565</v>
      </c>
      <c r="O23" s="15">
        <f>SUM(C23:N23)</f>
        <v>-13532616.125976557</v>
      </c>
      <c r="P23" s="16">
        <v>-1050804.4324050148</v>
      </c>
      <c r="Q23" s="12">
        <f t="shared" si="8"/>
        <v>12481811.693571541</v>
      </c>
    </row>
    <row r="24" spans="1:44" s="31" customFormat="1" ht="20.25" customHeight="1" thickTop="1" thickBot="1" x14ac:dyDescent="0.25">
      <c r="A24" s="3"/>
      <c r="B24" s="44" t="s">
        <v>37</v>
      </c>
      <c r="C24" s="30">
        <f>C22+C23</f>
        <v>1987396.3111626722</v>
      </c>
      <c r="D24" s="30">
        <f>D22+D23</f>
        <v>1658631.7116425317</v>
      </c>
      <c r="E24" s="30">
        <f>E22+E23</f>
        <v>1943689.4170074135</v>
      </c>
      <c r="F24" s="30">
        <f t="shared" ref="F24:N24" si="11">F22+F23</f>
        <v>1918291.3826263244</v>
      </c>
      <c r="G24" s="30">
        <f t="shared" si="11"/>
        <v>2302834.4612768628</v>
      </c>
      <c r="H24" s="30">
        <f t="shared" si="11"/>
        <v>2164602.2406191914</v>
      </c>
      <c r="I24" s="30">
        <f t="shared" si="11"/>
        <v>2340293.6576447655</v>
      </c>
      <c r="J24" s="30">
        <f t="shared" si="11"/>
        <v>2500435.4870375157</v>
      </c>
      <c r="K24" s="30">
        <f t="shared" si="11"/>
        <v>2474612.542601719</v>
      </c>
      <c r="L24" s="30">
        <f t="shared" si="11"/>
        <v>2709398.9068951271</v>
      </c>
      <c r="M24" s="30">
        <f t="shared" si="11"/>
        <v>2981701.4245952638</v>
      </c>
      <c r="N24" s="30">
        <f t="shared" si="11"/>
        <v>3074640.7844176828</v>
      </c>
      <c r="O24" s="15">
        <f t="shared" si="1"/>
        <v>28056528.327527069</v>
      </c>
      <c r="P24" s="11"/>
      <c r="Q24" s="12"/>
    </row>
    <row r="25" spans="1:44" ht="20.25" customHeight="1" thickTop="1" x14ac:dyDescent="0.2">
      <c r="A25" s="3"/>
      <c r="B25" s="32" t="s">
        <v>38</v>
      </c>
      <c r="C25" s="45">
        <f>C26+C29+C33+C37+C42</f>
        <v>-1948816.4885001958</v>
      </c>
      <c r="D25" s="45">
        <f>D26+D29+D33+D37+D42</f>
        <v>-1934785.464659303</v>
      </c>
      <c r="E25" s="45">
        <f>E26+E29+E33+E37+E42</f>
        <v>-1860584.906655214</v>
      </c>
      <c r="F25" s="45">
        <f t="shared" ref="F25:N25" si="12">F26+F29+F33+F37+F42</f>
        <v>-1880595.4435092399</v>
      </c>
      <c r="G25" s="45">
        <f t="shared" si="12"/>
        <v>-1931492.6104025457</v>
      </c>
      <c r="H25" s="45">
        <f t="shared" si="12"/>
        <v>-1932448.6744523349</v>
      </c>
      <c r="I25" s="45">
        <f t="shared" si="12"/>
        <v>-1926073.1934864884</v>
      </c>
      <c r="J25" s="45">
        <f t="shared" si="12"/>
        <v>-1975445.0257526638</v>
      </c>
      <c r="K25" s="45">
        <f t="shared" si="12"/>
        <v>-1952233.0868916542</v>
      </c>
      <c r="L25" s="45">
        <f t="shared" si="12"/>
        <v>-1918834.6665299004</v>
      </c>
      <c r="M25" s="45">
        <f t="shared" si="12"/>
        <v>-1958860.2470337923</v>
      </c>
      <c r="N25" s="45">
        <f t="shared" si="12"/>
        <v>-1914910.2512992045</v>
      </c>
      <c r="O25" s="21">
        <f t="shared" si="1"/>
        <v>-23135080.059172541</v>
      </c>
    </row>
    <row r="26" spans="1:44" s="31" customFormat="1" ht="20.25" customHeight="1" x14ac:dyDescent="0.2">
      <c r="A26" s="3"/>
      <c r="B26" s="46" t="s">
        <v>39</v>
      </c>
      <c r="C26" s="47">
        <f>SUM(C27:C28)</f>
        <v>-278610.1280542778</v>
      </c>
      <c r="D26" s="47">
        <f>SUM(D27:D28)</f>
        <v>-268351.28772853705</v>
      </c>
      <c r="E26" s="47">
        <f>SUM(E27:E28)</f>
        <v>-271197.16048496292</v>
      </c>
      <c r="F26" s="47">
        <f t="shared" ref="F26:N26" si="13">SUM(F27:F28)</f>
        <v>-275038.8110451778</v>
      </c>
      <c r="G26" s="47">
        <f t="shared" si="13"/>
        <v>-276237.31642384123</v>
      </c>
      <c r="H26" s="47">
        <f t="shared" si="13"/>
        <v>-277198.99482805614</v>
      </c>
      <c r="I26" s="47">
        <f t="shared" si="13"/>
        <v>-284309.92620054493</v>
      </c>
      <c r="J26" s="47">
        <f t="shared" si="13"/>
        <v>-278391.16601303394</v>
      </c>
      <c r="K26" s="47">
        <f t="shared" si="13"/>
        <v>-280954.19362064125</v>
      </c>
      <c r="L26" s="47">
        <f t="shared" si="13"/>
        <v>-278001.19598318939</v>
      </c>
      <c r="M26" s="47">
        <f t="shared" si="13"/>
        <v>-285233.49936147826</v>
      </c>
      <c r="N26" s="47">
        <f t="shared" si="13"/>
        <v>-285866.54252476717</v>
      </c>
      <c r="O26" s="48">
        <f>SUM(C26:N26)</f>
        <v>-3339390.2222685074</v>
      </c>
      <c r="P26" s="16"/>
      <c r="Q26" s="12"/>
    </row>
    <row r="27" spans="1:44" s="52" customFormat="1" ht="20.25" customHeight="1" outlineLevel="1" x14ac:dyDescent="0.2">
      <c r="A27" s="49"/>
      <c r="B27" s="50" t="s">
        <v>40</v>
      </c>
      <c r="C27" s="20">
        <v>-225872.09275011113</v>
      </c>
      <c r="D27" s="20">
        <v>-215500.12078298151</v>
      </c>
      <c r="E27" s="20">
        <v>-217200.87770468515</v>
      </c>
      <c r="F27" s="20">
        <v>-221790.61101101112</v>
      </c>
      <c r="G27" s="20">
        <v>-222709.295969119</v>
      </c>
      <c r="H27" s="20">
        <v>-223657.67597638947</v>
      </c>
      <c r="I27" s="20">
        <v>-230573.42864721158</v>
      </c>
      <c r="J27" s="20">
        <v>-224653.70475803391</v>
      </c>
      <c r="K27" s="20">
        <v>-227088.072773419</v>
      </c>
      <c r="L27" s="20">
        <v>-224029.38348902273</v>
      </c>
      <c r="M27" s="20">
        <v>-231175.68555370049</v>
      </c>
      <c r="N27" s="20">
        <v>-231620.95173671161</v>
      </c>
      <c r="O27" s="51">
        <f>SUM(C27:N27)</f>
        <v>-2695871.901152397</v>
      </c>
      <c r="P27" s="257">
        <v>-2686359.7528225654</v>
      </c>
      <c r="Q27" s="12">
        <f>P27-O27</f>
        <v>9512.1483298316598</v>
      </c>
    </row>
    <row r="28" spans="1:44" ht="20.25" customHeight="1" outlineLevel="1" x14ac:dyDescent="0.2">
      <c r="A28" s="3"/>
      <c r="B28" s="50" t="s">
        <v>41</v>
      </c>
      <c r="C28" s="20">
        <v>-52738.035304166668</v>
      </c>
      <c r="D28" s="20">
        <v>-52851.16694555556</v>
      </c>
      <c r="E28" s="20">
        <v>-53996.28278027779</v>
      </c>
      <c r="F28" s="20">
        <v>-53248.200034166672</v>
      </c>
      <c r="G28" s="20">
        <v>-53528.020454722231</v>
      </c>
      <c r="H28" s="20">
        <v>-53541.318851666671</v>
      </c>
      <c r="I28" s="20">
        <v>-53736.497553333335</v>
      </c>
      <c r="J28" s="20">
        <v>-53737.461255000002</v>
      </c>
      <c r="K28" s="20">
        <v>-53866.120847222221</v>
      </c>
      <c r="L28" s="20">
        <v>-53971.812494166676</v>
      </c>
      <c r="M28" s="20">
        <v>-54057.813807777784</v>
      </c>
      <c r="N28" s="20">
        <v>-54245.590788055568</v>
      </c>
      <c r="O28" s="53">
        <f>SUM(C28:N28)</f>
        <v>-643518.32111611136</v>
      </c>
      <c r="P28" s="257">
        <v>-643518.32111611136</v>
      </c>
      <c r="Q28" s="12">
        <f>P28-O28</f>
        <v>0</v>
      </c>
    </row>
    <row r="29" spans="1:44" s="31" customFormat="1" ht="20.25" customHeight="1" x14ac:dyDescent="0.2">
      <c r="A29" s="3"/>
      <c r="B29" s="46" t="s">
        <v>42</v>
      </c>
      <c r="C29" s="47">
        <f>SUM(C30:C32)</f>
        <v>-525812.93748766556</v>
      </c>
      <c r="D29" s="47">
        <f>SUM(D30:D32)</f>
        <v>-522425.50350088777</v>
      </c>
      <c r="E29" s="47">
        <f t="shared" ref="E29:N29" si="14">SUM(E30:E32)</f>
        <v>-523472.65166533215</v>
      </c>
      <c r="F29" s="47">
        <f t="shared" si="14"/>
        <v>-516171.73969694338</v>
      </c>
      <c r="G29" s="47">
        <f t="shared" si="14"/>
        <v>-525344.53810913919</v>
      </c>
      <c r="H29" s="47">
        <f t="shared" si="14"/>
        <v>-553056.56775473175</v>
      </c>
      <c r="I29" s="47">
        <f t="shared" si="14"/>
        <v>-525576.70422784274</v>
      </c>
      <c r="J29" s="47">
        <f t="shared" si="14"/>
        <v>-562276.43620095402</v>
      </c>
      <c r="K29" s="47">
        <f t="shared" si="14"/>
        <v>-536197.90942754643</v>
      </c>
      <c r="L29" s="47">
        <f t="shared" si="14"/>
        <v>-526514.67160239827</v>
      </c>
      <c r="M29" s="47">
        <f t="shared" si="14"/>
        <v>-546145.76802725031</v>
      </c>
      <c r="N29" s="47">
        <f t="shared" si="14"/>
        <v>-528992.40611876885</v>
      </c>
      <c r="O29" s="55">
        <f>SUM(C29:N29)</f>
        <v>-6391987.8338194611</v>
      </c>
      <c r="P29" s="16">
        <v>6333766.8097923705</v>
      </c>
      <c r="Q29" s="12">
        <f>P29+O29</f>
        <v>-58221.02402709052</v>
      </c>
    </row>
    <row r="30" spans="1:44" ht="20.25" customHeight="1" outlineLevel="1" x14ac:dyDescent="0.2">
      <c r="A30" s="3"/>
      <c r="B30" s="50" t="s">
        <v>43</v>
      </c>
      <c r="C30" s="258">
        <v>-143847.63695643132</v>
      </c>
      <c r="D30" s="258">
        <v>-144241.63636315355</v>
      </c>
      <c r="E30" s="258">
        <v>-145315.40137556096</v>
      </c>
      <c r="F30" s="258">
        <v>-145245.91652087579</v>
      </c>
      <c r="G30" s="258">
        <v>-148573.18265034334</v>
      </c>
      <c r="H30" s="258">
        <v>-150651.44714389893</v>
      </c>
      <c r="I30" s="258">
        <v>-148881.73858478776</v>
      </c>
      <c r="J30" s="258">
        <v>-148989.1255256767</v>
      </c>
      <c r="K30" s="258">
        <v>-149320.62256375072</v>
      </c>
      <c r="L30" s="258">
        <v>-149374.41125323222</v>
      </c>
      <c r="M30" s="258">
        <v>-149484.53419271376</v>
      </c>
      <c r="N30" s="258">
        <v>-149594.65713219519</v>
      </c>
      <c r="O30" s="259">
        <f t="shared" si="1"/>
        <v>-1773520.31026262</v>
      </c>
    </row>
    <row r="31" spans="1:44" ht="20.25" customHeight="1" outlineLevel="1" x14ac:dyDescent="0.2">
      <c r="A31" s="3"/>
      <c r="B31" s="50" t="s">
        <v>44</v>
      </c>
      <c r="C31" s="258">
        <v>-88143.874200049904</v>
      </c>
      <c r="D31" s="258">
        <v>-84267.785262596182</v>
      </c>
      <c r="E31" s="258">
        <v>-76991.810873892478</v>
      </c>
      <c r="F31" s="258">
        <v>-77567.186811299893</v>
      </c>
      <c r="G31" s="258">
        <v>-75460.082561867937</v>
      </c>
      <c r="H31" s="258">
        <v>-85509.278359460528</v>
      </c>
      <c r="I31" s="258">
        <v>-77127.29518501609</v>
      </c>
      <c r="J31" s="258">
        <v>-89299.762010571649</v>
      </c>
      <c r="K31" s="258">
        <v>-85876.137613534578</v>
      </c>
      <c r="L31" s="258">
        <v>-75858.200077793852</v>
      </c>
      <c r="M31" s="258">
        <v>-79553.262542053126</v>
      </c>
      <c r="N31" s="258">
        <v>-77553.866672979057</v>
      </c>
      <c r="O31" s="259">
        <f>SUM(C31:N31)</f>
        <v>-973208.5421711154</v>
      </c>
    </row>
    <row r="32" spans="1:44" s="52" customFormat="1" ht="20.25" customHeight="1" outlineLevel="1" x14ac:dyDescent="0.2">
      <c r="A32" s="49"/>
      <c r="B32" s="50" t="s">
        <v>45</v>
      </c>
      <c r="C32" s="258">
        <v>-293821.42633118434</v>
      </c>
      <c r="D32" s="258">
        <v>-293916.08187513804</v>
      </c>
      <c r="E32" s="258">
        <v>-301165.43941587873</v>
      </c>
      <c r="F32" s="258">
        <v>-293358.63636476768</v>
      </c>
      <c r="G32" s="258">
        <v>-301311.2728969279</v>
      </c>
      <c r="H32" s="258">
        <v>-316895.84225137229</v>
      </c>
      <c r="I32" s="258">
        <v>-299567.67045803892</v>
      </c>
      <c r="J32" s="258">
        <v>-323987.5486647056</v>
      </c>
      <c r="K32" s="258">
        <v>-301001.14925026114</v>
      </c>
      <c r="L32" s="258">
        <v>-301282.0602713722</v>
      </c>
      <c r="M32" s="258">
        <v>-317107.97129248339</v>
      </c>
      <c r="N32" s="258">
        <v>-301843.88231359457</v>
      </c>
      <c r="O32" s="259">
        <f t="shared" si="1"/>
        <v>-3645258.9813857242</v>
      </c>
      <c r="P32" s="16"/>
      <c r="Q32" s="12"/>
    </row>
    <row r="33" spans="1:17" s="31" customFormat="1" ht="20.25" customHeight="1" x14ac:dyDescent="0.2">
      <c r="A33" s="3"/>
      <c r="B33" s="46" t="s">
        <v>46</v>
      </c>
      <c r="C33" s="47">
        <f>SUM(C34:C36)</f>
        <v>-280990.09319218551</v>
      </c>
      <c r="D33" s="47">
        <f>SUM(D34:D36)</f>
        <v>-305080.08095243166</v>
      </c>
      <c r="E33" s="47">
        <f>SUM(E34:E36)</f>
        <v>-224796.53811712918</v>
      </c>
      <c r="F33" s="47">
        <f t="shared" ref="F33:N33" si="15">SUM(F34:F36)</f>
        <v>-245696.44934105489</v>
      </c>
      <c r="G33" s="54">
        <f t="shared" si="15"/>
        <v>-271674.29713480145</v>
      </c>
      <c r="H33" s="47">
        <f t="shared" si="15"/>
        <v>-245332.08523182449</v>
      </c>
      <c r="I33" s="47">
        <f t="shared" si="15"/>
        <v>-262297.31567480025</v>
      </c>
      <c r="J33" s="47">
        <f t="shared" si="15"/>
        <v>-281887.30295646435</v>
      </c>
      <c r="K33" s="47">
        <f t="shared" si="15"/>
        <v>-282578.94586752349</v>
      </c>
      <c r="L33" s="47">
        <f t="shared" si="15"/>
        <v>-256507.66750281851</v>
      </c>
      <c r="M33" s="47">
        <f t="shared" si="15"/>
        <v>-273998.71307135082</v>
      </c>
      <c r="N33" s="47">
        <f t="shared" si="15"/>
        <v>-218956.29678307014</v>
      </c>
      <c r="O33" s="55">
        <f t="shared" si="1"/>
        <v>-3149795.7858254551</v>
      </c>
      <c r="P33" s="260">
        <v>3149795.7858254546</v>
      </c>
      <c r="Q33" s="12">
        <f>P33+O33</f>
        <v>0</v>
      </c>
    </row>
    <row r="34" spans="1:17" ht="20.25" customHeight="1" outlineLevel="1" x14ac:dyDescent="0.2">
      <c r="A34" s="3"/>
      <c r="B34" s="50" t="s">
        <v>47</v>
      </c>
      <c r="C34" s="34">
        <v>-105448.6557480323</v>
      </c>
      <c r="D34" s="34">
        <v>-108687.46177692121</v>
      </c>
      <c r="E34" s="34">
        <v>-106574.42693914345</v>
      </c>
      <c r="F34" s="34">
        <v>-109786.00067053233</v>
      </c>
      <c r="G34" s="34">
        <v>-108641.26030092426</v>
      </c>
      <c r="H34" s="34">
        <v>-109536.45152953536</v>
      </c>
      <c r="I34" s="34">
        <v>-108843.00056620198</v>
      </c>
      <c r="J34" s="34">
        <v>-112409.47716286869</v>
      </c>
      <c r="K34" s="34">
        <v>-109325.94943509088</v>
      </c>
      <c r="L34" s="34">
        <v>-112506.28568203533</v>
      </c>
      <c r="M34" s="34">
        <v>-106268.36272064644</v>
      </c>
      <c r="N34" s="34">
        <v>-110239.39802675757</v>
      </c>
      <c r="O34" s="22">
        <f t="shared" si="1"/>
        <v>-1308266.7305586899</v>
      </c>
    </row>
    <row r="35" spans="1:17" s="31" customFormat="1" ht="20.25" customHeight="1" outlineLevel="1" x14ac:dyDescent="0.2">
      <c r="A35" s="3"/>
      <c r="B35" s="50" t="s">
        <v>48</v>
      </c>
      <c r="C35" s="34">
        <v>-24066.0100275</v>
      </c>
      <c r="D35" s="34">
        <v>-20113.343390000002</v>
      </c>
      <c r="E35" s="34">
        <v>-20171.6767525</v>
      </c>
      <c r="F35" s="34">
        <v>-20235.010117500002</v>
      </c>
      <c r="G35" s="34">
        <v>-20298.3434825</v>
      </c>
      <c r="H35" s="34">
        <v>-20370.010184999999</v>
      </c>
      <c r="I35" s="34">
        <v>-20440.01022</v>
      </c>
      <c r="J35" s="34">
        <v>-20510.010255000001</v>
      </c>
      <c r="K35" s="34">
        <v>-20583.343624999998</v>
      </c>
      <c r="L35" s="34">
        <v>-20655.0103275</v>
      </c>
      <c r="M35" s="34">
        <v>-20726.677030000003</v>
      </c>
      <c r="N35" s="34">
        <v>-20798.343732499998</v>
      </c>
      <c r="O35" s="22">
        <f t="shared" ref="O35:O66" si="16">SUM(C35:N35)</f>
        <v>-248967.78914499999</v>
      </c>
      <c r="P35" s="16"/>
      <c r="Q35" s="12"/>
    </row>
    <row r="36" spans="1:17" s="31" customFormat="1" ht="20.25" customHeight="1" outlineLevel="1" x14ac:dyDescent="0.2">
      <c r="A36" s="3"/>
      <c r="B36" s="50" t="s">
        <v>49</v>
      </c>
      <c r="C36" s="34">
        <v>-151475.42741665323</v>
      </c>
      <c r="D36" s="34">
        <v>-176279.27578551046</v>
      </c>
      <c r="E36" s="34">
        <v>-98050.434425485728</v>
      </c>
      <c r="F36" s="34">
        <v>-115675.43855302256</v>
      </c>
      <c r="G36" s="34">
        <v>-142734.69335137721</v>
      </c>
      <c r="H36" s="34">
        <v>-115425.6235172891</v>
      </c>
      <c r="I36" s="34">
        <v>-133014.30488859827</v>
      </c>
      <c r="J36" s="34">
        <v>-148967.81553859563</v>
      </c>
      <c r="K36" s="34">
        <v>-152669.65280743261</v>
      </c>
      <c r="L36" s="34">
        <v>-123346.37149328319</v>
      </c>
      <c r="M36" s="34">
        <v>-147003.6733207044</v>
      </c>
      <c r="N36" s="34">
        <v>-87918.555023812558</v>
      </c>
      <c r="O36" s="25">
        <f t="shared" si="16"/>
        <v>-1592561.2661217647</v>
      </c>
      <c r="P36" s="16"/>
      <c r="Q36" s="12"/>
    </row>
    <row r="37" spans="1:17" s="31" customFormat="1" ht="20.25" customHeight="1" x14ac:dyDescent="0.2">
      <c r="A37" s="3"/>
      <c r="B37" s="46" t="s">
        <v>50</v>
      </c>
      <c r="C37" s="56">
        <f t="shared" ref="C37:H37" si="17">SUM(C38:C41)</f>
        <v>-765269.99643273372</v>
      </c>
      <c r="D37" s="56">
        <f t="shared" si="17"/>
        <v>-740795.25914411317</v>
      </c>
      <c r="E37" s="56">
        <f t="shared" si="17"/>
        <v>-742985.22305445641</v>
      </c>
      <c r="F37" s="56">
        <f t="shared" si="17"/>
        <v>-745555.11009273049</v>
      </c>
      <c r="G37" s="57">
        <f t="shared" si="17"/>
        <v>-760103.12540143041</v>
      </c>
      <c r="H37" s="56">
        <f t="shared" si="17"/>
        <v>-758727.69330438937</v>
      </c>
      <c r="I37" s="56">
        <f t="shared" ref="I37:N37" si="18">SUM(I38:I41)</f>
        <v>-755755.91404996719</v>
      </c>
      <c r="J37" s="56">
        <f t="shared" si="18"/>
        <v>-754756.78724887827</v>
      </c>
      <c r="K37" s="56">
        <f t="shared" si="18"/>
        <v>-754368.70464260958</v>
      </c>
      <c r="L37" s="56">
        <f t="shared" si="18"/>
        <v>-759677.79810816096</v>
      </c>
      <c r="M37" s="56">
        <f t="shared" si="18"/>
        <v>-755348.93324037967</v>
      </c>
      <c r="N37" s="56">
        <f t="shared" si="18"/>
        <v>-782961.67253926513</v>
      </c>
      <c r="O37" s="55">
        <f>SUM(C37:N37)</f>
        <v>-9076306.2172591165</v>
      </c>
      <c r="P37" s="261">
        <v>9076306.2172591165</v>
      </c>
      <c r="Q37" s="12">
        <f>P37+O37</f>
        <v>0</v>
      </c>
    </row>
    <row r="38" spans="1:17" s="60" customFormat="1" ht="20.25" customHeight="1" outlineLevel="1" x14ac:dyDescent="0.2">
      <c r="A38" s="58"/>
      <c r="B38" s="50" t="s">
        <v>51</v>
      </c>
      <c r="C38" s="59">
        <v>-623171.25006815034</v>
      </c>
      <c r="D38" s="59">
        <v>-615390.64809318725</v>
      </c>
      <c r="E38" s="59">
        <v>-621739.50081718783</v>
      </c>
      <c r="F38" s="59">
        <v>-624107.88885314716</v>
      </c>
      <c r="G38" s="59">
        <v>-638454.40515953221</v>
      </c>
      <c r="H38" s="59">
        <v>-636850.96103355603</v>
      </c>
      <c r="I38" s="59">
        <v>-634890.10357330053</v>
      </c>
      <c r="J38" s="59">
        <v>-635511.21361304494</v>
      </c>
      <c r="K38" s="59">
        <v>-634622.94164955395</v>
      </c>
      <c r="L38" s="59">
        <v>-639992.64835691091</v>
      </c>
      <c r="M38" s="59">
        <v>-635446.5217309352</v>
      </c>
      <c r="N38" s="59">
        <v>-662841.99927162623</v>
      </c>
      <c r="O38" s="25">
        <f t="shared" si="16"/>
        <v>-7603020.0822201325</v>
      </c>
      <c r="P38" s="11"/>
      <c r="Q38" s="12"/>
    </row>
    <row r="39" spans="1:17" s="31" customFormat="1" ht="20.25" customHeight="1" outlineLevel="1" x14ac:dyDescent="0.2">
      <c r="A39" s="3"/>
      <c r="B39" s="50" t="s">
        <v>52</v>
      </c>
      <c r="C39" s="20">
        <v>-85030.456364583311</v>
      </c>
      <c r="D39" s="20">
        <v>-68336.321050925922</v>
      </c>
      <c r="E39" s="20">
        <v>-64177.43223726852</v>
      </c>
      <c r="F39" s="20">
        <v>-64378.931239583326</v>
      </c>
      <c r="G39" s="20">
        <v>-64580.430241898153</v>
      </c>
      <c r="H39" s="20">
        <v>-64808.44227083333</v>
      </c>
      <c r="I39" s="20">
        <v>-63797.520476666657</v>
      </c>
      <c r="J39" s="20">
        <v>-62177.283635833337</v>
      </c>
      <c r="K39" s="20">
        <v>-62677.472993055548</v>
      </c>
      <c r="L39" s="20">
        <v>-62616.859751249998</v>
      </c>
      <c r="M39" s="20">
        <v>-62834.121509444434</v>
      </c>
      <c r="N39" s="20">
        <v>-63051.383267638877</v>
      </c>
      <c r="O39" s="25">
        <f>SUM(C39:N39)</f>
        <v>-788466.65503898135</v>
      </c>
      <c r="P39" s="11"/>
      <c r="Q39" s="12"/>
    </row>
    <row r="40" spans="1:17" s="31" customFormat="1" ht="20.25" customHeight="1" outlineLevel="1" x14ac:dyDescent="0.2">
      <c r="A40" s="3"/>
      <c r="B40" s="50" t="s">
        <v>53</v>
      </c>
      <c r="C40" s="34">
        <v>-57068.289999999994</v>
      </c>
      <c r="D40" s="34">
        <v>-57068.289999999994</v>
      </c>
      <c r="E40" s="34">
        <v>-57068.289999999994</v>
      </c>
      <c r="F40" s="34">
        <v>-57068.289999999994</v>
      </c>
      <c r="G40" s="34">
        <v>-57068.289999999994</v>
      </c>
      <c r="H40" s="34">
        <v>-57068.289999999994</v>
      </c>
      <c r="I40" s="34">
        <v>-57068.289999999994</v>
      </c>
      <c r="J40" s="34">
        <v>-57068.289999999994</v>
      </c>
      <c r="K40" s="34">
        <v>-57068.289999999994</v>
      </c>
      <c r="L40" s="34">
        <v>-57068.289999999994</v>
      </c>
      <c r="M40" s="34">
        <v>-57068.289999999994</v>
      </c>
      <c r="N40" s="34">
        <v>-57068.289999999994</v>
      </c>
      <c r="O40" s="22">
        <f t="shared" si="16"/>
        <v>-684819.48</v>
      </c>
      <c r="P40" s="11"/>
      <c r="Q40" s="12"/>
    </row>
    <row r="41" spans="1:17" s="60" customFormat="1" ht="20.25" customHeight="1" outlineLevel="1" x14ac:dyDescent="0.2">
      <c r="A41" s="49"/>
      <c r="B41" s="50" t="s">
        <v>54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25">
        <f t="shared" si="16"/>
        <v>0</v>
      </c>
      <c r="P41" s="11"/>
      <c r="Q41" s="12"/>
    </row>
    <row r="42" spans="1:17" s="31" customFormat="1" ht="20.25" customHeight="1" x14ac:dyDescent="0.2">
      <c r="A42" s="3"/>
      <c r="B42" s="46" t="s">
        <v>55</v>
      </c>
      <c r="C42" s="62">
        <f t="shared" ref="C42:N42" si="19">SUM(C43:C48)</f>
        <v>-98133.333333333343</v>
      </c>
      <c r="D42" s="62">
        <f t="shared" si="19"/>
        <v>-98133.333333333343</v>
      </c>
      <c r="E42" s="62">
        <f t="shared" si="19"/>
        <v>-98133.333333333343</v>
      </c>
      <c r="F42" s="62">
        <f t="shared" si="19"/>
        <v>-98133.333333333343</v>
      </c>
      <c r="G42" s="63">
        <f t="shared" si="19"/>
        <v>-98133.333333333343</v>
      </c>
      <c r="H42" s="62">
        <f t="shared" si="19"/>
        <v>-98133.333333333343</v>
      </c>
      <c r="I42" s="62">
        <f t="shared" si="19"/>
        <v>-98133.333333333343</v>
      </c>
      <c r="J42" s="62">
        <f t="shared" si="19"/>
        <v>-98133.333333333343</v>
      </c>
      <c r="K42" s="62">
        <f t="shared" si="19"/>
        <v>-98133.333333333343</v>
      </c>
      <c r="L42" s="62">
        <f t="shared" si="19"/>
        <v>-98133.333333333343</v>
      </c>
      <c r="M42" s="62">
        <f t="shared" si="19"/>
        <v>-98133.333333333343</v>
      </c>
      <c r="N42" s="62">
        <f t="shared" si="19"/>
        <v>-98133.333333333343</v>
      </c>
      <c r="O42" s="55">
        <f t="shared" si="16"/>
        <v>-1177600.0000000002</v>
      </c>
      <c r="P42" s="11"/>
      <c r="Q42" s="12"/>
    </row>
    <row r="43" spans="1:17" s="31" customFormat="1" ht="20.25" customHeight="1" outlineLevel="1" x14ac:dyDescent="0.2">
      <c r="A43" s="3"/>
      <c r="B43" s="50" t="s">
        <v>113</v>
      </c>
      <c r="C43" s="20">
        <v>-37083.333333333336</v>
      </c>
      <c r="D43" s="20">
        <v>-37083.333333333336</v>
      </c>
      <c r="E43" s="20">
        <v>-37083.333333333336</v>
      </c>
      <c r="F43" s="20">
        <v>-37083.333333333336</v>
      </c>
      <c r="G43" s="20">
        <v>-37083.333333333336</v>
      </c>
      <c r="H43" s="20">
        <v>-37083.333333333336</v>
      </c>
      <c r="I43" s="20">
        <v>-37083.333333333336</v>
      </c>
      <c r="J43" s="20">
        <v>-37083.333333333336</v>
      </c>
      <c r="K43" s="20">
        <v>-37083.333333333336</v>
      </c>
      <c r="L43" s="20">
        <v>-37083.333333333336</v>
      </c>
      <c r="M43" s="20">
        <v>-37083.333333333336</v>
      </c>
      <c r="N43" s="20">
        <v>-37083.333333333336</v>
      </c>
      <c r="O43" s="22">
        <f t="shared" si="16"/>
        <v>-444999.99999999994</v>
      </c>
      <c r="P43" s="11"/>
      <c r="Q43" s="12"/>
    </row>
    <row r="44" spans="1:17" s="31" customFormat="1" ht="20.25" customHeight="1" outlineLevel="1" x14ac:dyDescent="0.2">
      <c r="A44" s="3"/>
      <c r="B44" s="50" t="s">
        <v>56</v>
      </c>
      <c r="C44" s="20">
        <v>-8750</v>
      </c>
      <c r="D44" s="20">
        <v>-8750</v>
      </c>
      <c r="E44" s="20">
        <v>-8750</v>
      </c>
      <c r="F44" s="20">
        <v>-8750</v>
      </c>
      <c r="G44" s="20">
        <v>-8750</v>
      </c>
      <c r="H44" s="20">
        <v>-8750</v>
      </c>
      <c r="I44" s="20">
        <v>-8750</v>
      </c>
      <c r="J44" s="20">
        <v>-8750</v>
      </c>
      <c r="K44" s="20">
        <v>-8750</v>
      </c>
      <c r="L44" s="20">
        <v>-8750</v>
      </c>
      <c r="M44" s="20">
        <v>-8750</v>
      </c>
      <c r="N44" s="20">
        <v>-8750</v>
      </c>
      <c r="O44" s="22">
        <f t="shared" si="16"/>
        <v>-105000</v>
      </c>
      <c r="P44" s="11"/>
      <c r="Q44" s="12"/>
    </row>
    <row r="45" spans="1:17" s="31" customFormat="1" ht="20.25" customHeight="1" outlineLevel="1" x14ac:dyDescent="0.2">
      <c r="A45" s="3"/>
      <c r="B45" s="50" t="s">
        <v>57</v>
      </c>
      <c r="C45" s="20">
        <v>-43800.000000000007</v>
      </c>
      <c r="D45" s="20">
        <v>-43800.000000000007</v>
      </c>
      <c r="E45" s="20">
        <v>-43800.000000000007</v>
      </c>
      <c r="F45" s="20">
        <v>-43800.000000000007</v>
      </c>
      <c r="G45" s="20">
        <v>-43800.000000000007</v>
      </c>
      <c r="H45" s="20">
        <v>-43800.000000000007</v>
      </c>
      <c r="I45" s="20">
        <v>-43800.000000000007</v>
      </c>
      <c r="J45" s="20">
        <v>-43800.000000000007</v>
      </c>
      <c r="K45" s="20">
        <v>-43800.000000000007</v>
      </c>
      <c r="L45" s="20">
        <v>-43800.000000000007</v>
      </c>
      <c r="M45" s="20">
        <v>-43800.000000000007</v>
      </c>
      <c r="N45" s="20">
        <v>-43800.000000000007</v>
      </c>
      <c r="O45" s="22">
        <f t="shared" si="16"/>
        <v>-525600.00000000012</v>
      </c>
      <c r="P45" s="11"/>
      <c r="Q45" s="12"/>
    </row>
    <row r="46" spans="1:17" s="31" customFormat="1" ht="20.25" customHeight="1" outlineLevel="1" x14ac:dyDescent="0.2">
      <c r="A46" s="3"/>
      <c r="B46" s="50" t="s">
        <v>58</v>
      </c>
      <c r="C46" s="20">
        <v>19500</v>
      </c>
      <c r="D46" s="20">
        <v>19500</v>
      </c>
      <c r="E46" s="20">
        <v>19500</v>
      </c>
      <c r="F46" s="20">
        <v>19500</v>
      </c>
      <c r="G46" s="20">
        <v>19500</v>
      </c>
      <c r="H46" s="20">
        <v>19500</v>
      </c>
      <c r="I46" s="20">
        <v>19500</v>
      </c>
      <c r="J46" s="20">
        <v>19500</v>
      </c>
      <c r="K46" s="20">
        <v>19500</v>
      </c>
      <c r="L46" s="20">
        <v>19500</v>
      </c>
      <c r="M46" s="20">
        <v>19500</v>
      </c>
      <c r="N46" s="20">
        <v>19500</v>
      </c>
      <c r="O46" s="22">
        <f>SUM(C46:N46)</f>
        <v>234000</v>
      </c>
      <c r="P46" s="11"/>
      <c r="Q46" s="12"/>
    </row>
    <row r="47" spans="1:17" s="31" customFormat="1" ht="20.25" customHeight="1" outlineLevel="1" x14ac:dyDescent="0.2">
      <c r="A47" s="3"/>
      <c r="B47" s="50" t="s">
        <v>59</v>
      </c>
      <c r="C47" s="20">
        <v>-3900</v>
      </c>
      <c r="D47" s="20">
        <v>-3900</v>
      </c>
      <c r="E47" s="20">
        <v>-3900</v>
      </c>
      <c r="F47" s="20">
        <v>-3900</v>
      </c>
      <c r="G47" s="20">
        <v>-3900</v>
      </c>
      <c r="H47" s="20">
        <v>-3900</v>
      </c>
      <c r="I47" s="20">
        <v>-3900</v>
      </c>
      <c r="J47" s="20">
        <v>-3900</v>
      </c>
      <c r="K47" s="20">
        <v>-3900</v>
      </c>
      <c r="L47" s="20">
        <v>-3900</v>
      </c>
      <c r="M47" s="20">
        <v>-3900</v>
      </c>
      <c r="N47" s="20">
        <v>-3900</v>
      </c>
      <c r="O47" s="22">
        <f>SUM(C47:N47)</f>
        <v>-46800</v>
      </c>
      <c r="P47" s="11"/>
      <c r="Q47" s="12"/>
    </row>
    <row r="48" spans="1:17" s="31" customFormat="1" ht="20.25" customHeight="1" outlineLevel="1" thickBot="1" x14ac:dyDescent="0.25">
      <c r="A48" s="3"/>
      <c r="B48" s="50" t="s">
        <v>60</v>
      </c>
      <c r="C48" s="20">
        <v>-24099.999999999996</v>
      </c>
      <c r="D48" s="20">
        <v>-24099.999999999996</v>
      </c>
      <c r="E48" s="20">
        <v>-24099.999999999996</v>
      </c>
      <c r="F48" s="20">
        <v>-24099.999999999996</v>
      </c>
      <c r="G48" s="20">
        <v>-24099.999999999996</v>
      </c>
      <c r="H48" s="20">
        <v>-24099.999999999996</v>
      </c>
      <c r="I48" s="20">
        <v>-24099.999999999996</v>
      </c>
      <c r="J48" s="20">
        <v>-24099.999999999996</v>
      </c>
      <c r="K48" s="20">
        <v>-24099.999999999996</v>
      </c>
      <c r="L48" s="20">
        <v>-24099.999999999996</v>
      </c>
      <c r="M48" s="20">
        <v>-24099.999999999996</v>
      </c>
      <c r="N48" s="20">
        <v>-24099.999999999996</v>
      </c>
      <c r="O48" s="22">
        <f>SUM(C48:N48)</f>
        <v>-289199.99999999994</v>
      </c>
      <c r="P48" s="11"/>
      <c r="Q48" s="12"/>
    </row>
    <row r="49" spans="1:17" s="31" customFormat="1" ht="20.25" customHeight="1" thickTop="1" thickBot="1" x14ac:dyDescent="0.25">
      <c r="A49" s="3"/>
      <c r="B49" s="40" t="s">
        <v>61</v>
      </c>
      <c r="C49" s="41">
        <f t="shared" ref="C49:N49" si="20">C24+C25</f>
        <v>38579.82266247645</v>
      </c>
      <c r="D49" s="41">
        <f t="shared" si="20"/>
        <v>-276153.75301677128</v>
      </c>
      <c r="E49" s="41">
        <f t="shared" si="20"/>
        <v>83104.510352199432</v>
      </c>
      <c r="F49" s="41">
        <f t="shared" si="20"/>
        <v>37695.93911708449</v>
      </c>
      <c r="G49" s="41">
        <f t="shared" si="20"/>
        <v>371341.85087431711</v>
      </c>
      <c r="H49" s="41">
        <f t="shared" si="20"/>
        <v>232153.56616685656</v>
      </c>
      <c r="I49" s="41">
        <f t="shared" si="20"/>
        <v>414220.46415827703</v>
      </c>
      <c r="J49" s="41">
        <f t="shared" si="20"/>
        <v>524990.46128485189</v>
      </c>
      <c r="K49" s="41">
        <f t="shared" si="20"/>
        <v>522379.45571006485</v>
      </c>
      <c r="L49" s="41">
        <f t="shared" si="20"/>
        <v>790564.24036522675</v>
      </c>
      <c r="M49" s="41">
        <f t="shared" si="20"/>
        <v>1022841.1775614715</v>
      </c>
      <c r="N49" s="41">
        <f t="shared" si="20"/>
        <v>1159730.5331184783</v>
      </c>
      <c r="O49" s="42">
        <f>SUM(C49:N49)</f>
        <v>4921448.2683545323</v>
      </c>
      <c r="P49" s="11"/>
      <c r="Q49" s="12"/>
    </row>
    <row r="50" spans="1:17" ht="20.25" customHeight="1" thickTop="1" x14ac:dyDescent="0.2">
      <c r="A50" s="3"/>
      <c r="B50" s="64" t="s">
        <v>62</v>
      </c>
      <c r="C50" s="65">
        <f>SUM(C51:C52)</f>
        <v>0</v>
      </c>
      <c r="D50" s="65">
        <f>SUM(D51:D52)</f>
        <v>0</v>
      </c>
      <c r="E50" s="65">
        <f>SUM(E51:E52)</f>
        <v>0</v>
      </c>
      <c r="F50" s="65">
        <f t="shared" ref="F50:N50" si="21">SUM(F51:F52)</f>
        <v>0</v>
      </c>
      <c r="G50" s="65">
        <f t="shared" si="21"/>
        <v>0</v>
      </c>
      <c r="H50" s="65">
        <f t="shared" si="21"/>
        <v>0</v>
      </c>
      <c r="I50" s="65">
        <f t="shared" si="21"/>
        <v>0</v>
      </c>
      <c r="J50" s="65">
        <f t="shared" si="21"/>
        <v>0</v>
      </c>
      <c r="K50" s="65">
        <f t="shared" si="21"/>
        <v>0</v>
      </c>
      <c r="L50" s="65">
        <f t="shared" si="21"/>
        <v>0</v>
      </c>
      <c r="M50" s="65">
        <f t="shared" si="21"/>
        <v>0</v>
      </c>
      <c r="N50" s="65">
        <f t="shared" si="21"/>
        <v>0</v>
      </c>
      <c r="O50" s="53">
        <f t="shared" si="16"/>
        <v>0</v>
      </c>
    </row>
    <row r="51" spans="1:17" ht="20.25" customHeight="1" outlineLevel="1" x14ac:dyDescent="0.2">
      <c r="A51" s="3"/>
      <c r="B51" s="66" t="s">
        <v>63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2">
        <f t="shared" si="16"/>
        <v>0</v>
      </c>
    </row>
    <row r="52" spans="1:17" ht="20.25" customHeight="1" outlineLevel="1" x14ac:dyDescent="0.2">
      <c r="A52" s="3"/>
      <c r="B52" s="66" t="s">
        <v>64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2">
        <f t="shared" si="16"/>
        <v>0</v>
      </c>
    </row>
    <row r="53" spans="1:17" s="31" customFormat="1" ht="20.25" customHeight="1" x14ac:dyDescent="0.2">
      <c r="A53" s="3"/>
      <c r="B53" s="67" t="s">
        <v>65</v>
      </c>
      <c r="C53" s="54">
        <f>SUM(C54:C59)</f>
        <v>-296458.44774999999</v>
      </c>
      <c r="D53" s="54">
        <f>SUM(D54:D59)</f>
        <v>-312534.5425452083</v>
      </c>
      <c r="E53" s="54">
        <f>SUM(E54:E59)</f>
        <v>-323133.51244338875</v>
      </c>
      <c r="F53" s="54">
        <f t="shared" ref="F53:N53" si="22">SUM(F54:F59)</f>
        <v>-294807.06503264187</v>
      </c>
      <c r="G53" s="54">
        <f t="shared" si="22"/>
        <v>-312721.03800366557</v>
      </c>
      <c r="H53" s="54">
        <f t="shared" si="22"/>
        <v>-323447.63915035361</v>
      </c>
      <c r="I53" s="54">
        <f t="shared" si="22"/>
        <v>-296882.50637039734</v>
      </c>
      <c r="J53" s="54">
        <f t="shared" si="22"/>
        <v>-318983.34766589134</v>
      </c>
      <c r="K53" s="54">
        <f t="shared" si="22"/>
        <v>-315799.59114394238</v>
      </c>
      <c r="L53" s="54">
        <f t="shared" si="22"/>
        <v>-296868.75501728203</v>
      </c>
      <c r="M53" s="54">
        <f t="shared" si="22"/>
        <v>-309019.99760488287</v>
      </c>
      <c r="N53" s="54">
        <f t="shared" si="22"/>
        <v>-295662.45733257802</v>
      </c>
      <c r="O53" s="55">
        <f t="shared" si="16"/>
        <v>-3696318.9000602323</v>
      </c>
      <c r="P53" s="11"/>
      <c r="Q53" s="12"/>
    </row>
    <row r="54" spans="1:17" ht="20.25" customHeight="1" outlineLevel="1" x14ac:dyDescent="0.2">
      <c r="A54" s="3"/>
      <c r="B54" s="19" t="s">
        <v>116</v>
      </c>
      <c r="C54" s="20">
        <v>-178047.59</v>
      </c>
      <c r="D54" s="20">
        <v>-193606.80999999997</v>
      </c>
      <c r="E54" s="20">
        <v>-203685.89</v>
      </c>
      <c r="F54" s="20">
        <v>-174836.52000000002</v>
      </c>
      <c r="G54" s="20">
        <v>-192224.52000000002</v>
      </c>
      <c r="H54" s="20">
        <v>-202422.08</v>
      </c>
      <c r="I54" s="20">
        <v>-175324.82</v>
      </c>
      <c r="J54" s="20">
        <v>-196890.43</v>
      </c>
      <c r="K54" s="20">
        <v>-193168.32</v>
      </c>
      <c r="L54" s="20">
        <v>-173695.99</v>
      </c>
      <c r="M54" s="20">
        <v>-185302.58000000002</v>
      </c>
      <c r="N54" s="20">
        <v>-171397.21000000002</v>
      </c>
      <c r="O54" s="22">
        <f t="shared" si="16"/>
        <v>-2240602.7600000002</v>
      </c>
    </row>
    <row r="55" spans="1:17" ht="20.25" customHeight="1" outlineLevel="1" x14ac:dyDescent="0.2">
      <c r="A55" s="16">
        <v>15189789.9</v>
      </c>
      <c r="B55" s="19" t="s">
        <v>106</v>
      </c>
      <c r="C55" s="20">
        <v>-88607.10775000001</v>
      </c>
      <c r="D55" s="20">
        <v>-89123.982545208346</v>
      </c>
      <c r="E55" s="20">
        <v>-89643.872443388726</v>
      </c>
      <c r="F55" s="20">
        <v>-90166.795032641836</v>
      </c>
      <c r="G55" s="20">
        <v>-90692.768003665566</v>
      </c>
      <c r="H55" s="20">
        <v>-91221.809150353612</v>
      </c>
      <c r="I55" s="20">
        <v>-91753.93637039735</v>
      </c>
      <c r="J55" s="20">
        <v>-92289.167665891335</v>
      </c>
      <c r="K55" s="20">
        <v>-92827.521143942373</v>
      </c>
      <c r="L55" s="20">
        <v>-93369.015017282043</v>
      </c>
      <c r="M55" s="20">
        <v>-93913.667604882838</v>
      </c>
      <c r="N55" s="20">
        <v>-94461.497332578001</v>
      </c>
      <c r="O55" s="22">
        <f t="shared" si="16"/>
        <v>-1098071.140060232</v>
      </c>
      <c r="P55" s="7"/>
    </row>
    <row r="56" spans="1:17" ht="20.25" customHeight="1" outlineLevel="1" x14ac:dyDescent="0.2">
      <c r="A56" s="3"/>
      <c r="B56" s="19" t="s">
        <v>67</v>
      </c>
      <c r="C56" s="20">
        <v>-28000</v>
      </c>
      <c r="D56" s="20">
        <v>-28000</v>
      </c>
      <c r="E56" s="20">
        <v>-28000</v>
      </c>
      <c r="F56" s="20">
        <v>-28000</v>
      </c>
      <c r="G56" s="20">
        <v>-28000</v>
      </c>
      <c r="H56" s="20">
        <v>-28000</v>
      </c>
      <c r="I56" s="20">
        <v>-28000</v>
      </c>
      <c r="J56" s="20">
        <v>-28000</v>
      </c>
      <c r="K56" s="20">
        <v>-28000</v>
      </c>
      <c r="L56" s="20">
        <v>-28000</v>
      </c>
      <c r="M56" s="20">
        <v>-28000</v>
      </c>
      <c r="N56" s="20">
        <v>-28000</v>
      </c>
      <c r="O56" s="22">
        <f t="shared" si="16"/>
        <v>-336000</v>
      </c>
    </row>
    <row r="57" spans="1:17" ht="20.25" customHeight="1" outlineLevel="1" x14ac:dyDescent="0.2">
      <c r="A57" s="3"/>
      <c r="B57" s="19" t="s">
        <v>68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2">
        <f t="shared" si="16"/>
        <v>0</v>
      </c>
    </row>
    <row r="58" spans="1:17" ht="20.25" customHeight="1" outlineLevel="1" x14ac:dyDescent="0.2">
      <c r="A58" s="3"/>
      <c r="B58" s="19" t="s">
        <v>69</v>
      </c>
      <c r="C58" s="20">
        <v>-1803.75</v>
      </c>
      <c r="D58" s="20">
        <v>-1803.75</v>
      </c>
      <c r="E58" s="20">
        <v>-1803.75</v>
      </c>
      <c r="F58" s="20">
        <v>-1803.75</v>
      </c>
      <c r="G58" s="20">
        <v>-1803.75</v>
      </c>
      <c r="H58" s="20">
        <v>-1803.75</v>
      </c>
      <c r="I58" s="20">
        <v>-1803.75</v>
      </c>
      <c r="J58" s="20">
        <v>-1803.75</v>
      </c>
      <c r="K58" s="20">
        <v>-1803.75</v>
      </c>
      <c r="L58" s="20">
        <v>-1803.75</v>
      </c>
      <c r="M58" s="20">
        <v>-1803.75</v>
      </c>
      <c r="N58" s="20">
        <v>-1803.75</v>
      </c>
      <c r="O58" s="22">
        <f t="shared" si="16"/>
        <v>-21645</v>
      </c>
    </row>
    <row r="59" spans="1:17" ht="20.25" customHeight="1" outlineLevel="1" thickBot="1" x14ac:dyDescent="0.25">
      <c r="A59" s="3"/>
      <c r="B59" s="19" t="s">
        <v>70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2">
        <f t="shared" si="16"/>
        <v>0</v>
      </c>
    </row>
    <row r="60" spans="1:17" ht="20.25" customHeight="1" thickTop="1" thickBot="1" x14ac:dyDescent="0.25">
      <c r="A60" s="3"/>
      <c r="B60" s="40" t="s">
        <v>71</v>
      </c>
      <c r="C60" s="41">
        <f>C49+C50+C53</f>
        <v>-257878.62508752354</v>
      </c>
      <c r="D60" s="41">
        <f t="shared" ref="D60:N60" si="23">D49+D50+D53</f>
        <v>-588688.29556197952</v>
      </c>
      <c r="E60" s="41">
        <f t="shared" si="23"/>
        <v>-240029.00209118932</v>
      </c>
      <c r="F60" s="41">
        <f t="shared" si="23"/>
        <v>-257111.12591555738</v>
      </c>
      <c r="G60" s="41">
        <f t="shared" si="23"/>
        <v>58620.812870651542</v>
      </c>
      <c r="H60" s="41">
        <f t="shared" si="23"/>
        <v>-91294.072983497055</v>
      </c>
      <c r="I60" s="41">
        <f t="shared" si="23"/>
        <v>117337.95778787968</v>
      </c>
      <c r="J60" s="41">
        <f t="shared" si="23"/>
        <v>206007.11361896055</v>
      </c>
      <c r="K60" s="41">
        <f t="shared" si="23"/>
        <v>206579.86456612247</v>
      </c>
      <c r="L60" s="41">
        <f t="shared" si="23"/>
        <v>493695.48534794472</v>
      </c>
      <c r="M60" s="41">
        <f t="shared" si="23"/>
        <v>713821.17995658866</v>
      </c>
      <c r="N60" s="41">
        <f t="shared" si="23"/>
        <v>864068.07578590023</v>
      </c>
      <c r="O60" s="42">
        <f>SUM(C60:N60)</f>
        <v>1225129.368294301</v>
      </c>
    </row>
    <row r="61" spans="1:17" ht="20.25" customHeight="1" outlineLevel="1" thickTop="1" x14ac:dyDescent="0.2">
      <c r="A61" s="3"/>
      <c r="B61" s="68" t="s">
        <v>107</v>
      </c>
      <c r="C61" s="69">
        <v>0</v>
      </c>
      <c r="D61" s="69">
        <f>(IF(SUM($C$60:D60)&gt;0,SUM($C$60:D60)*0.25,0)*0.25)-SUM(C61)</f>
        <v>0</v>
      </c>
      <c r="E61" s="69">
        <f>(IF(SUM($C$60:E60)&gt;0,SUM($C$60:E60)*0.25,0)*0.25)-SUM($C$61:D61)</f>
        <v>0</v>
      </c>
      <c r="F61" s="69">
        <f>(IF(SUM($C$60:F60)&gt;0,SUM($C$60:F60)*0.25,0)*0.25)-SUM($C$61:E61)</f>
        <v>0</v>
      </c>
      <c r="G61" s="69">
        <f>(IF(SUM($C$60:G60)&gt;0,SUM($C$60:G60)*0.25,0)*0.25)-SUM($C$61:F61)</f>
        <v>0</v>
      </c>
      <c r="H61" s="69">
        <f>(IF(SUM($C$60:H60)&gt;0,SUM($C$60:H60)*0.25,0)*0.25)-SUM($C$61:G61)</f>
        <v>0</v>
      </c>
      <c r="I61" s="69">
        <f>(IF(SUM($C$60:I60)&gt;0,SUM($C$60:I60)*0.25,0)*0.25)-SUM($C$61:H61)</f>
        <v>0</v>
      </c>
      <c r="J61" s="69">
        <f>(IF(SUM($C$60:J60)&gt;0,SUM($C$60:J60)*0.25,0)*0.25)-SUM($C$61:I61)</f>
        <v>0</v>
      </c>
      <c r="K61" s="69">
        <f>(IF(SUM($C$60:K60)&gt;0,SUM($C$60:K60)*0.25,0)*0.25)-SUM($C$61:J61)</f>
        <v>0</v>
      </c>
      <c r="L61" s="69">
        <f>(IF(SUM($C$60:L60)&gt;0,SUM($C$60:L60)*0.25,0)*0.25)-SUM($C$61:K61)</f>
        <v>0</v>
      </c>
      <c r="M61" s="69">
        <f>(IF(SUM($C$60:M60)&gt;0,SUM($C$60:M60)*0.25,0)*0.25)-SUM($C$61:L61)</f>
        <v>22566.330781775043</v>
      </c>
      <c r="N61" s="69">
        <f>(IF(SUM($C$60:N60)&gt;0,SUM($C$60:N60)*0.25,0)*0.25)-SUM($C$61:M61)</f>
        <v>54004.254736618765</v>
      </c>
      <c r="O61" s="22">
        <f t="shared" si="16"/>
        <v>76570.585518393811</v>
      </c>
    </row>
    <row r="62" spans="1:17" ht="20.25" customHeight="1" outlineLevel="1" thickBot="1" x14ac:dyDescent="0.25">
      <c r="A62" s="3"/>
      <c r="B62" s="68" t="s">
        <v>108</v>
      </c>
      <c r="C62" s="69">
        <v>0</v>
      </c>
      <c r="D62" s="69">
        <f>(IF(SUM($C$60:D60)&gt;0,SUM($C$60:D60)*0.09,0)*0.25)-SUM(C62)</f>
        <v>0</v>
      </c>
      <c r="E62" s="69">
        <f>(IF(SUM($C$60:E60)&gt;0,SUM($C$60:E60)*0.09,0)*0.25)-SUM($C$62:D62)</f>
        <v>0</v>
      </c>
      <c r="F62" s="69">
        <f>(IF(SUM($C$60:F60)&gt;0,SUM($C$60:F60)*0.09,0)*0.25)-SUM($C$62:E62)</f>
        <v>0</v>
      </c>
      <c r="G62" s="69">
        <f>(IF(SUM($C$60:G60)&gt;0,SUM($C$60:G60)*0.09,0)*0.25)-SUM($C$62:F62)</f>
        <v>0</v>
      </c>
      <c r="H62" s="69">
        <f>(IF(SUM($C$60:H60)&gt;0,SUM($C$60:H60)*0.09,0)*0.25)-SUM($C$62:G62)</f>
        <v>0</v>
      </c>
      <c r="I62" s="69">
        <f>(IF(SUM($C$60:I60)&gt;0,SUM($C$60:I60)*0.09,0)*0.25)-SUM($C$62:H62)</f>
        <v>0</v>
      </c>
      <c r="J62" s="69">
        <f>(IF(SUM($C$60:J60)&gt;0,SUM($C$60:J60)*0.09,0)*0.25)-SUM($C$62:I62)</f>
        <v>0</v>
      </c>
      <c r="K62" s="69">
        <f>(IF(SUM($C$60:K60)&gt;0,SUM($C$60:K60)*0.09,0)*0.25)-SUM($C$62:J62)</f>
        <v>0</v>
      </c>
      <c r="L62" s="69">
        <f>(IF(SUM($C$60:L60)&gt;0,SUM($C$60:L60)*0.09,0)*0.25)-SUM($C$62:K62)</f>
        <v>0</v>
      </c>
      <c r="M62" s="69">
        <f>(IF(SUM($C$60:M60)&gt;0,SUM($C$60:M60)*0.09,0)*0.25)-SUM($C$62:L62)</f>
        <v>8123.879081439015</v>
      </c>
      <c r="N62" s="69">
        <f>(IF(SUM($C$60:N60)&gt;0,SUM($C$60:N60)*0.09,0)*0.25)-SUM($C$62:M62)</f>
        <v>19441.531705182755</v>
      </c>
      <c r="O62" s="22">
        <f t="shared" si="16"/>
        <v>27565.410786621771</v>
      </c>
    </row>
    <row r="63" spans="1:17" ht="20.25" customHeight="1" thickTop="1" thickBot="1" x14ac:dyDescent="0.25">
      <c r="A63" s="3"/>
      <c r="B63" s="40" t="s">
        <v>74</v>
      </c>
      <c r="C63" s="41">
        <f>C60+SUM(C61:C62)</f>
        <v>-257878.62508752354</v>
      </c>
      <c r="D63" s="41">
        <f>D60+SUM(D61:D62)</f>
        <v>-588688.29556197952</v>
      </c>
      <c r="E63" s="41">
        <f>E60+SUM(E61:E62)</f>
        <v>-240029.00209118932</v>
      </c>
      <c r="F63" s="41">
        <f t="shared" ref="F63:N63" si="24">F60+SUM(F61:F62)</f>
        <v>-257111.12591555738</v>
      </c>
      <c r="G63" s="41">
        <f t="shared" si="24"/>
        <v>58620.812870651542</v>
      </c>
      <c r="H63" s="41">
        <f t="shared" si="24"/>
        <v>-91294.072983497055</v>
      </c>
      <c r="I63" s="41">
        <f t="shared" si="24"/>
        <v>117337.95778787968</v>
      </c>
      <c r="J63" s="41">
        <f t="shared" si="24"/>
        <v>206007.11361896055</v>
      </c>
      <c r="K63" s="41">
        <f t="shared" si="24"/>
        <v>206579.86456612247</v>
      </c>
      <c r="L63" s="41">
        <f t="shared" si="24"/>
        <v>493695.48534794472</v>
      </c>
      <c r="M63" s="41">
        <f t="shared" si="24"/>
        <v>744511.38981980272</v>
      </c>
      <c r="N63" s="41">
        <f t="shared" si="24"/>
        <v>937513.86222770181</v>
      </c>
      <c r="O63" s="42">
        <f>SUM(C63:N63)</f>
        <v>1329265.3645993166</v>
      </c>
    </row>
    <row r="64" spans="1:17" ht="20.25" customHeight="1" thickTop="1" thickBot="1" x14ac:dyDescent="0.25">
      <c r="A64" s="3"/>
      <c r="B64" s="70" t="s">
        <v>75</v>
      </c>
      <c r="C64" s="33">
        <v>268410.99574074073</v>
      </c>
      <c r="D64" s="33">
        <v>268410.99574074073</v>
      </c>
      <c r="E64" s="33">
        <v>268410.99574074073</v>
      </c>
      <c r="F64" s="33">
        <v>268410.99574074073</v>
      </c>
      <c r="G64" s="33">
        <v>268410.99574074073</v>
      </c>
      <c r="H64" s="33">
        <v>268410.99574074073</v>
      </c>
      <c r="I64" s="33">
        <v>268410.99574074073</v>
      </c>
      <c r="J64" s="33">
        <v>268410.99574074073</v>
      </c>
      <c r="K64" s="33">
        <v>268410.99574074073</v>
      </c>
      <c r="L64" s="33">
        <v>268410.99574074073</v>
      </c>
      <c r="M64" s="33">
        <v>268410.99574074073</v>
      </c>
      <c r="N64" s="33">
        <v>268410.99574074073</v>
      </c>
      <c r="O64" s="15">
        <f>SUM(C64:N64)</f>
        <v>3220931.9488888881</v>
      </c>
    </row>
    <row r="65" spans="1:15" ht="20.25" customHeight="1" thickTop="1" x14ac:dyDescent="0.2">
      <c r="A65" s="3"/>
      <c r="B65" s="71" t="s">
        <v>76</v>
      </c>
      <c r="C65" s="72">
        <f>C49+C64</f>
        <v>306990.81840321718</v>
      </c>
      <c r="D65" s="72">
        <f>D49+D64</f>
        <v>-7742.7572760305484</v>
      </c>
      <c r="E65" s="72">
        <f>E49+E64</f>
        <v>351515.50609294017</v>
      </c>
      <c r="F65" s="72">
        <f t="shared" ref="F65:N65" si="25">F49+F64</f>
        <v>306106.93485782522</v>
      </c>
      <c r="G65" s="72">
        <f t="shared" si="25"/>
        <v>639752.8466150579</v>
      </c>
      <c r="H65" s="72">
        <f t="shared" si="25"/>
        <v>500564.56190759729</v>
      </c>
      <c r="I65" s="72">
        <f t="shared" si="25"/>
        <v>682631.45989901782</v>
      </c>
      <c r="J65" s="72">
        <f t="shared" si="25"/>
        <v>793401.45702559268</v>
      </c>
      <c r="K65" s="72">
        <f t="shared" si="25"/>
        <v>790790.45145080565</v>
      </c>
      <c r="L65" s="72">
        <f t="shared" si="25"/>
        <v>1058975.2361059675</v>
      </c>
      <c r="M65" s="72">
        <f t="shared" si="25"/>
        <v>1291252.1733022123</v>
      </c>
      <c r="N65" s="72">
        <f t="shared" si="25"/>
        <v>1428141.528859219</v>
      </c>
      <c r="O65" s="73">
        <f>SUM(C65:N65)</f>
        <v>8142380.2172434218</v>
      </c>
    </row>
    <row r="66" spans="1:15" ht="20.25" customHeight="1" x14ac:dyDescent="0.2">
      <c r="B66" s="74" t="s">
        <v>77</v>
      </c>
      <c r="C66" s="75">
        <f>C60+C64</f>
        <v>10532.370653217193</v>
      </c>
      <c r="D66" s="75">
        <f>D60+D64</f>
        <v>-320277.29982123879</v>
      </c>
      <c r="E66" s="75">
        <f>E60+E64</f>
        <v>28381.993649551412</v>
      </c>
      <c r="F66" s="75">
        <f t="shared" ref="F66:N66" si="26">F60+F64</f>
        <v>11299.869825183356</v>
      </c>
      <c r="G66" s="75">
        <f t="shared" si="26"/>
        <v>327031.80861139228</v>
      </c>
      <c r="H66" s="75">
        <f t="shared" si="26"/>
        <v>177116.92275724368</v>
      </c>
      <c r="I66" s="75">
        <f t="shared" si="26"/>
        <v>385748.95352862042</v>
      </c>
      <c r="J66" s="75">
        <f t="shared" si="26"/>
        <v>474418.10935970128</v>
      </c>
      <c r="K66" s="75">
        <f t="shared" si="26"/>
        <v>474990.86030686321</v>
      </c>
      <c r="L66" s="75">
        <f t="shared" si="26"/>
        <v>762106.48108868545</v>
      </c>
      <c r="M66" s="75">
        <f t="shared" si="26"/>
        <v>982232.17569732945</v>
      </c>
      <c r="N66" s="75">
        <f t="shared" si="26"/>
        <v>1132479.071526641</v>
      </c>
      <c r="O66" s="55">
        <f t="shared" si="16"/>
        <v>4446061.31718319</v>
      </c>
    </row>
    <row r="67" spans="1:15" ht="20.25" hidden="1" customHeight="1" x14ac:dyDescent="0.2">
      <c r="A67" s="3"/>
      <c r="B67" s="76" t="s">
        <v>78</v>
      </c>
      <c r="C67" s="77">
        <f>C65/C15</f>
        <v>3.5604921411688938E-2</v>
      </c>
      <c r="D67" s="77">
        <f>D65/D15</f>
        <v>-1.0555793030993814E-3</v>
      </c>
      <c r="E67" s="77">
        <f>E65/E15</f>
        <v>4.0108812516036346E-2</v>
      </c>
      <c r="F67" s="77">
        <f t="shared" ref="F67:O67" si="27">F65/F15</f>
        <v>3.5987425332605599E-2</v>
      </c>
      <c r="G67" s="77">
        <f t="shared" si="27"/>
        <v>6.2677455992773218E-2</v>
      </c>
      <c r="H67" s="77">
        <f t="shared" si="27"/>
        <v>5.1501995158712156E-2</v>
      </c>
      <c r="I67" s="77">
        <f t="shared" si="27"/>
        <v>6.4737037501246972E-2</v>
      </c>
      <c r="J67" s="77">
        <f t="shared" si="27"/>
        <v>6.9849767976227536E-2</v>
      </c>
      <c r="K67" s="77">
        <f t="shared" si="27"/>
        <v>6.99770715362283E-2</v>
      </c>
      <c r="L67" s="77">
        <f t="shared" si="27"/>
        <v>8.5862573864359096E-2</v>
      </c>
      <c r="M67" s="77">
        <f t="shared" si="27"/>
        <v>9.5148563203839631E-2</v>
      </c>
      <c r="N67" s="77">
        <f t="shared" si="27"/>
        <v>0.10352227032631271</v>
      </c>
      <c r="O67" s="78">
        <f t="shared" si="27"/>
        <v>6.4592611476809544E-2</v>
      </c>
    </row>
    <row r="68" spans="1:15" ht="20.25" hidden="1" customHeight="1" x14ac:dyDescent="0.2">
      <c r="B68" s="76" t="s">
        <v>79</v>
      </c>
      <c r="C68" s="77">
        <f>C66/C15</f>
        <v>1.22154868128345E-3</v>
      </c>
      <c r="D68" s="77">
        <f>D66/D15</f>
        <v>-4.3663784991743421E-2</v>
      </c>
      <c r="E68" s="77">
        <f>E66/E15</f>
        <v>3.2384575997060254E-3</v>
      </c>
      <c r="F68" s="77">
        <f t="shared" ref="F68:O68" si="28">F66/F15</f>
        <v>1.3284678499388579E-3</v>
      </c>
      <c r="G68" s="77">
        <f t="shared" si="28"/>
        <v>3.2039750820852579E-2</v>
      </c>
      <c r="H68" s="77">
        <f t="shared" si="28"/>
        <v>1.8223173577464377E-2</v>
      </c>
      <c r="I68" s="77">
        <f t="shared" si="28"/>
        <v>3.6582322874986216E-2</v>
      </c>
      <c r="J68" s="77">
        <f t="shared" si="28"/>
        <v>4.1766995219201811E-2</v>
      </c>
      <c r="K68" s="77">
        <f t="shared" si="28"/>
        <v>4.2031955936958756E-2</v>
      </c>
      <c r="L68" s="77">
        <f t="shared" si="28"/>
        <v>6.1792213636274379E-2</v>
      </c>
      <c r="M68" s="77">
        <f t="shared" si="28"/>
        <v>7.2377791249849693E-2</v>
      </c>
      <c r="N68" s="77">
        <f t="shared" si="28"/>
        <v>8.2090466674629797E-2</v>
      </c>
      <c r="O68" s="79">
        <f t="shared" si="28"/>
        <v>3.5270118024543773E-2</v>
      </c>
    </row>
    <row r="69" spans="1:15" ht="20.25" hidden="1" customHeight="1" x14ac:dyDescent="0.2">
      <c r="A69" s="3"/>
      <c r="B69" s="80" t="s">
        <v>80</v>
      </c>
      <c r="C69" s="81">
        <f>C49/C15</f>
        <v>4.4745037037888643E-3</v>
      </c>
      <c r="D69" s="81">
        <f>D49/D15</f>
        <v>-3.7648369407127465E-2</v>
      </c>
      <c r="E69" s="81">
        <f>E49/E15</f>
        <v>9.4824358162796645E-3</v>
      </c>
      <c r="F69" s="81">
        <f t="shared" ref="F69:O69" si="29">F49/F15</f>
        <v>4.4317185918986233E-3</v>
      </c>
      <c r="G69" s="81">
        <f t="shared" si="29"/>
        <v>3.6380865891565924E-2</v>
      </c>
      <c r="H69" s="81">
        <f t="shared" si="29"/>
        <v>2.388577368569355E-2</v>
      </c>
      <c r="I69" s="81">
        <f t="shared" si="29"/>
        <v>3.9282405364038056E-2</v>
      </c>
      <c r="J69" s="81">
        <f t="shared" si="29"/>
        <v>4.6219302454969774E-2</v>
      </c>
      <c r="K69" s="81">
        <f t="shared" si="29"/>
        <v>4.62253742116071E-2</v>
      </c>
      <c r="L69" s="81">
        <f t="shared" si="29"/>
        <v>6.4099591915374829E-2</v>
      </c>
      <c r="M69" s="81">
        <f t="shared" si="29"/>
        <v>7.5370148792709632E-2</v>
      </c>
      <c r="N69" s="81">
        <f t="shared" si="29"/>
        <v>8.4065854349232874E-2</v>
      </c>
      <c r="O69" s="82">
        <f t="shared" si="29"/>
        <v>3.9041310700258826E-2</v>
      </c>
    </row>
    <row r="71" spans="1:15" ht="20.25" customHeight="1" x14ac:dyDescent="0.2">
      <c r="B71" s="19" t="s">
        <v>111</v>
      </c>
      <c r="C71" s="20">
        <v>-130047.59</v>
      </c>
      <c r="D71" s="20">
        <v>-145606.80999999997</v>
      </c>
      <c r="E71" s="20">
        <v>-155685.89000000001</v>
      </c>
      <c r="F71" s="20">
        <v>-126836.52</v>
      </c>
      <c r="G71" s="20">
        <v>-144224.52000000002</v>
      </c>
      <c r="H71" s="20">
        <v>-154422.07999999999</v>
      </c>
      <c r="I71" s="20">
        <v>-127324.82</v>
      </c>
      <c r="J71" s="20">
        <v>-148890.43</v>
      </c>
      <c r="K71" s="20">
        <v>-145168.32000000001</v>
      </c>
      <c r="L71" s="20">
        <v>-125695.98999999999</v>
      </c>
      <c r="M71" s="20">
        <v>-137302.58000000002</v>
      </c>
      <c r="N71" s="20">
        <v>-123397.21</v>
      </c>
      <c r="O71" s="22">
        <f>SUM(C71:N71)</f>
        <v>-1664602.76</v>
      </c>
    </row>
    <row r="72" spans="1:15" ht="20.25" customHeight="1" x14ac:dyDescent="0.2">
      <c r="B72" s="19" t="s">
        <v>112</v>
      </c>
      <c r="C72" s="20">
        <f>-48000</f>
        <v>-48000</v>
      </c>
      <c r="D72" s="20">
        <f t="shared" ref="D72:N72" si="30">-48000</f>
        <v>-48000</v>
      </c>
      <c r="E72" s="20">
        <f t="shared" si="30"/>
        <v>-48000</v>
      </c>
      <c r="F72" s="20">
        <f t="shared" si="30"/>
        <v>-48000</v>
      </c>
      <c r="G72" s="20">
        <f t="shared" si="30"/>
        <v>-48000</v>
      </c>
      <c r="H72" s="20">
        <f t="shared" si="30"/>
        <v>-48000</v>
      </c>
      <c r="I72" s="20">
        <f t="shared" si="30"/>
        <v>-48000</v>
      </c>
      <c r="J72" s="20">
        <f t="shared" si="30"/>
        <v>-48000</v>
      </c>
      <c r="K72" s="20">
        <f t="shared" si="30"/>
        <v>-48000</v>
      </c>
      <c r="L72" s="20">
        <f t="shared" si="30"/>
        <v>-48000</v>
      </c>
      <c r="M72" s="20">
        <f t="shared" si="30"/>
        <v>-48000</v>
      </c>
      <c r="N72" s="20">
        <f t="shared" si="30"/>
        <v>-48000</v>
      </c>
      <c r="O72" s="22">
        <f>SUM(C72:N72)</f>
        <v>-576000</v>
      </c>
    </row>
    <row r="73" spans="1:15" ht="20.25" customHeight="1" x14ac:dyDescent="0.2">
      <c r="B73" s="19" t="s">
        <v>111</v>
      </c>
      <c r="C73" s="20">
        <f>C72+C71</f>
        <v>-178047.59</v>
      </c>
      <c r="D73" s="20">
        <f t="shared" ref="D73:N73" si="31">D72+D71</f>
        <v>-193606.80999999997</v>
      </c>
      <c r="E73" s="20">
        <f t="shared" si="31"/>
        <v>-203685.89</v>
      </c>
      <c r="F73" s="20">
        <f t="shared" si="31"/>
        <v>-174836.52000000002</v>
      </c>
      <c r="G73" s="20">
        <f t="shared" si="31"/>
        <v>-192224.52000000002</v>
      </c>
      <c r="H73" s="20">
        <f t="shared" si="31"/>
        <v>-202422.08</v>
      </c>
      <c r="I73" s="20">
        <f t="shared" si="31"/>
        <v>-175324.82</v>
      </c>
      <c r="J73" s="20">
        <f t="shared" si="31"/>
        <v>-196890.43</v>
      </c>
      <c r="K73" s="20">
        <f t="shared" si="31"/>
        <v>-193168.32</v>
      </c>
      <c r="L73" s="20">
        <f t="shared" si="31"/>
        <v>-173695.99</v>
      </c>
      <c r="M73" s="20">
        <f t="shared" si="31"/>
        <v>-185302.58000000002</v>
      </c>
      <c r="N73" s="20">
        <f t="shared" si="31"/>
        <v>-171397.21000000002</v>
      </c>
      <c r="O73" s="22">
        <f>SUM(C73:N73)</f>
        <v>-2240602.7600000002</v>
      </c>
    </row>
  </sheetData>
  <printOptions horizontalCentered="1" verticalCentered="1"/>
  <pageMargins left="0" right="0" top="0.39370078740157483" bottom="0" header="0.23622047244094491" footer="0.15748031496062992"/>
  <pageSetup paperSize="9" scale="60" fitToWidth="0" orientation="portrait" r:id="rId1"/>
  <headerFooter alignWithMargins="0">
    <oddHeader>&amp;C&amp;"Verdana,Negrito"&amp;14DRE - H2017 em R$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outlinePr summaryBelow="0"/>
  </sheetPr>
  <dimension ref="A1:O70"/>
  <sheetViews>
    <sheetView showGridLines="0" topLeftCell="B1" zoomScaleNormal="100" zoomScaleSheetLayoutView="75" workbookViewId="0">
      <pane xSplit="1" ySplit="1" topLeftCell="C42" activePane="bottomRight" state="frozen"/>
      <selection activeCell="K64" sqref="K64"/>
      <selection pane="topRight" activeCell="K64" sqref="K64"/>
      <selection pane="bottomLeft" activeCell="K64" sqref="K64"/>
      <selection pane="bottomRight" activeCell="L36" sqref="L36"/>
    </sheetView>
  </sheetViews>
  <sheetFormatPr defaultRowHeight="12.75" outlineLevelRow="1" x14ac:dyDescent="0.2"/>
  <cols>
    <col min="1" max="1" width="1.85546875" style="7" hidden="1" customWidth="1"/>
    <col min="2" max="2" width="46.85546875" style="83" customWidth="1"/>
    <col min="3" max="3" width="7.85546875" style="243" bestFit="1" customWidth="1"/>
    <col min="4" max="14" width="7.85546875" style="7" bestFit="1" customWidth="1"/>
    <col min="15" max="15" width="8.5703125" style="7" bestFit="1" customWidth="1"/>
    <col min="16" max="16384" width="9.140625" style="7"/>
  </cols>
  <sheetData>
    <row r="1" spans="1:15" ht="21.75" thickBot="1" x14ac:dyDescent="0.4">
      <c r="A1" s="3"/>
      <c r="B1" s="4" t="s">
        <v>81</v>
      </c>
      <c r="C1" s="5">
        <v>43101</v>
      </c>
      <c r="D1" s="5">
        <v>43132</v>
      </c>
      <c r="E1" s="5">
        <v>43160</v>
      </c>
      <c r="F1" s="5">
        <v>43191</v>
      </c>
      <c r="G1" s="5">
        <v>43221</v>
      </c>
      <c r="H1" s="5">
        <v>43252</v>
      </c>
      <c r="I1" s="5">
        <v>43282</v>
      </c>
      <c r="J1" s="5">
        <v>43313</v>
      </c>
      <c r="K1" s="5">
        <v>43344</v>
      </c>
      <c r="L1" s="5">
        <v>43374</v>
      </c>
      <c r="M1" s="5">
        <v>43405</v>
      </c>
      <c r="N1" s="5">
        <v>43435</v>
      </c>
      <c r="O1" s="6">
        <v>2018</v>
      </c>
    </row>
    <row r="2" spans="1:15" ht="14.25" thickTop="1" thickBot="1" x14ac:dyDescent="0.25">
      <c r="A2" s="3"/>
      <c r="B2" s="44" t="s">
        <v>16</v>
      </c>
      <c r="C2" s="14">
        <f>'DRE-H-Contábil-R$'!C2/1000</f>
        <v>11598.671124686893</v>
      </c>
      <c r="D2" s="14">
        <f>'DRE-H-Contábil-R$'!D2/1000</f>
        <v>9866.0356874336849</v>
      </c>
      <c r="E2" s="14">
        <f>'DRE-H-Contábil-R$'!E2/1000</f>
        <v>11767.070117725287</v>
      </c>
      <c r="F2" s="14">
        <f>'DRE-H-Contábil-R$'!F2/1000</f>
        <v>11418.112897635387</v>
      </c>
      <c r="G2" s="14">
        <f>'DRE-H-Contábil-R$'!G2/1000</f>
        <v>13679.263359713987</v>
      </c>
      <c r="H2" s="14">
        <f>'DRE-H-Contábil-R$'!H2/1000</f>
        <v>13029.526772115827</v>
      </c>
      <c r="I2" s="14">
        <f>'DRE-H-Contábil-R$'!I2/1000</f>
        <v>14135.567527906098</v>
      </c>
      <c r="J2" s="14">
        <f>'DRE-H-Contábil-R$'!J2/1000</f>
        <v>15227.96165286553</v>
      </c>
      <c r="K2" s="14">
        <f>'DRE-H-Contábil-R$'!K2/1000</f>
        <v>15151.620410653843</v>
      </c>
      <c r="L2" s="14">
        <f>'DRE-H-Contábil-R$'!L2/1000</f>
        <v>16535.89273972495</v>
      </c>
      <c r="M2" s="14">
        <f>'DRE-H-Contábil-R$'!M2/1000</f>
        <v>18193.525085289541</v>
      </c>
      <c r="N2" s="188">
        <f>'DRE-H-Contábil-R$'!N2/1000</f>
        <v>18506.603235856819</v>
      </c>
      <c r="O2" s="189">
        <f t="shared" ref="O2:O36" si="0">SUM(C2:N2)</f>
        <v>169109.85061160784</v>
      </c>
    </row>
    <row r="3" spans="1:15" ht="14.25" thickTop="1" thickBot="1" x14ac:dyDescent="0.25">
      <c r="A3" s="3"/>
      <c r="B3" s="23" t="s">
        <v>17</v>
      </c>
      <c r="C3" s="18">
        <f t="shared" ref="C3:N3" si="1">SUM(C4:C5)</f>
        <v>-879.11111628873311</v>
      </c>
      <c r="D3" s="18">
        <f t="shared" si="1"/>
        <v>-747.78753128569656</v>
      </c>
      <c r="E3" s="18">
        <f t="shared" si="1"/>
        <v>-891.87477043155855</v>
      </c>
      <c r="F3" s="18">
        <f t="shared" si="1"/>
        <v>-865.4258636566002</v>
      </c>
      <c r="G3" s="18">
        <f t="shared" si="1"/>
        <v>-1036.8077819337566</v>
      </c>
      <c r="H3" s="18">
        <f t="shared" si="1"/>
        <v>-987.56156651160234</v>
      </c>
      <c r="I3" s="18">
        <f t="shared" si="1"/>
        <v>-1071.3929565933579</v>
      </c>
      <c r="J3" s="18">
        <f t="shared" si="1"/>
        <v>-1154.1900122471161</v>
      </c>
      <c r="K3" s="18">
        <f t="shared" si="1"/>
        <v>-1148.4037946763167</v>
      </c>
      <c r="L3" s="18">
        <f t="shared" si="1"/>
        <v>-1253.3235030959447</v>
      </c>
      <c r="M3" s="18">
        <f t="shared" si="1"/>
        <v>-1378.962294474723</v>
      </c>
      <c r="N3" s="18">
        <f t="shared" si="1"/>
        <v>-1402.6917786089018</v>
      </c>
      <c r="O3" s="189">
        <f t="shared" si="0"/>
        <v>-12817.532969804306</v>
      </c>
    </row>
    <row r="4" spans="1:15" ht="13.5" outlineLevel="1" thickTop="1" x14ac:dyDescent="0.2">
      <c r="A4" s="3"/>
      <c r="B4" s="66" t="s">
        <v>18</v>
      </c>
      <c r="C4" s="20">
        <f>'DRE-H-Contábil-R$'!C4/1000</f>
        <v>-92.831389672728065</v>
      </c>
      <c r="D4" s="20">
        <f>'DRE-H-Contábil-R$'!D4/1000</f>
        <v>-78.964029032241569</v>
      </c>
      <c r="E4" s="20">
        <f>'DRE-H-Contábil-R$'!E4/1000</f>
        <v>-94.179191707563675</v>
      </c>
      <c r="F4" s="20">
        <f>'DRE-H-Contábil-R$'!F4/1000</f>
        <v>-91.386269714256287</v>
      </c>
      <c r="G4" s="20">
        <f>'DRE-H-Contábil-R$'!G4/1000</f>
        <v>-109.48366530357679</v>
      </c>
      <c r="H4" s="20">
        <f>'DRE-H-Contábil-R$'!H4/1000</f>
        <v>-104.28341868053258</v>
      </c>
      <c r="I4" s="20">
        <f>'DRE-H-Contábil-R$'!I4/1000</f>
        <v>-113.13575178756832</v>
      </c>
      <c r="J4" s="20">
        <f>'DRE-H-Contábil-R$'!J4/1000</f>
        <v>-121.87886240775546</v>
      </c>
      <c r="K4" s="20">
        <f>'DRE-H-Contábil-R$'!K4/1000</f>
        <v>-121.26785589436537</v>
      </c>
      <c r="L4" s="20">
        <f>'DRE-H-Contábil-R$'!L4/1000</f>
        <v>-132.34704958920716</v>
      </c>
      <c r="M4" s="20">
        <f>'DRE-H-Contábil-R$'!M4/1000</f>
        <v>-145.61411376845629</v>
      </c>
      <c r="N4" s="20">
        <f>'DRE-H-Contábil-R$'!N4/1000</f>
        <v>-148.11987321976696</v>
      </c>
      <c r="O4" s="190">
        <f t="shared" si="0"/>
        <v>-1353.4914707780188</v>
      </c>
    </row>
    <row r="5" spans="1:15" ht="13.5" outlineLevel="1" thickBot="1" x14ac:dyDescent="0.25">
      <c r="A5" s="3"/>
      <c r="B5" s="66" t="s">
        <v>19</v>
      </c>
      <c r="C5" s="20">
        <f>'DRE-H-Contábil-R$'!C5/1000</f>
        <v>-786.27972661600506</v>
      </c>
      <c r="D5" s="20">
        <f>'DRE-H-Contábil-R$'!D5/1000</f>
        <v>-668.82350225345499</v>
      </c>
      <c r="E5" s="20">
        <f>'DRE-H-Contábil-R$'!E5/1000</f>
        <v>-797.69557872399491</v>
      </c>
      <c r="F5" s="20">
        <f>'DRE-H-Contábil-R$'!F5/1000</f>
        <v>-774.03959394234391</v>
      </c>
      <c r="G5" s="20">
        <f>'DRE-H-Contábil-R$'!G5/1000</f>
        <v>-927.32411663017979</v>
      </c>
      <c r="H5" s="20">
        <f>'DRE-H-Contábil-R$'!H5/1000</f>
        <v>-883.27814783106976</v>
      </c>
      <c r="I5" s="20">
        <f>'DRE-H-Contábil-R$'!I5/1000</f>
        <v>-958.25720480578957</v>
      </c>
      <c r="J5" s="20">
        <f>'DRE-H-Contábil-R$'!J5/1000</f>
        <v>-1032.3111498393607</v>
      </c>
      <c r="K5" s="20">
        <f>'DRE-H-Contábil-R$'!K5/1000</f>
        <v>-1027.1359387819514</v>
      </c>
      <c r="L5" s="20">
        <f>'DRE-H-Contábil-R$'!L5/1000</f>
        <v>-1120.9764535067375</v>
      </c>
      <c r="M5" s="20">
        <f>'DRE-H-Contábil-R$'!M5/1000</f>
        <v>-1233.3481807062667</v>
      </c>
      <c r="N5" s="20">
        <f>'DRE-H-Contábil-R$'!N5/1000</f>
        <v>-1254.5719053891348</v>
      </c>
      <c r="O5" s="191">
        <f t="shared" si="0"/>
        <v>-11464.041499026291</v>
      </c>
    </row>
    <row r="6" spans="1:15" ht="14.25" thickTop="1" thickBot="1" x14ac:dyDescent="0.25">
      <c r="A6" s="3"/>
      <c r="B6" s="44" t="s">
        <v>20</v>
      </c>
      <c r="C6" s="192">
        <f>C2+C3</f>
        <v>10719.560008398159</v>
      </c>
      <c r="D6" s="14">
        <f t="shared" ref="D6:N6" si="2">D2+D3</f>
        <v>9118.248156147989</v>
      </c>
      <c r="E6" s="14">
        <f t="shared" si="2"/>
        <v>10875.195347293728</v>
      </c>
      <c r="F6" s="14">
        <f t="shared" si="2"/>
        <v>10552.687033978786</v>
      </c>
      <c r="G6" s="14">
        <f t="shared" si="2"/>
        <v>12642.455577780231</v>
      </c>
      <c r="H6" s="14">
        <f t="shared" si="2"/>
        <v>12041.965205604225</v>
      </c>
      <c r="I6" s="14">
        <f t="shared" si="2"/>
        <v>13064.17457131274</v>
      </c>
      <c r="J6" s="14">
        <f t="shared" si="2"/>
        <v>14073.771640618414</v>
      </c>
      <c r="K6" s="14">
        <f t="shared" si="2"/>
        <v>14003.216615977526</v>
      </c>
      <c r="L6" s="14">
        <f t="shared" si="2"/>
        <v>15282.569236629006</v>
      </c>
      <c r="M6" s="14">
        <f t="shared" si="2"/>
        <v>16814.562790814816</v>
      </c>
      <c r="N6" s="188">
        <f t="shared" si="2"/>
        <v>17103.911457247916</v>
      </c>
      <c r="O6" s="189">
        <f t="shared" si="0"/>
        <v>156292.31764180353</v>
      </c>
    </row>
    <row r="7" spans="1:15" ht="14.25" thickTop="1" thickBot="1" x14ac:dyDescent="0.25">
      <c r="A7" s="3"/>
      <c r="B7" s="23" t="s">
        <v>21</v>
      </c>
      <c r="C7" s="18">
        <f>SUM(C8:C14)</f>
        <v>-2097.4143546112837</v>
      </c>
      <c r="D7" s="18">
        <f t="shared" ref="D7:N7" si="3">SUM(D8:D14)</f>
        <v>-1783.1694431641859</v>
      </c>
      <c r="E7" s="18">
        <f t="shared" si="3"/>
        <v>-2111.1486442805949</v>
      </c>
      <c r="F7" s="18">
        <f t="shared" si="3"/>
        <v>-2046.7455272246509</v>
      </c>
      <c r="G7" s="18">
        <f t="shared" si="3"/>
        <v>-2435.3909086458925</v>
      </c>
      <c r="H7" s="18">
        <f t="shared" si="3"/>
        <v>-2322.6415101818889</v>
      </c>
      <c r="I7" s="18">
        <f t="shared" si="3"/>
        <v>-2519.492790255505</v>
      </c>
      <c r="J7" s="18">
        <f t="shared" si="3"/>
        <v>-2715.0874242926484</v>
      </c>
      <c r="K7" s="18">
        <f t="shared" si="3"/>
        <v>-2702.5086256267118</v>
      </c>
      <c r="L7" s="18">
        <f t="shared" si="3"/>
        <v>-2949.1952362306738</v>
      </c>
      <c r="M7" s="18">
        <f t="shared" si="3"/>
        <v>-3243.6571478580895</v>
      </c>
      <c r="N7" s="18">
        <f t="shared" si="3"/>
        <v>-3308.4109880486644</v>
      </c>
      <c r="O7" s="189">
        <f t="shared" si="0"/>
        <v>-30234.862600420791</v>
      </c>
    </row>
    <row r="8" spans="1:15" ht="13.5" outlineLevel="1" thickTop="1" x14ac:dyDescent="0.2">
      <c r="A8" s="3"/>
      <c r="B8" s="66" t="s">
        <v>22</v>
      </c>
      <c r="C8" s="20">
        <f>'DRE-H-Contábil-R$'!C8/1000</f>
        <v>-1409.7208143941546</v>
      </c>
      <c r="D8" s="20">
        <f>'DRE-H-Contábil-R$'!D8/1000</f>
        <v>-1199.2853695728518</v>
      </c>
      <c r="E8" s="20">
        <f>'DRE-H-Contábil-R$'!E8/1000</f>
        <v>-1432.9216359426473</v>
      </c>
      <c r="F8" s="20">
        <f>'DRE-H-Contábil-R$'!F8/1000</f>
        <v>-1390.7214363543014</v>
      </c>
      <c r="G8" s="20">
        <f>'DRE-H-Contábil-R$'!G8/1000</f>
        <v>-1668.8550734034645</v>
      </c>
      <c r="H8" s="20">
        <f>'DRE-H-Contábil-R$'!H8/1000</f>
        <v>-1589.1094242015517</v>
      </c>
      <c r="I8" s="20">
        <f>'DRE-H-Contábil-R$'!I8/1000</f>
        <v>-1724.0554712028584</v>
      </c>
      <c r="J8" s="20">
        <f>'DRE-H-Contábil-R$'!J8/1000</f>
        <v>-1857.144869369263</v>
      </c>
      <c r="K8" s="20">
        <f>'DRE-H-Contábil-R$'!K8/1000</f>
        <v>-1847.6657564223581</v>
      </c>
      <c r="L8" s="20">
        <f>'DRE-H-Contábil-R$'!L8/1000</f>
        <v>-2016.5066490651268</v>
      </c>
      <c r="M8" s="20">
        <f>'DRE-H-Contábil-R$'!M8/1000</f>
        <v>-2218.8430726234251</v>
      </c>
      <c r="N8" s="193">
        <f>'DRE-H-Contábil-R$'!N8/1000</f>
        <v>-2255.5643267140786</v>
      </c>
      <c r="O8" s="191">
        <f t="shared" si="0"/>
        <v>-20610.393899266084</v>
      </c>
    </row>
    <row r="9" spans="1:15" outlineLevel="1" x14ac:dyDescent="0.2">
      <c r="A9" s="3"/>
      <c r="B9" s="66" t="s">
        <v>23</v>
      </c>
      <c r="C9" s="20">
        <f>'DRE-H-Contábil-R$'!C9/1000</f>
        <v>390.5831981165457</v>
      </c>
      <c r="D9" s="20">
        <f>'DRE-H-Contábil-R$'!D9/1000</f>
        <v>332.27906569816622</v>
      </c>
      <c r="E9" s="20">
        <f>'DRE-H-Contábil-R$'!E9/1000</f>
        <v>397.01131564649489</v>
      </c>
      <c r="F9" s="20">
        <f>'DRE-H-Contábil-R$'!F9/1000</f>
        <v>385.31915025596237</v>
      </c>
      <c r="G9" s="20">
        <f>'DRE-H-Contábil-R$'!G9/1000</f>
        <v>462.38002951178561</v>
      </c>
      <c r="H9" s="20">
        <f>'DRE-H-Contábil-R$'!H9/1000</f>
        <v>440.28536340263173</v>
      </c>
      <c r="I9" s="20">
        <f>'DRE-H-Contábil-R$'!I9/1000</f>
        <v>477.67408468189274</v>
      </c>
      <c r="J9" s="20">
        <f>'DRE-H-Contábil-R$'!J9/1000</f>
        <v>514.54839499955722</v>
      </c>
      <c r="K9" s="20">
        <f>'DRE-H-Contábil-R$'!K9/1000</f>
        <v>511.92207196289183</v>
      </c>
      <c r="L9" s="20">
        <f>'DRE-H-Contábil-R$'!L9/1000</f>
        <v>558.70184221804448</v>
      </c>
      <c r="M9" s="20">
        <f>'DRE-H-Contábil-R$'!M9/1000</f>
        <v>614.76202562593971</v>
      </c>
      <c r="N9" s="193">
        <f>'DRE-H-Contábil-R$'!N9/1000</f>
        <v>624.93617125472622</v>
      </c>
      <c r="O9" s="191">
        <f>SUM(C9:N9)</f>
        <v>5710.4027133746395</v>
      </c>
    </row>
    <row r="10" spans="1:15" outlineLevel="1" x14ac:dyDescent="0.2">
      <c r="A10" s="3"/>
      <c r="B10" s="66" t="s">
        <v>24</v>
      </c>
      <c r="C10" s="20">
        <f>'DRE-H-Contábil-R$'!C10/1000</f>
        <v>-164.68298198732936</v>
      </c>
      <c r="D10" s="20">
        <f>'DRE-H-Contábil-R$'!D10/1000</f>
        <v>-140.10000341799062</v>
      </c>
      <c r="E10" s="20">
        <f>'DRE-H-Contábil-R$'!E10/1000</f>
        <v>-167.39329202755079</v>
      </c>
      <c r="F10" s="20">
        <f>'DRE-H-Contábil-R$'!F10/1000</f>
        <v>-162.46348277900398</v>
      </c>
      <c r="G10" s="20">
        <f>'DRE-H-Contábil-R$'!G10/1000</f>
        <v>-194.95493518046587</v>
      </c>
      <c r="H10" s="20">
        <f>'DRE-H-Contábil-R$'!H10/1000</f>
        <v>-185.63908258256657</v>
      </c>
      <c r="I10" s="20">
        <f>'DRE-H-Contábil-R$'!I10/1000</f>
        <v>-201.40342201819314</v>
      </c>
      <c r="J10" s="20">
        <f>'DRE-H-Contábil-R$'!J10/1000</f>
        <v>-216.95086853182215</v>
      </c>
      <c r="K10" s="20">
        <f>'DRE-H-Contábil-R$'!K10/1000</f>
        <v>-215.84352261570052</v>
      </c>
      <c r="L10" s="20">
        <f>'DRE-H-Contábil-R$'!L10/1000</f>
        <v>-235.5674434076081</v>
      </c>
      <c r="M10" s="20">
        <f>'DRE-H-Contábil-R$'!M10/1000</f>
        <v>-259.2042977804735</v>
      </c>
      <c r="N10" s="193">
        <f>'DRE-H-Contábil-R$'!N10/1000</f>
        <v>-263.49405896170578</v>
      </c>
      <c r="O10" s="191">
        <f t="shared" si="0"/>
        <v>-2407.6973912904105</v>
      </c>
    </row>
    <row r="11" spans="1:15" outlineLevel="1" x14ac:dyDescent="0.2">
      <c r="A11" s="3"/>
      <c r="B11" s="66" t="s">
        <v>25</v>
      </c>
      <c r="C11" s="20">
        <f>'DRE-H-Contábil-R$'!C11/1000</f>
        <v>-759.61103209862392</v>
      </c>
      <c r="D11" s="20">
        <f>'DRE-H-Contábil-R$'!D11/1000</f>
        <v>-646.22043461387295</v>
      </c>
      <c r="E11" s="20">
        <f>'DRE-H-Contábil-R$'!E11/1000</f>
        <v>-772.11251453545674</v>
      </c>
      <c r="F11" s="20">
        <f>'DRE-H-Contábil-R$'!F11/1000</f>
        <v>-749.37344674503925</v>
      </c>
      <c r="G11" s="20">
        <f>'DRE-H-Contábil-R$'!G11/1000</f>
        <v>-899.24239735073525</v>
      </c>
      <c r="H11" s="20">
        <f>'DRE-H-Contábil-R$'!H11/1000</f>
        <v>-856.27241756670776</v>
      </c>
      <c r="I11" s="20">
        <f>'DRE-H-Contábil-R$'!I11/1000</f>
        <v>-928.98646491114243</v>
      </c>
      <c r="J11" s="20">
        <f>'DRE-H-Contábil-R$'!J11/1000</f>
        <v>-1000.7000794582998</v>
      </c>
      <c r="K11" s="20">
        <f>'DRE-H-Contábil-R$'!K11/1000</f>
        <v>-995.59237394990669</v>
      </c>
      <c r="L11" s="20">
        <f>'DRE-H-Contábil-R$'!L11/1000</f>
        <v>-1086.5702494350928</v>
      </c>
      <c r="M11" s="20">
        <f>'DRE-H-Contábil-R$'!M11/1000</f>
        <v>-1195.5967871444877</v>
      </c>
      <c r="N11" s="193">
        <f>'DRE-H-Contábil-R$'!N11/1000</f>
        <v>-1215.3835913364544</v>
      </c>
      <c r="O11" s="191">
        <f t="shared" si="0"/>
        <v>-11105.661789145821</v>
      </c>
    </row>
    <row r="12" spans="1:15" outlineLevel="1" x14ac:dyDescent="0.2">
      <c r="A12" s="3"/>
      <c r="B12" s="66" t="s">
        <v>26</v>
      </c>
      <c r="C12" s="20">
        <f>'DRE-H-Contábil-R$'!C12/1000</f>
        <v>-23.788324875539487</v>
      </c>
      <c r="D12" s="20">
        <f>'DRE-H-Contábil-R$'!D12/1000</f>
        <v>-19.083012691581448</v>
      </c>
      <c r="E12" s="20">
        <f>'DRE-H-Contábil-R$'!E12/1000</f>
        <v>-20.923505611962987</v>
      </c>
      <c r="F12" s="20">
        <f>'DRE-H-Contábil-R$'!F12/1000</f>
        <v>-18.07847786378953</v>
      </c>
      <c r="G12" s="20">
        <f>'DRE-H-Contábil-R$'!G12/1000</f>
        <v>-24.482233796361378</v>
      </c>
      <c r="H12" s="20">
        <f>'DRE-H-Contábil-R$'!H12/1000</f>
        <v>-26.937253323133671</v>
      </c>
      <c r="I12" s="20">
        <f>'DRE-H-Contábil-R$'!I12/1000</f>
        <v>-28.838953569785431</v>
      </c>
      <c r="J12" s="20">
        <f>'DRE-H-Contábil-R$'!J12/1000</f>
        <v>-32.166212396501955</v>
      </c>
      <c r="K12" s="20">
        <f>'DRE-H-Contábil-R$'!K12/1000</f>
        <v>-33.281398305849379</v>
      </c>
      <c r="L12" s="20">
        <f>'DRE-H-Contábil-R$'!L12/1000</f>
        <v>-36.052297336588367</v>
      </c>
      <c r="M12" s="20">
        <f>'DRE-H-Contábil-R$'!M12/1000</f>
        <v>-38.209234991709678</v>
      </c>
      <c r="N12" s="193">
        <f>'DRE-H-Contábil-R$'!N12/1000</f>
        <v>-49.913777223800182</v>
      </c>
      <c r="O12" s="191">
        <f>SUM(C12:N12)</f>
        <v>-351.75468198660343</v>
      </c>
    </row>
    <row r="13" spans="1:15" outlineLevel="1" x14ac:dyDescent="0.2">
      <c r="A13" s="3"/>
      <c r="B13" s="66" t="s">
        <v>27</v>
      </c>
      <c r="C13" s="20">
        <f>'DRE-H-Contábil-R$'!C13/1000</f>
        <v>-26.728651526739323</v>
      </c>
      <c r="D13" s="20">
        <f>'DRE-H-Contábil-R$'!D13/1000</f>
        <v>-22.738744010249782</v>
      </c>
      <c r="E13" s="20">
        <f>'DRE-H-Contábil-R$'!E13/1000</f>
        <v>-27.168544779340703</v>
      </c>
      <c r="F13" s="20">
        <f>'DRE-H-Contábil-R$'!F13/1000</f>
        <v>-26.368418670937817</v>
      </c>
      <c r="G13" s="20">
        <f>'DRE-H-Contábil-R$'!G13/1000</f>
        <v>-31.641900474316458</v>
      </c>
      <c r="H13" s="20">
        <f>'DRE-H-Contábil-R$'!H13/1000</f>
        <v>-30.129903455809234</v>
      </c>
      <c r="I13" s="20">
        <f>'DRE-H-Contábil-R$'!I13/1000</f>
        <v>-32.688513521277429</v>
      </c>
      <c r="J13" s="20">
        <f>'DRE-H-Contábil-R$'!J13/1000</f>
        <v>-35.211921070609876</v>
      </c>
      <c r="K13" s="20">
        <f>'DRE-H-Contábil-R$'!K13/1000</f>
        <v>-35.032194770087514</v>
      </c>
      <c r="L13" s="20">
        <f>'DRE-H-Contábil-R$'!L13/1000</f>
        <v>-38.233459401234818</v>
      </c>
      <c r="M13" s="20">
        <f>'DRE-H-Contábil-R$'!M13/1000</f>
        <v>-42.069807493165854</v>
      </c>
      <c r="N13" s="193">
        <f>'DRE-H-Contábil-R$'!N13/1000</f>
        <v>-42.766051454517687</v>
      </c>
      <c r="O13" s="191">
        <f t="shared" si="0"/>
        <v>-390.77811062828653</v>
      </c>
    </row>
    <row r="14" spans="1:15" ht="13.5" outlineLevel="1" thickBot="1" x14ac:dyDescent="0.25">
      <c r="A14" s="3"/>
      <c r="B14" s="66" t="s">
        <v>28</v>
      </c>
      <c r="C14" s="20">
        <f>'DRE-H-Contábil-R$'!C14/1000</f>
        <v>-103.46574784544256</v>
      </c>
      <c r="D14" s="20">
        <f>'DRE-H-Contábil-R$'!D14/1000</f>
        <v>-88.020944555805613</v>
      </c>
      <c r="E14" s="20">
        <f>'DRE-H-Contábil-R$'!E14/1000</f>
        <v>-87.640467030131305</v>
      </c>
      <c r="F14" s="20">
        <f>'DRE-H-Contábil-R$'!F14/1000</f>
        <v>-85.059415067541352</v>
      </c>
      <c r="G14" s="20">
        <f>'DRE-H-Contábil-R$'!G14/1000</f>
        <v>-78.594397952334418</v>
      </c>
      <c r="H14" s="20">
        <f>'DRE-H-Contábil-R$'!H14/1000</f>
        <v>-74.838792454751982</v>
      </c>
      <c r="I14" s="20">
        <f>'DRE-H-Contábil-R$'!I14/1000</f>
        <v>-81.194049714140732</v>
      </c>
      <c r="J14" s="20">
        <f>'DRE-H-Contábil-R$'!J14/1000</f>
        <v>-87.461868465708392</v>
      </c>
      <c r="K14" s="20">
        <f>'DRE-H-Contábil-R$'!K14/1000</f>
        <v>-87.015451525701266</v>
      </c>
      <c r="L14" s="20">
        <f>'DRE-H-Contábil-R$'!L14/1000</f>
        <v>-94.966979803067147</v>
      </c>
      <c r="M14" s="20">
        <f>'DRE-H-Contábil-R$'!M14/1000</f>
        <v>-104.4959734507668</v>
      </c>
      <c r="N14" s="193">
        <f>'DRE-H-Contábil-R$'!N14/1000</f>
        <v>-106.22535361283425</v>
      </c>
      <c r="O14" s="194">
        <f>SUM(C14:N14)</f>
        <v>-1078.9794414782257</v>
      </c>
    </row>
    <row r="15" spans="1:15" s="31" customFormat="1" ht="14.25" thickTop="1" thickBot="1" x14ac:dyDescent="0.25">
      <c r="A15" s="3"/>
      <c r="B15" s="44" t="s">
        <v>29</v>
      </c>
      <c r="C15" s="30">
        <f t="shared" ref="C15:N15" si="4">C6+C7</f>
        <v>8622.1456537868762</v>
      </c>
      <c r="D15" s="30">
        <f t="shared" si="4"/>
        <v>7335.0787129838027</v>
      </c>
      <c r="E15" s="30">
        <f t="shared" si="4"/>
        <v>8764.0467030131331</v>
      </c>
      <c r="F15" s="30">
        <f t="shared" si="4"/>
        <v>8505.941506754134</v>
      </c>
      <c r="G15" s="30">
        <f t="shared" si="4"/>
        <v>10207.064669134339</v>
      </c>
      <c r="H15" s="30">
        <f t="shared" si="4"/>
        <v>9719.3236954223357</v>
      </c>
      <c r="I15" s="30">
        <f t="shared" si="4"/>
        <v>10544.681781057236</v>
      </c>
      <c r="J15" s="30">
        <f t="shared" si="4"/>
        <v>11358.684216325764</v>
      </c>
      <c r="K15" s="30">
        <f t="shared" si="4"/>
        <v>11300.707990350815</v>
      </c>
      <c r="L15" s="30">
        <f t="shared" si="4"/>
        <v>12333.374000398333</v>
      </c>
      <c r="M15" s="30">
        <f t="shared" si="4"/>
        <v>13570.905642956726</v>
      </c>
      <c r="N15" s="30">
        <f t="shared" si="4"/>
        <v>13795.500469199251</v>
      </c>
      <c r="O15" s="189">
        <f t="shared" si="0"/>
        <v>126057.45504138277</v>
      </c>
    </row>
    <row r="16" spans="1:15" ht="14.25" thickTop="1" thickBot="1" x14ac:dyDescent="0.25">
      <c r="A16" s="3"/>
      <c r="B16" s="195" t="s">
        <v>30</v>
      </c>
      <c r="C16" s="33">
        <f t="shared" ref="C16:N16" si="5">SUM(C17:C20)</f>
        <v>-553.54175097311759</v>
      </c>
      <c r="D16" s="33">
        <f t="shared" si="5"/>
        <v>-470.91205337356001</v>
      </c>
      <c r="E16" s="38">
        <f t="shared" si="5"/>
        <v>-562.65179833344303</v>
      </c>
      <c r="F16" s="33">
        <f t="shared" si="5"/>
        <v>-546.08144473361551</v>
      </c>
      <c r="G16" s="33">
        <f t="shared" si="5"/>
        <v>-655.29355175842466</v>
      </c>
      <c r="H16" s="33">
        <f t="shared" si="5"/>
        <v>-623.98058124611384</v>
      </c>
      <c r="I16" s="33">
        <f t="shared" si="5"/>
        <v>-676.96857034387472</v>
      </c>
      <c r="J16" s="33">
        <f t="shared" si="5"/>
        <v>-729.22752668811427</v>
      </c>
      <c r="K16" s="33">
        <f t="shared" si="5"/>
        <v>-725.50545298052214</v>
      </c>
      <c r="L16" s="33">
        <f t="shared" si="5"/>
        <v>-791.80261082557274</v>
      </c>
      <c r="M16" s="33">
        <f t="shared" si="5"/>
        <v>-871.25214227782214</v>
      </c>
      <c r="N16" s="196">
        <f t="shared" si="5"/>
        <v>-885.67113012259233</v>
      </c>
      <c r="O16" s="189">
        <f t="shared" si="0"/>
        <v>-8092.8886136567726</v>
      </c>
    </row>
    <row r="17" spans="1:15" ht="13.5" outlineLevel="1" thickTop="1" x14ac:dyDescent="0.2">
      <c r="B17" s="66" t="s">
        <v>31</v>
      </c>
      <c r="C17" s="34">
        <f>'DRE-H-Contábil-R$'!C17/1000</f>
        <v>-241.42007830603259</v>
      </c>
      <c r="D17" s="34">
        <f>'DRE-H-Contábil-R$'!D17/1000</f>
        <v>-205.3822039635464</v>
      </c>
      <c r="E17" s="34">
        <f>'DRE-H-Contábil-R$'!E17/1000</f>
        <v>-245.39330768436761</v>
      </c>
      <c r="F17" s="34">
        <f>'DRE-H-Contábil-R$'!F17/1000</f>
        <v>-238.16636218911574</v>
      </c>
      <c r="G17" s="34">
        <f>'DRE-H-Contábil-R$'!G17/1000</f>
        <v>-285.79781073576152</v>
      </c>
      <c r="H17" s="34">
        <f>'DRE-H-Contábil-R$'!H17/1000</f>
        <v>-272.1410634718253</v>
      </c>
      <c r="I17" s="34">
        <f>'DRE-H-Contábil-R$'!I17/1000</f>
        <v>-295.25108986960265</v>
      </c>
      <c r="J17" s="34">
        <f>'DRE-H-Contábil-R$'!J17/1000</f>
        <v>-318.04315805712145</v>
      </c>
      <c r="K17" s="34">
        <f>'DRE-H-Contábil-R$'!K17/1000</f>
        <v>-316.41982372982272</v>
      </c>
      <c r="L17" s="34">
        <f>'DRE-H-Contábil-R$'!L17/1000</f>
        <v>-345.3344720111532</v>
      </c>
      <c r="M17" s="34">
        <f>'DRE-H-Contábil-R$'!M17/1000</f>
        <v>-379.98535800278847</v>
      </c>
      <c r="N17" s="197">
        <f>'DRE-H-Contábil-R$'!N17/1000</f>
        <v>-386.27401313757917</v>
      </c>
      <c r="O17" s="190">
        <f t="shared" si="0"/>
        <v>-3529.6087411587164</v>
      </c>
    </row>
    <row r="18" spans="1:15" outlineLevel="1" x14ac:dyDescent="0.2">
      <c r="B18" s="66" t="s">
        <v>32</v>
      </c>
      <c r="C18" s="34">
        <f>'DRE-H-Contábil-R$'!C18/1000</f>
        <v>-250.04222395981947</v>
      </c>
      <c r="D18" s="34">
        <f>'DRE-H-Contábil-R$'!D18/1000</f>
        <v>-212.71728267653026</v>
      </c>
      <c r="E18" s="34">
        <f>'DRE-H-Contábil-R$'!E18/1000</f>
        <v>-254.15735438738079</v>
      </c>
      <c r="F18" s="34">
        <f>'DRE-H-Contábil-R$'!F18/1000</f>
        <v>-246.67230369586994</v>
      </c>
      <c r="G18" s="34">
        <f>'DRE-H-Contábil-R$'!G18/1000</f>
        <v>-296.00487540489587</v>
      </c>
      <c r="H18" s="34">
        <f>'DRE-H-Contábil-R$'!H18/1000</f>
        <v>-281.86038716724778</v>
      </c>
      <c r="I18" s="34">
        <f>'DRE-H-Contábil-R$'!I18/1000</f>
        <v>-305.7957716506599</v>
      </c>
      <c r="J18" s="34">
        <f>'DRE-H-Contábil-R$'!J18/1000</f>
        <v>-329.40184227344724</v>
      </c>
      <c r="K18" s="34">
        <f>'DRE-H-Contábil-R$'!K18/1000</f>
        <v>-327.72053172017354</v>
      </c>
      <c r="L18" s="34">
        <f>'DRE-H-Contábil-R$'!L18/1000</f>
        <v>-357.66784601155155</v>
      </c>
      <c r="M18" s="34">
        <f>'DRE-H-Contábil-R$'!M18/1000</f>
        <v>-393.55626364574516</v>
      </c>
      <c r="N18" s="197">
        <f>'DRE-H-Contábil-R$'!N18/1000</f>
        <v>-400.0695136067784</v>
      </c>
      <c r="O18" s="191">
        <f t="shared" si="0"/>
        <v>-3655.6661962001003</v>
      </c>
    </row>
    <row r="19" spans="1:15" outlineLevel="1" x14ac:dyDescent="0.2">
      <c r="B19" s="66" t="s">
        <v>33</v>
      </c>
      <c r="C19" s="34">
        <f>'DRE-H-Contábil-R$'!C19/1000</f>
        <v>-44.835157399691774</v>
      </c>
      <c r="D19" s="34">
        <f>'DRE-H-Contábil-R$'!D19/1000</f>
        <v>-38.14240930751577</v>
      </c>
      <c r="E19" s="34">
        <f>'DRE-H-Contábil-R$'!E19/1000</f>
        <v>-45.573042855668284</v>
      </c>
      <c r="F19" s="34">
        <f>'DRE-H-Contábil-R$'!F19/1000</f>
        <v>-44.230895835121494</v>
      </c>
      <c r="G19" s="34">
        <f>'DRE-H-Contábil-R$'!G19/1000</f>
        <v>-53.076736279498554</v>
      </c>
      <c r="H19" s="34">
        <f>'DRE-H-Contábil-R$'!H19/1000</f>
        <v>-50.540483216196137</v>
      </c>
      <c r="I19" s="34">
        <f>'DRE-H-Contábil-R$'!I19/1000</f>
        <v>-54.832345261497615</v>
      </c>
      <c r="J19" s="34">
        <f>'DRE-H-Contábil-R$'!J19/1000</f>
        <v>-59.065157924893981</v>
      </c>
      <c r="K19" s="34">
        <f>'DRE-H-Contábil-R$'!K19/1000</f>
        <v>-58.76368154982422</v>
      </c>
      <c r="L19" s="34">
        <f>'DRE-H-Contábil-R$'!L19/1000</f>
        <v>-64.133544802071313</v>
      </c>
      <c r="M19" s="34">
        <f>'DRE-H-Contábil-R$'!M19/1000</f>
        <v>-70.568709343374977</v>
      </c>
      <c r="N19" s="197">
        <f>'DRE-H-Contábil-R$'!N19/1000</f>
        <v>-71.736602439836119</v>
      </c>
      <c r="O19" s="191">
        <f t="shared" si="0"/>
        <v>-655.49876621519024</v>
      </c>
    </row>
    <row r="20" spans="1:15" ht="13.5" outlineLevel="1" thickBot="1" x14ac:dyDescent="0.25">
      <c r="B20" s="66" t="s">
        <v>114</v>
      </c>
      <c r="C20" s="20">
        <f>'DRE-H-Contábil-R$'!C20/1000</f>
        <v>-17.244291307573757</v>
      </c>
      <c r="D20" s="20">
        <f>'DRE-H-Contábil-R$'!D20/1000</f>
        <v>-14.670157425967604</v>
      </c>
      <c r="E20" s="20">
        <f>'DRE-H-Contábil-R$'!E20/1000</f>
        <v>-17.528093406026265</v>
      </c>
      <c r="F20" s="20">
        <f>'DRE-H-Contábil-R$'!F20/1000</f>
        <v>-17.011883013508267</v>
      </c>
      <c r="G20" s="20">
        <f>'DRE-H-Contábil-R$'!G20/1000</f>
        <v>-20.414129338268683</v>
      </c>
      <c r="H20" s="20">
        <f>'DRE-H-Contábil-R$'!H20/1000</f>
        <v>-19.438647390844668</v>
      </c>
      <c r="I20" s="20">
        <f>'DRE-H-Contábil-R$'!I20/1000</f>
        <v>-21.089363562114471</v>
      </c>
      <c r="J20" s="20">
        <f>'DRE-H-Contábil-R$'!J20/1000</f>
        <v>-22.717368432651529</v>
      </c>
      <c r="K20" s="20">
        <f>'DRE-H-Contábil-R$'!K20/1000</f>
        <v>-22.601415980701624</v>
      </c>
      <c r="L20" s="20">
        <f>'DRE-H-Contábil-R$'!L20/1000</f>
        <v>-24.666748000796655</v>
      </c>
      <c r="M20" s="20">
        <f>'DRE-H-Contábil-R$'!M20/1000</f>
        <v>-27.141811285913459</v>
      </c>
      <c r="N20" s="193">
        <f>'DRE-H-Contábil-R$'!N20/1000</f>
        <v>-27.591000938398516</v>
      </c>
      <c r="O20" s="194">
        <f t="shared" si="0"/>
        <v>-252.1149100827655</v>
      </c>
    </row>
    <row r="21" spans="1:15" ht="14.25" outlineLevel="1" thickTop="1" thickBot="1" x14ac:dyDescent="0.25">
      <c r="B21" s="198" t="s">
        <v>34</v>
      </c>
      <c r="C21" s="38">
        <f>'DRE-H-Contábil-R$'!C21/1000</f>
        <v>-5142.9671240185835</v>
      </c>
      <c r="D21" s="38">
        <f>'DRE-H-Contábil-R$'!D21/1000</f>
        <v>-4411.7802752120451</v>
      </c>
      <c r="E21" s="38">
        <f>'DRE-H-Contábil-R$'!E21/1000</f>
        <v>-5313.8178293022775</v>
      </c>
      <c r="F21" s="38">
        <f>'DRE-H-Contábil-R$'!F21/1000</f>
        <v>-5146.7054961055646</v>
      </c>
      <c r="G21" s="38">
        <f>'DRE-H-Contábil-R$'!G21/1000</f>
        <v>-6171.8046529879339</v>
      </c>
      <c r="H21" s="38">
        <f>'DRE-H-Contábil-R$'!H21/1000</f>
        <v>-5891.6537604882487</v>
      </c>
      <c r="I21" s="38">
        <f>'DRE-H-Contábil-R$'!I21/1000</f>
        <v>-6403.4616696933463</v>
      </c>
      <c r="J21" s="38">
        <f>'DRE-H-Contábil-R$'!J21/1000</f>
        <v>-6907.7043581767475</v>
      </c>
      <c r="K21" s="38">
        <f>'DRE-H-Contábil-R$'!K21/1000</f>
        <v>-6878.2618916493047</v>
      </c>
      <c r="L21" s="38">
        <f>'DRE-H-Contábil-R$'!L21/1000</f>
        <v>-7505.4331235360887</v>
      </c>
      <c r="M21" s="38">
        <f>'DRE-H-Contábil-R$'!M21/1000</f>
        <v>-8268.6670500687833</v>
      </c>
      <c r="N21" s="199">
        <f>'DRE-H-Contábil-R$'!N21/1000</f>
        <v>-8333.1647429834211</v>
      </c>
      <c r="O21" s="189">
        <f t="shared" si="0"/>
        <v>-76375.421974222336</v>
      </c>
    </row>
    <row r="22" spans="1:15" s="31" customFormat="1" ht="14.25" thickTop="1" thickBot="1" x14ac:dyDescent="0.25">
      <c r="A22" s="3"/>
      <c r="B22" s="40" t="s">
        <v>35</v>
      </c>
      <c r="C22" s="41">
        <f t="shared" ref="C22:N22" si="6">C15+C16+C21</f>
        <v>2925.6367787951749</v>
      </c>
      <c r="D22" s="41">
        <f t="shared" si="6"/>
        <v>2452.3863843981972</v>
      </c>
      <c r="E22" s="41">
        <f t="shared" si="6"/>
        <v>2887.5770753774123</v>
      </c>
      <c r="F22" s="41">
        <f t="shared" si="6"/>
        <v>2813.1545659149542</v>
      </c>
      <c r="G22" s="41">
        <f t="shared" si="6"/>
        <v>3379.9664643879805</v>
      </c>
      <c r="H22" s="41">
        <f t="shared" si="6"/>
        <v>3203.6893536879725</v>
      </c>
      <c r="I22" s="41">
        <f t="shared" si="6"/>
        <v>3464.251541020014</v>
      </c>
      <c r="J22" s="41">
        <f t="shared" si="6"/>
        <v>3721.7523314609016</v>
      </c>
      <c r="K22" s="41">
        <f t="shared" si="6"/>
        <v>3696.940645720988</v>
      </c>
      <c r="L22" s="41">
        <f t="shared" si="6"/>
        <v>4036.1382660366717</v>
      </c>
      <c r="M22" s="41">
        <f t="shared" si="6"/>
        <v>4430.9864506101203</v>
      </c>
      <c r="N22" s="41">
        <f t="shared" si="6"/>
        <v>4576.6645960932383</v>
      </c>
      <c r="O22" s="200">
        <f t="shared" si="0"/>
        <v>41589.144453503628</v>
      </c>
    </row>
    <row r="23" spans="1:15" ht="14.25" outlineLevel="1" thickTop="1" thickBot="1" x14ac:dyDescent="0.25">
      <c r="A23" s="3"/>
      <c r="B23" s="66" t="s">
        <v>36</v>
      </c>
      <c r="C23" s="43">
        <f>'DRE-H-Contábil-R$'!C23/1000</f>
        <v>-938.24046763250578</v>
      </c>
      <c r="D23" s="43">
        <f>'DRE-H-Contábil-R$'!D23/1000</f>
        <v>-793.75467275566507</v>
      </c>
      <c r="E23" s="43">
        <f>'DRE-H-Contábil-R$'!E23/1000</f>
        <v>-943.88765836999778</v>
      </c>
      <c r="F23" s="43">
        <f>'DRE-H-Contábil-R$'!F23/1000</f>
        <v>-894.86318328863047</v>
      </c>
      <c r="G23" s="43">
        <f>'DRE-H-Contábil-R$'!G23/1000</f>
        <v>-1077.1320031111172</v>
      </c>
      <c r="H23" s="43">
        <f>'DRE-H-Contábil-R$'!H23/1000</f>
        <v>-1039.0871130687797</v>
      </c>
      <c r="I23" s="43">
        <f>'DRE-H-Contábil-R$'!I23/1000</f>
        <v>-1123.9578833752469</v>
      </c>
      <c r="J23" s="43">
        <f>'DRE-H-Contábil-R$'!J23/1000</f>
        <v>-1221.3168444233886</v>
      </c>
      <c r="K23" s="43">
        <f>'DRE-H-Contábil-R$'!K23/1000</f>
        <v>-1222.3281031192685</v>
      </c>
      <c r="L23" s="43">
        <f>'DRE-H-Contábil-R$'!L23/1000</f>
        <v>-1326.7393591415405</v>
      </c>
      <c r="M23" s="43">
        <f>'DRE-H-Contábil-R$'!M23/1000</f>
        <v>-1449.2850260148607</v>
      </c>
      <c r="N23" s="43">
        <f>'DRE-H-Contábil-R$'!N23/1000</f>
        <v>-1502.0238116755565</v>
      </c>
      <c r="O23" s="189">
        <f>SUM(C23:N23)</f>
        <v>-13532.616125976558</v>
      </c>
    </row>
    <row r="24" spans="1:15" s="31" customFormat="1" ht="14.25" thickTop="1" thickBot="1" x14ac:dyDescent="0.25">
      <c r="A24" s="3"/>
      <c r="B24" s="44" t="s">
        <v>37</v>
      </c>
      <c r="C24" s="30">
        <f t="shared" ref="C24:N24" si="7">C22+C23</f>
        <v>1987.396311162669</v>
      </c>
      <c r="D24" s="30">
        <f t="shared" si="7"/>
        <v>1658.6317116425321</v>
      </c>
      <c r="E24" s="201">
        <f t="shared" si="7"/>
        <v>1943.6894170074145</v>
      </c>
      <c r="F24" s="201">
        <f t="shared" si="7"/>
        <v>1918.2913826263239</v>
      </c>
      <c r="G24" s="201">
        <f t="shared" si="7"/>
        <v>2302.8344612768633</v>
      </c>
      <c r="H24" s="201">
        <f t="shared" si="7"/>
        <v>2164.6022406191928</v>
      </c>
      <c r="I24" s="201">
        <f t="shared" si="7"/>
        <v>2340.2936576447673</v>
      </c>
      <c r="J24" s="201">
        <f t="shared" si="7"/>
        <v>2500.4354870375128</v>
      </c>
      <c r="K24" s="201">
        <f t="shared" si="7"/>
        <v>2474.6125426017197</v>
      </c>
      <c r="L24" s="201">
        <f t="shared" si="7"/>
        <v>2709.3989068951314</v>
      </c>
      <c r="M24" s="201">
        <f t="shared" si="7"/>
        <v>2981.7014245952596</v>
      </c>
      <c r="N24" s="201">
        <f t="shared" si="7"/>
        <v>3074.640784417682</v>
      </c>
      <c r="O24" s="189">
        <f t="shared" si="0"/>
        <v>28056.52832752707</v>
      </c>
    </row>
    <row r="25" spans="1:15" ht="13.5" thickTop="1" x14ac:dyDescent="0.2">
      <c r="A25" s="3"/>
      <c r="B25" s="195" t="s">
        <v>38</v>
      </c>
      <c r="C25" s="45">
        <f t="shared" ref="C25:N25" si="8">C26+C29+C33+C37+C42</f>
        <v>-1948.8164885001961</v>
      </c>
      <c r="D25" s="202">
        <f t="shared" si="8"/>
        <v>-1934.785464659303</v>
      </c>
      <c r="E25" s="203">
        <f t="shared" si="8"/>
        <v>-1860.5849066552139</v>
      </c>
      <c r="F25" s="202">
        <f t="shared" si="8"/>
        <v>-1880.5954435092401</v>
      </c>
      <c r="G25" s="202">
        <f t="shared" si="8"/>
        <v>-1931.4926104025458</v>
      </c>
      <c r="H25" s="202">
        <f t="shared" si="8"/>
        <v>-1932.4486744523351</v>
      </c>
      <c r="I25" s="202">
        <f t="shared" si="8"/>
        <v>-1926.0731934864887</v>
      </c>
      <c r="J25" s="202">
        <f t="shared" si="8"/>
        <v>-1975.4450257526637</v>
      </c>
      <c r="K25" s="202">
        <f t="shared" si="8"/>
        <v>-1952.233086891654</v>
      </c>
      <c r="L25" s="202">
        <f t="shared" si="8"/>
        <v>-1918.8346665299007</v>
      </c>
      <c r="M25" s="202">
        <f t="shared" si="8"/>
        <v>-1958.8602470337926</v>
      </c>
      <c r="N25" s="204">
        <f t="shared" si="8"/>
        <v>-1914.9102512992047</v>
      </c>
      <c r="O25" s="190">
        <f t="shared" si="0"/>
        <v>-23135.080059172535</v>
      </c>
    </row>
    <row r="26" spans="1:15" s="31" customFormat="1" x14ac:dyDescent="0.2">
      <c r="A26" s="3"/>
      <c r="B26" s="205" t="s">
        <v>39</v>
      </c>
      <c r="C26" s="75">
        <f t="shared" ref="C26:N26" si="9">SUM(C27:C28)</f>
        <v>-278.61012805427782</v>
      </c>
      <c r="D26" s="75">
        <f>SUM(D27:D28)</f>
        <v>-268.35128772853705</v>
      </c>
      <c r="E26" s="206">
        <f t="shared" si="9"/>
        <v>-271.19716048496292</v>
      </c>
      <c r="F26" s="75">
        <f t="shared" si="9"/>
        <v>-275.03881104517779</v>
      </c>
      <c r="G26" s="75">
        <f t="shared" si="9"/>
        <v>-276.23731642384126</v>
      </c>
      <c r="H26" s="75">
        <f t="shared" si="9"/>
        <v>-277.19899482805613</v>
      </c>
      <c r="I26" s="75">
        <f t="shared" si="9"/>
        <v>-284.30992620054491</v>
      </c>
      <c r="J26" s="75">
        <f t="shared" si="9"/>
        <v>-278.39116601303391</v>
      </c>
      <c r="K26" s="75">
        <f t="shared" si="9"/>
        <v>-280.95419362064126</v>
      </c>
      <c r="L26" s="75">
        <f t="shared" si="9"/>
        <v>-278.0011959831894</v>
      </c>
      <c r="M26" s="75">
        <f t="shared" si="9"/>
        <v>-285.23349936147827</v>
      </c>
      <c r="N26" s="207">
        <f t="shared" si="9"/>
        <v>-285.86654252476717</v>
      </c>
      <c r="O26" s="208">
        <f t="shared" si="0"/>
        <v>-3339.3902222685083</v>
      </c>
    </row>
    <row r="27" spans="1:15" outlineLevel="1" x14ac:dyDescent="0.2">
      <c r="A27" s="3"/>
      <c r="B27" s="209" t="s">
        <v>40</v>
      </c>
      <c r="C27" s="20">
        <f>'DRE-H-Contábil-R$'!C27/1000</f>
        <v>-225.87209275011114</v>
      </c>
      <c r="D27" s="20">
        <f>'DRE-H-Contábil-R$'!D27/1000</f>
        <v>-215.5001207829815</v>
      </c>
      <c r="E27" s="20">
        <f>'DRE-H-Contábil-R$'!E27/1000</f>
        <v>-217.20087770468515</v>
      </c>
      <c r="F27" s="20">
        <f>'DRE-H-Contábil-R$'!F27/1000</f>
        <v>-221.79061101101112</v>
      </c>
      <c r="G27" s="20">
        <f>'DRE-H-Contábil-R$'!G27/1000</f>
        <v>-222.70929596911901</v>
      </c>
      <c r="H27" s="20">
        <f>'DRE-H-Contábil-R$'!H27/1000</f>
        <v>-223.65767597638947</v>
      </c>
      <c r="I27" s="20">
        <f>'DRE-H-Contábil-R$'!I27/1000</f>
        <v>-230.57342864721159</v>
      </c>
      <c r="J27" s="20">
        <f>'DRE-H-Contábil-R$'!J27/1000</f>
        <v>-224.65370475803391</v>
      </c>
      <c r="K27" s="20">
        <f>'DRE-H-Contábil-R$'!K27/1000</f>
        <v>-227.08807277341901</v>
      </c>
      <c r="L27" s="20">
        <f>'DRE-H-Contábil-R$'!L27/1000</f>
        <v>-224.02938348902273</v>
      </c>
      <c r="M27" s="20">
        <f>'DRE-H-Contábil-R$'!M27/1000</f>
        <v>-231.17568555370048</v>
      </c>
      <c r="N27" s="193">
        <f>'DRE-H-Contábil-R$'!N27/1000</f>
        <v>-231.62095173671162</v>
      </c>
      <c r="O27" s="210">
        <f t="shared" si="0"/>
        <v>-2695.8719011523967</v>
      </c>
    </row>
    <row r="28" spans="1:15" outlineLevel="1" x14ac:dyDescent="0.2">
      <c r="A28" s="3"/>
      <c r="B28" s="209" t="s">
        <v>41</v>
      </c>
      <c r="C28" s="34">
        <f>'DRE-H-Contábil-R$'!C28/1000</f>
        <v>-52.738035304166665</v>
      </c>
      <c r="D28" s="34">
        <f>'DRE-H-Contábil-R$'!D28/1000</f>
        <v>-52.851166945555562</v>
      </c>
      <c r="E28" s="34">
        <f>'DRE-H-Contábil-R$'!E28/1000</f>
        <v>-53.996282780277788</v>
      </c>
      <c r="F28" s="34">
        <f>'DRE-H-Contábil-R$'!F28/1000</f>
        <v>-53.248200034166672</v>
      </c>
      <c r="G28" s="34">
        <f>'DRE-H-Contábil-R$'!G28/1000</f>
        <v>-53.528020454722231</v>
      </c>
      <c r="H28" s="34">
        <f>'DRE-H-Contábil-R$'!H28/1000</f>
        <v>-53.541318851666674</v>
      </c>
      <c r="I28" s="34">
        <f>'DRE-H-Contábil-R$'!I28/1000</f>
        <v>-53.736497553333336</v>
      </c>
      <c r="J28" s="34">
        <f>'DRE-H-Contábil-R$'!J28/1000</f>
        <v>-53.737461254999999</v>
      </c>
      <c r="K28" s="34">
        <f>'DRE-H-Contábil-R$'!K28/1000</f>
        <v>-53.86612084722222</v>
      </c>
      <c r="L28" s="34">
        <f>'DRE-H-Contábil-R$'!L28/1000</f>
        <v>-53.971812494166677</v>
      </c>
      <c r="M28" s="34">
        <f>'DRE-H-Contábil-R$'!M28/1000</f>
        <v>-54.057813807777784</v>
      </c>
      <c r="N28" s="197">
        <f>'DRE-H-Contábil-R$'!N28/1000</f>
        <v>-54.245590788055566</v>
      </c>
      <c r="O28" s="211">
        <f t="shared" si="0"/>
        <v>-643.51832111611111</v>
      </c>
    </row>
    <row r="29" spans="1:15" x14ac:dyDescent="0.2">
      <c r="A29" s="3"/>
      <c r="B29" s="205" t="s">
        <v>42</v>
      </c>
      <c r="C29" s="75">
        <f t="shared" ref="C29:N29" si="10">SUM(C30:C32)</f>
        <v>-525.81293748766552</v>
      </c>
      <c r="D29" s="75">
        <f>SUM(D30:D32)</f>
        <v>-522.42550350088777</v>
      </c>
      <c r="E29" s="206">
        <f t="shared" si="10"/>
        <v>-523.47265166533214</v>
      </c>
      <c r="F29" s="75">
        <f t="shared" si="10"/>
        <v>-516.1717396969434</v>
      </c>
      <c r="G29" s="75">
        <f t="shared" si="10"/>
        <v>-525.34453810913919</v>
      </c>
      <c r="H29" s="75">
        <f t="shared" si="10"/>
        <v>-553.05656775473176</v>
      </c>
      <c r="I29" s="75">
        <f t="shared" si="10"/>
        <v>-525.57670422784281</v>
      </c>
      <c r="J29" s="75">
        <f t="shared" si="10"/>
        <v>-562.27643620095387</v>
      </c>
      <c r="K29" s="75">
        <f t="shared" si="10"/>
        <v>-536.19790942754639</v>
      </c>
      <c r="L29" s="75">
        <f t="shared" si="10"/>
        <v>-526.51467160239827</v>
      </c>
      <c r="M29" s="75">
        <f t="shared" si="10"/>
        <v>-546.14576802725026</v>
      </c>
      <c r="N29" s="207">
        <f t="shared" si="10"/>
        <v>-528.99240611876883</v>
      </c>
      <c r="O29" s="212">
        <f t="shared" si="0"/>
        <v>-6391.9878338194603</v>
      </c>
    </row>
    <row r="30" spans="1:15" outlineLevel="1" x14ac:dyDescent="0.2">
      <c r="A30" s="3"/>
      <c r="B30" s="209" t="s">
        <v>43</v>
      </c>
      <c r="C30" s="20">
        <f>'DRE-H-Contábil-R$'!C30/1000</f>
        <v>-143.84763695643133</v>
      </c>
      <c r="D30" s="20">
        <f>'DRE-H-Contábil-R$'!D30/1000</f>
        <v>-144.24163636315356</v>
      </c>
      <c r="E30" s="20">
        <f>'DRE-H-Contábil-R$'!E30/1000</f>
        <v>-145.31540137556095</v>
      </c>
      <c r="F30" s="20">
        <f>'DRE-H-Contábil-R$'!F30/1000</f>
        <v>-145.2459165208758</v>
      </c>
      <c r="G30" s="20">
        <f>'DRE-H-Contábil-R$'!G30/1000</f>
        <v>-148.57318265034334</v>
      </c>
      <c r="H30" s="20">
        <f>'DRE-H-Contábil-R$'!H30/1000</f>
        <v>-150.65144714389893</v>
      </c>
      <c r="I30" s="20">
        <f>'DRE-H-Contábil-R$'!I30/1000</f>
        <v>-148.88173858478777</v>
      </c>
      <c r="J30" s="20">
        <f>'DRE-H-Contábil-R$'!J30/1000</f>
        <v>-148.98912552567671</v>
      </c>
      <c r="K30" s="20">
        <f>'DRE-H-Contábil-R$'!K30/1000</f>
        <v>-149.3206225637507</v>
      </c>
      <c r="L30" s="20">
        <f>'DRE-H-Contábil-R$'!L30/1000</f>
        <v>-149.37441125323221</v>
      </c>
      <c r="M30" s="20">
        <f>'DRE-H-Contábil-R$'!M30/1000</f>
        <v>-149.48453419271377</v>
      </c>
      <c r="N30" s="193">
        <f>'DRE-H-Contábil-R$'!N30/1000</f>
        <v>-149.59465713219518</v>
      </c>
      <c r="O30" s="191">
        <f t="shared" si="0"/>
        <v>-1773.5203102626201</v>
      </c>
    </row>
    <row r="31" spans="1:15" outlineLevel="1" x14ac:dyDescent="0.2">
      <c r="A31" s="3"/>
      <c r="B31" s="209" t="s">
        <v>44</v>
      </c>
      <c r="C31" s="34">
        <f>'DRE-H-Contábil-R$'!C31/1000</f>
        <v>-88.143874200049908</v>
      </c>
      <c r="D31" s="34">
        <f>'DRE-H-Contábil-R$'!D31/1000</f>
        <v>-84.267785262596178</v>
      </c>
      <c r="E31" s="34">
        <f>'DRE-H-Contábil-R$'!E31/1000</f>
        <v>-76.991810873892476</v>
      </c>
      <c r="F31" s="34">
        <f>'DRE-H-Contábil-R$'!F31/1000</f>
        <v>-77.567186811299891</v>
      </c>
      <c r="G31" s="34">
        <f>'DRE-H-Contábil-R$'!G31/1000</f>
        <v>-75.460082561867935</v>
      </c>
      <c r="H31" s="34">
        <f>'DRE-H-Contábil-R$'!H31/1000</f>
        <v>-85.509278359460524</v>
      </c>
      <c r="I31" s="34">
        <f>'DRE-H-Contábil-R$'!I31/1000</f>
        <v>-77.127295185016095</v>
      </c>
      <c r="J31" s="34">
        <f>'DRE-H-Contábil-R$'!J31/1000</f>
        <v>-89.299762010571655</v>
      </c>
      <c r="K31" s="34">
        <f>'DRE-H-Contábil-R$'!K31/1000</f>
        <v>-85.876137613534581</v>
      </c>
      <c r="L31" s="34">
        <f>'DRE-H-Contábil-R$'!L31/1000</f>
        <v>-75.858200077793853</v>
      </c>
      <c r="M31" s="34">
        <f>'DRE-H-Contábil-R$'!M31/1000</f>
        <v>-79.553262542053119</v>
      </c>
      <c r="N31" s="197">
        <f>'DRE-H-Contábil-R$'!N31/1000</f>
        <v>-77.553866672979055</v>
      </c>
      <c r="O31" s="191">
        <f t="shared" si="0"/>
        <v>-973.20854217111525</v>
      </c>
    </row>
    <row r="32" spans="1:15" outlineLevel="1" x14ac:dyDescent="0.2">
      <c r="A32" s="3"/>
      <c r="B32" s="209" t="s">
        <v>45</v>
      </c>
      <c r="C32" s="34">
        <f>'DRE-H-Contábil-R$'!C32/1000</f>
        <v>-293.82142633118434</v>
      </c>
      <c r="D32" s="34">
        <f>'DRE-H-Contábil-R$'!D32/1000</f>
        <v>-293.91608187513805</v>
      </c>
      <c r="E32" s="34">
        <f>'DRE-H-Contábil-R$'!E32/1000</f>
        <v>-301.16543941587872</v>
      </c>
      <c r="F32" s="34">
        <f>'DRE-H-Contábil-R$'!F32/1000</f>
        <v>-293.35863636476768</v>
      </c>
      <c r="G32" s="34">
        <f>'DRE-H-Contábil-R$'!G32/1000</f>
        <v>-301.3112728969279</v>
      </c>
      <c r="H32" s="34">
        <f>'DRE-H-Contábil-R$'!H32/1000</f>
        <v>-316.8958422513723</v>
      </c>
      <c r="I32" s="34">
        <f>'DRE-H-Contábil-R$'!I32/1000</f>
        <v>-299.56767045803895</v>
      </c>
      <c r="J32" s="34">
        <f>'DRE-H-Contábil-R$'!J32/1000</f>
        <v>-323.98754866470557</v>
      </c>
      <c r="K32" s="34">
        <f>'DRE-H-Contábil-R$'!K32/1000</f>
        <v>-301.00114925026116</v>
      </c>
      <c r="L32" s="34">
        <f>'DRE-H-Contábil-R$'!L32/1000</f>
        <v>-301.28206027137219</v>
      </c>
      <c r="M32" s="34">
        <f>'DRE-H-Contábil-R$'!M32/1000</f>
        <v>-317.1079712924834</v>
      </c>
      <c r="N32" s="197">
        <f>'DRE-H-Contábil-R$'!N32/1000</f>
        <v>-301.84388231359458</v>
      </c>
      <c r="O32" s="213">
        <f t="shared" si="0"/>
        <v>-3645.2589813857257</v>
      </c>
    </row>
    <row r="33" spans="1:15" x14ac:dyDescent="0.2">
      <c r="A33" s="3"/>
      <c r="B33" s="205" t="s">
        <v>46</v>
      </c>
      <c r="C33" s="75">
        <f t="shared" ref="C33:N33" si="11">SUM(C34:C36)</f>
        <v>-280.99009319218555</v>
      </c>
      <c r="D33" s="206">
        <f>SUM(D34:D36)</f>
        <v>-305.08008095243167</v>
      </c>
      <c r="E33" s="206">
        <f t="shared" si="11"/>
        <v>-224.79653811712916</v>
      </c>
      <c r="F33" s="206">
        <f t="shared" si="11"/>
        <v>-245.69644934105489</v>
      </c>
      <c r="G33" s="206">
        <f t="shared" si="11"/>
        <v>-271.67429713480146</v>
      </c>
      <c r="H33" s="206">
        <f t="shared" si="11"/>
        <v>-245.33208523182446</v>
      </c>
      <c r="I33" s="206">
        <f t="shared" si="11"/>
        <v>-262.29731567480025</v>
      </c>
      <c r="J33" s="206">
        <f t="shared" si="11"/>
        <v>-281.88730295646428</v>
      </c>
      <c r="K33" s="206">
        <f t="shared" si="11"/>
        <v>-282.57894586752349</v>
      </c>
      <c r="L33" s="206">
        <f t="shared" si="11"/>
        <v>-256.50766750281855</v>
      </c>
      <c r="M33" s="206">
        <f t="shared" si="11"/>
        <v>-273.99871307135083</v>
      </c>
      <c r="N33" s="206">
        <f t="shared" si="11"/>
        <v>-218.95629678307012</v>
      </c>
      <c r="O33" s="212">
        <f t="shared" si="0"/>
        <v>-3149.7957858254549</v>
      </c>
    </row>
    <row r="34" spans="1:15" outlineLevel="1" x14ac:dyDescent="0.2">
      <c r="A34" s="3"/>
      <c r="B34" s="209" t="s">
        <v>47</v>
      </c>
      <c r="C34" s="34">
        <f>'DRE-H-Contábil-R$'!C34/1000</f>
        <v>-105.44865574803229</v>
      </c>
      <c r="D34" s="34">
        <f>'DRE-H-Contábil-R$'!D34/1000</f>
        <v>-108.68746177692121</v>
      </c>
      <c r="E34" s="34">
        <f>'DRE-H-Contábil-R$'!E34/1000</f>
        <v>-106.57442693914345</v>
      </c>
      <c r="F34" s="34">
        <f>'DRE-H-Contábil-R$'!F34/1000</f>
        <v>-109.78600067053233</v>
      </c>
      <c r="G34" s="34">
        <f>'DRE-H-Contábil-R$'!G34/1000</f>
        <v>-108.64126030092426</v>
      </c>
      <c r="H34" s="34">
        <f>'DRE-H-Contábil-R$'!H34/1000</f>
        <v>-109.53645152953537</v>
      </c>
      <c r="I34" s="34">
        <f>'DRE-H-Contábil-R$'!I34/1000</f>
        <v>-108.84300056620198</v>
      </c>
      <c r="J34" s="34">
        <f>'DRE-H-Contábil-R$'!J34/1000</f>
        <v>-112.40947716286868</v>
      </c>
      <c r="K34" s="34">
        <f>'DRE-H-Contábil-R$'!K34/1000</f>
        <v>-109.32594943509088</v>
      </c>
      <c r="L34" s="34">
        <f>'DRE-H-Contábil-R$'!L34/1000</f>
        <v>-112.50628568203534</v>
      </c>
      <c r="M34" s="34">
        <f>'DRE-H-Contábil-R$'!M34/1000</f>
        <v>-106.26836272064645</v>
      </c>
      <c r="N34" s="197">
        <f>'DRE-H-Contábil-R$'!N34/1000</f>
        <v>-110.23939802675757</v>
      </c>
      <c r="O34" s="191">
        <f t="shared" si="0"/>
        <v>-1308.2667305586897</v>
      </c>
    </row>
    <row r="35" spans="1:15" s="31" customFormat="1" outlineLevel="1" x14ac:dyDescent="0.2">
      <c r="A35" s="3"/>
      <c r="B35" s="209" t="s">
        <v>48</v>
      </c>
      <c r="C35" s="34">
        <f>'DRE-H-Contábil-R$'!C35/1000</f>
        <v>-24.066010027499999</v>
      </c>
      <c r="D35" s="34">
        <f>'DRE-H-Contábil-R$'!D35/1000</f>
        <v>-20.113343390000001</v>
      </c>
      <c r="E35" s="34">
        <f>'DRE-H-Contábil-R$'!E35/1000</f>
        <v>-20.171676752499998</v>
      </c>
      <c r="F35" s="34">
        <f>'DRE-H-Contábil-R$'!F35/1000</f>
        <v>-20.235010117500003</v>
      </c>
      <c r="G35" s="34">
        <f>'DRE-H-Contábil-R$'!G35/1000</f>
        <v>-20.298343482500002</v>
      </c>
      <c r="H35" s="34">
        <f>'DRE-H-Contábil-R$'!H35/1000</f>
        <v>-20.370010184999998</v>
      </c>
      <c r="I35" s="34">
        <f>'DRE-H-Contábil-R$'!I35/1000</f>
        <v>-20.440010220000001</v>
      </c>
      <c r="J35" s="34">
        <f>'DRE-H-Contábil-R$'!J35/1000</f>
        <v>-20.510010255000001</v>
      </c>
      <c r="K35" s="34">
        <f>'DRE-H-Contábil-R$'!K35/1000</f>
        <v>-20.583343624999998</v>
      </c>
      <c r="L35" s="34">
        <f>'DRE-H-Contábil-R$'!L35/1000</f>
        <v>-20.655010327500001</v>
      </c>
      <c r="M35" s="34">
        <f>'DRE-H-Contábil-R$'!M35/1000</f>
        <v>-20.726677030000001</v>
      </c>
      <c r="N35" s="197">
        <f>'DRE-H-Contábil-R$'!N35/1000</f>
        <v>-20.798343732499998</v>
      </c>
      <c r="O35" s="191">
        <f t="shared" si="0"/>
        <v>-248.96778914499998</v>
      </c>
    </row>
    <row r="36" spans="1:15" s="31" customFormat="1" outlineLevel="1" x14ac:dyDescent="0.2">
      <c r="A36" s="3"/>
      <c r="B36" s="209" t="s">
        <v>49</v>
      </c>
      <c r="C36" s="34">
        <f>'DRE-H-Contábil-R$'!C36/1000</f>
        <v>-151.47542741665322</v>
      </c>
      <c r="D36" s="34">
        <f>'DRE-H-Contábil-R$'!D36/1000</f>
        <v>-176.27927578551046</v>
      </c>
      <c r="E36" s="34">
        <f>'DRE-H-Contábil-R$'!E36/1000</f>
        <v>-98.050434425485733</v>
      </c>
      <c r="F36" s="34">
        <f>'DRE-H-Contábil-R$'!F36/1000</f>
        <v>-115.67543855302256</v>
      </c>
      <c r="G36" s="34">
        <f>'DRE-H-Contábil-R$'!G36/1000</f>
        <v>-142.73469335137722</v>
      </c>
      <c r="H36" s="34">
        <f>'DRE-H-Contábil-R$'!H36/1000</f>
        <v>-115.4256235172891</v>
      </c>
      <c r="I36" s="34">
        <f>'DRE-H-Contábil-R$'!I36/1000</f>
        <v>-133.01430488859828</v>
      </c>
      <c r="J36" s="34">
        <f>'DRE-H-Contábil-R$'!J36/1000</f>
        <v>-148.96781553859563</v>
      </c>
      <c r="K36" s="34">
        <f>'DRE-H-Contábil-R$'!K36/1000</f>
        <v>-152.66965280743261</v>
      </c>
      <c r="L36" s="34">
        <f>'DRE-H-Contábil-R$'!L36/1000</f>
        <v>-123.3463714932832</v>
      </c>
      <c r="M36" s="34">
        <f>'DRE-H-Contábil-R$'!M36/1000</f>
        <v>-147.00367332070439</v>
      </c>
      <c r="N36" s="197">
        <f>'DRE-H-Contábil-R$'!N36/1000</f>
        <v>-87.918555023812559</v>
      </c>
      <c r="O36" s="213">
        <f t="shared" si="0"/>
        <v>-1592.5612661217649</v>
      </c>
    </row>
    <row r="37" spans="1:15" s="31" customFormat="1" x14ac:dyDescent="0.2">
      <c r="A37" s="3"/>
      <c r="B37" s="205" t="s">
        <v>50</v>
      </c>
      <c r="C37" s="214">
        <f t="shared" ref="C37:N37" si="12">SUM(C38:C41)</f>
        <v>-765.26999643273371</v>
      </c>
      <c r="D37" s="214">
        <f>SUM(D38:D41)</f>
        <v>-740.79525914411306</v>
      </c>
      <c r="E37" s="215">
        <f t="shared" si="12"/>
        <v>-742.98522305445636</v>
      </c>
      <c r="F37" s="214">
        <f t="shared" si="12"/>
        <v>-745.5551100927305</v>
      </c>
      <c r="G37" s="214">
        <f t="shared" si="12"/>
        <v>-760.10312540143036</v>
      </c>
      <c r="H37" s="214">
        <f t="shared" si="12"/>
        <v>-758.72769330438928</v>
      </c>
      <c r="I37" s="214">
        <f t="shared" si="12"/>
        <v>-755.75591404996726</v>
      </c>
      <c r="J37" s="214">
        <f t="shared" si="12"/>
        <v>-754.75678724887825</v>
      </c>
      <c r="K37" s="214">
        <f t="shared" si="12"/>
        <v>-754.36870464260937</v>
      </c>
      <c r="L37" s="214">
        <f t="shared" si="12"/>
        <v>-759.67779810816091</v>
      </c>
      <c r="M37" s="214">
        <f t="shared" si="12"/>
        <v>-755.34893324037967</v>
      </c>
      <c r="N37" s="216">
        <f t="shared" si="12"/>
        <v>-782.96167253926524</v>
      </c>
      <c r="O37" s="212">
        <f t="shared" ref="O37:O64" si="13">SUM(C37:N37)</f>
        <v>-9076.3062172591162</v>
      </c>
    </row>
    <row r="38" spans="1:15" s="31" customFormat="1" outlineLevel="1" x14ac:dyDescent="0.2">
      <c r="A38" s="3"/>
      <c r="B38" s="209" t="s">
        <v>51</v>
      </c>
      <c r="C38" s="59">
        <f>'DRE-H-Contábil-R$'!C38/1000</f>
        <v>-623.17125006815036</v>
      </c>
      <c r="D38" s="59">
        <f>'DRE-H-Contábil-R$'!D38/1000</f>
        <v>-615.39064809318722</v>
      </c>
      <c r="E38" s="59">
        <f>'DRE-H-Contábil-R$'!E38/1000</f>
        <v>-621.73950081718783</v>
      </c>
      <c r="F38" s="59">
        <f>'DRE-H-Contábil-R$'!F38/1000</f>
        <v>-624.10788885314719</v>
      </c>
      <c r="G38" s="59">
        <f>'DRE-H-Contábil-R$'!G38/1000</f>
        <v>-638.45440515953226</v>
      </c>
      <c r="H38" s="59">
        <f>'DRE-H-Contábil-R$'!H38/1000</f>
        <v>-636.85096103355602</v>
      </c>
      <c r="I38" s="59">
        <f>'DRE-H-Contábil-R$'!I38/1000</f>
        <v>-634.89010357330051</v>
      </c>
      <c r="J38" s="59">
        <f>'DRE-H-Contábil-R$'!J38/1000</f>
        <v>-635.5112136130449</v>
      </c>
      <c r="K38" s="59">
        <f>'DRE-H-Contábil-R$'!K38/1000</f>
        <v>-634.62294164955392</v>
      </c>
      <c r="L38" s="59">
        <f>'DRE-H-Contábil-R$'!L38/1000</f>
        <v>-639.99264835691088</v>
      </c>
      <c r="M38" s="59">
        <f>'DRE-H-Contábil-R$'!M38/1000</f>
        <v>-635.44652173093516</v>
      </c>
      <c r="N38" s="217">
        <f>'DRE-H-Contábil-R$'!N38/1000</f>
        <v>-662.84199927162626</v>
      </c>
      <c r="O38" s="191">
        <f t="shared" si="13"/>
        <v>-7603.0200822201314</v>
      </c>
    </row>
    <row r="39" spans="1:15" s="31" customFormat="1" outlineLevel="1" x14ac:dyDescent="0.2">
      <c r="A39" s="3"/>
      <c r="B39" s="209" t="s">
        <v>52</v>
      </c>
      <c r="C39" s="34">
        <f>'DRE-H-Contábil-R$'!C39/1000</f>
        <v>-85.030456364583316</v>
      </c>
      <c r="D39" s="34">
        <f>'DRE-H-Contábil-R$'!D39/1000</f>
        <v>-68.336321050925918</v>
      </c>
      <c r="E39" s="34">
        <f>'DRE-H-Contábil-R$'!E39/1000</f>
        <v>-64.177432237268519</v>
      </c>
      <c r="F39" s="34">
        <f>'DRE-H-Contábil-R$'!F39/1000</f>
        <v>-64.378931239583324</v>
      </c>
      <c r="G39" s="34">
        <f>'DRE-H-Contábil-R$'!G39/1000</f>
        <v>-64.580430241898156</v>
      </c>
      <c r="H39" s="34">
        <f>'DRE-H-Contábil-R$'!H39/1000</f>
        <v>-64.808442270833325</v>
      </c>
      <c r="I39" s="34">
        <f>'DRE-H-Contábil-R$'!I39/1000</f>
        <v>-63.797520476666655</v>
      </c>
      <c r="J39" s="34">
        <f>'DRE-H-Contábil-R$'!J39/1000</f>
        <v>-62.177283635833334</v>
      </c>
      <c r="K39" s="34">
        <f>'DRE-H-Contábil-R$'!K39/1000</f>
        <v>-62.677472993055545</v>
      </c>
      <c r="L39" s="34">
        <f>'DRE-H-Contábil-R$'!L39/1000</f>
        <v>-62.616859751249997</v>
      </c>
      <c r="M39" s="34">
        <f>'DRE-H-Contábil-R$'!M39/1000</f>
        <v>-62.834121509444437</v>
      </c>
      <c r="N39" s="218">
        <f>'DRE-H-Contábil-R$'!N39/1000</f>
        <v>-63.051383267638876</v>
      </c>
      <c r="O39" s="191">
        <f t="shared" si="13"/>
        <v>-788.46665503898146</v>
      </c>
    </row>
    <row r="40" spans="1:15" s="31" customFormat="1" outlineLevel="1" x14ac:dyDescent="0.2">
      <c r="A40" s="3"/>
      <c r="B40" s="209" t="s">
        <v>53</v>
      </c>
      <c r="C40" s="34">
        <f>'DRE-H-Contábil-R$'!C40/1000</f>
        <v>-57.06828999999999</v>
      </c>
      <c r="D40" s="34">
        <f>'DRE-H-Contábil-R$'!D40/1000</f>
        <v>-57.06828999999999</v>
      </c>
      <c r="E40" s="34">
        <f>'DRE-H-Contábil-R$'!E40/1000</f>
        <v>-57.06828999999999</v>
      </c>
      <c r="F40" s="34">
        <f>'DRE-H-Contábil-R$'!F40/1000</f>
        <v>-57.06828999999999</v>
      </c>
      <c r="G40" s="34">
        <f>'DRE-H-Contábil-R$'!G40/1000</f>
        <v>-57.06828999999999</v>
      </c>
      <c r="H40" s="34">
        <f>'DRE-H-Contábil-R$'!H40/1000</f>
        <v>-57.06828999999999</v>
      </c>
      <c r="I40" s="34">
        <f>'DRE-H-Contábil-R$'!I40/1000</f>
        <v>-57.06828999999999</v>
      </c>
      <c r="J40" s="34">
        <f>'DRE-H-Contábil-R$'!J40/1000</f>
        <v>-57.06828999999999</v>
      </c>
      <c r="K40" s="34">
        <f>'DRE-H-Contábil-R$'!K40/1000</f>
        <v>-57.06828999999999</v>
      </c>
      <c r="L40" s="34">
        <f>'DRE-H-Contábil-R$'!L40/1000</f>
        <v>-57.06828999999999</v>
      </c>
      <c r="M40" s="34">
        <f>'DRE-H-Contábil-R$'!M40/1000</f>
        <v>-57.06828999999999</v>
      </c>
      <c r="N40" s="197">
        <f>'DRE-H-Contábil-R$'!N40/1000</f>
        <v>-57.06828999999999</v>
      </c>
      <c r="O40" s="191">
        <f t="shared" si="13"/>
        <v>-684.81947999999966</v>
      </c>
    </row>
    <row r="41" spans="1:15" s="31" customFormat="1" outlineLevel="1" x14ac:dyDescent="0.2">
      <c r="A41" s="3"/>
      <c r="B41" s="209" t="s">
        <v>54</v>
      </c>
      <c r="C41" s="61">
        <f>'DRE-H-Contábil-R$'!C41/1000</f>
        <v>0</v>
      </c>
      <c r="D41" s="219">
        <f>'DRE-H-Contábil-R$'!D41/1000</f>
        <v>0</v>
      </c>
      <c r="E41" s="219">
        <f>'DRE-H-Contábil-R$'!E41/1000</f>
        <v>0</v>
      </c>
      <c r="F41" s="219">
        <f>'DRE-H-Contábil-R$'!F41/1000</f>
        <v>0</v>
      </c>
      <c r="G41" s="219">
        <f>'DRE-H-Contábil-R$'!G41/1000</f>
        <v>0</v>
      </c>
      <c r="H41" s="219">
        <f>'DRE-H-Contábil-R$'!H41/1000</f>
        <v>0</v>
      </c>
      <c r="I41" s="219">
        <f>'DRE-H-Contábil-R$'!I41/1000</f>
        <v>0</v>
      </c>
      <c r="J41" s="219">
        <f>'DRE-H-Contábil-R$'!J41/1000</f>
        <v>0</v>
      </c>
      <c r="K41" s="219">
        <f>'DRE-H-Contábil-R$'!K41/1000</f>
        <v>0</v>
      </c>
      <c r="L41" s="219">
        <f>'DRE-H-Contábil-R$'!L41/1000</f>
        <v>0</v>
      </c>
      <c r="M41" s="219">
        <f>'DRE-H-Contábil-R$'!M41/1000</f>
        <v>0</v>
      </c>
      <c r="N41" s="220">
        <f>'DRE-H-Contábil-R$'!N41/1000</f>
        <v>0</v>
      </c>
      <c r="O41" s="191">
        <f t="shared" si="13"/>
        <v>0</v>
      </c>
    </row>
    <row r="42" spans="1:15" s="31" customFormat="1" x14ac:dyDescent="0.2">
      <c r="A42" s="3"/>
      <c r="B42" s="205" t="s">
        <v>55</v>
      </c>
      <c r="C42" s="221">
        <f t="shared" ref="C42:N42" si="14">SUM(C43:C48)</f>
        <v>-98.13333333333334</v>
      </c>
      <c r="D42" s="221">
        <f>SUM(D43:D48)</f>
        <v>-98.13333333333334</v>
      </c>
      <c r="E42" s="222">
        <f t="shared" si="14"/>
        <v>-98.13333333333334</v>
      </c>
      <c r="F42" s="221">
        <f t="shared" si="14"/>
        <v>-98.13333333333334</v>
      </c>
      <c r="G42" s="221">
        <f t="shared" si="14"/>
        <v>-98.13333333333334</v>
      </c>
      <c r="H42" s="221">
        <f t="shared" si="14"/>
        <v>-98.13333333333334</v>
      </c>
      <c r="I42" s="221">
        <f t="shared" si="14"/>
        <v>-98.13333333333334</v>
      </c>
      <c r="J42" s="221">
        <f t="shared" si="14"/>
        <v>-98.13333333333334</v>
      </c>
      <c r="K42" s="221">
        <f t="shared" si="14"/>
        <v>-98.13333333333334</v>
      </c>
      <c r="L42" s="221">
        <f t="shared" si="14"/>
        <v>-98.13333333333334</v>
      </c>
      <c r="M42" s="221">
        <f t="shared" si="14"/>
        <v>-98.13333333333334</v>
      </c>
      <c r="N42" s="223">
        <f t="shared" si="14"/>
        <v>-98.13333333333334</v>
      </c>
      <c r="O42" s="212">
        <f t="shared" si="13"/>
        <v>-1177.6000000000001</v>
      </c>
    </row>
    <row r="43" spans="1:15" s="31" customFormat="1" outlineLevel="1" x14ac:dyDescent="0.2">
      <c r="A43" s="3"/>
      <c r="B43" s="209" t="s">
        <v>109</v>
      </c>
      <c r="C43" s="20">
        <v>-37.083333333333336</v>
      </c>
      <c r="D43" s="20">
        <v>-37.083333333333336</v>
      </c>
      <c r="E43" s="20">
        <v>-37.083333333333336</v>
      </c>
      <c r="F43" s="20">
        <v>-37.083333333333336</v>
      </c>
      <c r="G43" s="20">
        <v>-37.083333333333336</v>
      </c>
      <c r="H43" s="20">
        <v>-37.083333333333336</v>
      </c>
      <c r="I43" s="20">
        <v>-37.083333333333336</v>
      </c>
      <c r="J43" s="20">
        <v>-37.083333333333336</v>
      </c>
      <c r="K43" s="20">
        <v>-37.083333333333336</v>
      </c>
      <c r="L43" s="20">
        <v>-37.083333333333336</v>
      </c>
      <c r="M43" s="20">
        <v>-37.083333333333336</v>
      </c>
      <c r="N43" s="193">
        <v>-37.083333333333336</v>
      </c>
      <c r="O43" s="191">
        <f t="shared" si="13"/>
        <v>-444.99999999999994</v>
      </c>
    </row>
    <row r="44" spans="1:15" s="31" customFormat="1" outlineLevel="1" x14ac:dyDescent="0.2">
      <c r="A44" s="3"/>
      <c r="B44" s="209" t="s">
        <v>56</v>
      </c>
      <c r="C44" s="20">
        <v>-8.75</v>
      </c>
      <c r="D44" s="20">
        <v>-8.75</v>
      </c>
      <c r="E44" s="20">
        <v>-8.75</v>
      </c>
      <c r="F44" s="20">
        <v>-8.75</v>
      </c>
      <c r="G44" s="20">
        <v>-8.75</v>
      </c>
      <c r="H44" s="20">
        <v>-8.75</v>
      </c>
      <c r="I44" s="20">
        <v>-8.75</v>
      </c>
      <c r="J44" s="20">
        <v>-8.75</v>
      </c>
      <c r="K44" s="20">
        <v>-8.75</v>
      </c>
      <c r="L44" s="20">
        <v>-8.75</v>
      </c>
      <c r="M44" s="20">
        <v>-8.75</v>
      </c>
      <c r="N44" s="193">
        <v>-8.75</v>
      </c>
      <c r="O44" s="191">
        <f t="shared" si="13"/>
        <v>-105</v>
      </c>
    </row>
    <row r="45" spans="1:15" s="31" customFormat="1" outlineLevel="1" x14ac:dyDescent="0.2">
      <c r="A45" s="3"/>
      <c r="B45" s="209" t="s">
        <v>57</v>
      </c>
      <c r="C45" s="20">
        <v>-43.800000000000004</v>
      </c>
      <c r="D45" s="20">
        <v>-43.800000000000004</v>
      </c>
      <c r="E45" s="20">
        <v>-43.800000000000004</v>
      </c>
      <c r="F45" s="20">
        <v>-43.800000000000004</v>
      </c>
      <c r="G45" s="20">
        <v>-43.800000000000004</v>
      </c>
      <c r="H45" s="20">
        <v>-43.800000000000004</v>
      </c>
      <c r="I45" s="20">
        <v>-43.800000000000004</v>
      </c>
      <c r="J45" s="20">
        <v>-43.800000000000004</v>
      </c>
      <c r="K45" s="20">
        <v>-43.800000000000004</v>
      </c>
      <c r="L45" s="20">
        <v>-43.800000000000004</v>
      </c>
      <c r="M45" s="20">
        <v>-43.800000000000004</v>
      </c>
      <c r="N45" s="193">
        <v>-43.800000000000004</v>
      </c>
      <c r="O45" s="191">
        <f t="shared" si="13"/>
        <v>-525.6</v>
      </c>
    </row>
    <row r="46" spans="1:15" s="31" customFormat="1" outlineLevel="1" x14ac:dyDescent="0.2">
      <c r="A46" s="3"/>
      <c r="B46" s="209" t="s">
        <v>58</v>
      </c>
      <c r="C46" s="20">
        <v>19.5</v>
      </c>
      <c r="D46" s="20">
        <v>19.5</v>
      </c>
      <c r="E46" s="20">
        <v>19.5</v>
      </c>
      <c r="F46" s="20">
        <v>19.5</v>
      </c>
      <c r="G46" s="20">
        <v>19.5</v>
      </c>
      <c r="H46" s="20">
        <v>19.5</v>
      </c>
      <c r="I46" s="20">
        <v>19.5</v>
      </c>
      <c r="J46" s="20">
        <v>19.5</v>
      </c>
      <c r="K46" s="20">
        <v>19.5</v>
      </c>
      <c r="L46" s="20">
        <v>19.5</v>
      </c>
      <c r="M46" s="20">
        <v>19.5</v>
      </c>
      <c r="N46" s="193">
        <v>19.5</v>
      </c>
      <c r="O46" s="191">
        <f t="shared" si="13"/>
        <v>234</v>
      </c>
    </row>
    <row r="47" spans="1:15" s="31" customFormat="1" outlineLevel="1" x14ac:dyDescent="0.2">
      <c r="A47" s="3"/>
      <c r="B47" s="209" t="s">
        <v>59</v>
      </c>
      <c r="C47" s="20">
        <v>-3.9</v>
      </c>
      <c r="D47" s="20">
        <v>-3.9</v>
      </c>
      <c r="E47" s="20">
        <v>-3.9</v>
      </c>
      <c r="F47" s="20">
        <v>-3.9</v>
      </c>
      <c r="G47" s="20">
        <v>-3.9</v>
      </c>
      <c r="H47" s="20">
        <v>-3.9</v>
      </c>
      <c r="I47" s="20">
        <v>-3.9</v>
      </c>
      <c r="J47" s="20">
        <v>-3.9</v>
      </c>
      <c r="K47" s="20">
        <v>-3.9</v>
      </c>
      <c r="L47" s="20">
        <v>-3.9</v>
      </c>
      <c r="M47" s="20">
        <v>-3.9</v>
      </c>
      <c r="N47" s="193">
        <v>-3.9</v>
      </c>
      <c r="O47" s="191">
        <f t="shared" si="13"/>
        <v>-46.79999999999999</v>
      </c>
    </row>
    <row r="48" spans="1:15" s="31" customFormat="1" ht="13.5" outlineLevel="1" thickBot="1" x14ac:dyDescent="0.25">
      <c r="A48" s="3"/>
      <c r="B48" s="209" t="s">
        <v>60</v>
      </c>
      <c r="C48" s="20">
        <v>-24.099999999999998</v>
      </c>
      <c r="D48" s="20">
        <v>-24.099999999999998</v>
      </c>
      <c r="E48" s="20">
        <v>-24.099999999999998</v>
      </c>
      <c r="F48" s="20">
        <v>-24.099999999999998</v>
      </c>
      <c r="G48" s="20">
        <v>-24.099999999999998</v>
      </c>
      <c r="H48" s="20">
        <v>-24.099999999999998</v>
      </c>
      <c r="I48" s="20">
        <v>-24.099999999999998</v>
      </c>
      <c r="J48" s="20">
        <v>-24.099999999999998</v>
      </c>
      <c r="K48" s="20">
        <v>-24.099999999999998</v>
      </c>
      <c r="L48" s="20">
        <v>-24.099999999999998</v>
      </c>
      <c r="M48" s="20">
        <v>-24.099999999999998</v>
      </c>
      <c r="N48" s="193">
        <v>-24.099999999999998</v>
      </c>
      <c r="O48" s="194">
        <f t="shared" si="13"/>
        <v>-289.2</v>
      </c>
    </row>
    <row r="49" spans="1:15" ht="14.25" thickTop="1" thickBot="1" x14ac:dyDescent="0.25">
      <c r="A49" s="3"/>
      <c r="B49" s="40" t="s">
        <v>61</v>
      </c>
      <c r="C49" s="224">
        <f>C24+C25+1</f>
        <v>39.579822662472907</v>
      </c>
      <c r="D49" s="224">
        <f t="shared" ref="D49:N49" si="15">D24+D25</f>
        <v>-276.15375301677091</v>
      </c>
      <c r="E49" s="224">
        <f t="shared" si="15"/>
        <v>83.104510352200577</v>
      </c>
      <c r="F49" s="224">
        <f t="shared" si="15"/>
        <v>37.695939117083753</v>
      </c>
      <c r="G49" s="224">
        <f t="shared" si="15"/>
        <v>371.34185087431752</v>
      </c>
      <c r="H49" s="224">
        <f t="shared" si="15"/>
        <v>232.15356616685767</v>
      </c>
      <c r="I49" s="224">
        <f t="shared" si="15"/>
        <v>414.22046415827867</v>
      </c>
      <c r="J49" s="224">
        <f t="shared" si="15"/>
        <v>524.99046128484906</v>
      </c>
      <c r="K49" s="224">
        <f t="shared" si="15"/>
        <v>522.37945571006571</v>
      </c>
      <c r="L49" s="224">
        <f t="shared" si="15"/>
        <v>790.56424036523072</v>
      </c>
      <c r="M49" s="224">
        <f t="shared" si="15"/>
        <v>1022.841177561467</v>
      </c>
      <c r="N49" s="225">
        <f t="shared" si="15"/>
        <v>1159.7305331184773</v>
      </c>
      <c r="O49" s="200">
        <f t="shared" si="13"/>
        <v>4922.4482683545293</v>
      </c>
    </row>
    <row r="50" spans="1:15" ht="13.5" thickTop="1" x14ac:dyDescent="0.2">
      <c r="A50" s="3"/>
      <c r="B50" s="64" t="s">
        <v>62</v>
      </c>
      <c r="C50" s="65">
        <f t="shared" ref="C50:N50" si="16">SUM(C51:C52)</f>
        <v>0</v>
      </c>
      <c r="D50" s="65">
        <f t="shared" si="16"/>
        <v>0</v>
      </c>
      <c r="E50" s="65">
        <f t="shared" si="16"/>
        <v>0</v>
      </c>
      <c r="F50" s="226">
        <f t="shared" si="16"/>
        <v>0</v>
      </c>
      <c r="G50" s="226">
        <f t="shared" si="16"/>
        <v>0</v>
      </c>
      <c r="H50" s="226">
        <f t="shared" si="16"/>
        <v>0</v>
      </c>
      <c r="I50" s="226">
        <f t="shared" si="16"/>
        <v>0</v>
      </c>
      <c r="J50" s="226">
        <f t="shared" si="16"/>
        <v>0</v>
      </c>
      <c r="K50" s="226">
        <f t="shared" si="16"/>
        <v>0</v>
      </c>
      <c r="L50" s="226">
        <f t="shared" si="16"/>
        <v>0</v>
      </c>
      <c r="M50" s="226">
        <f t="shared" si="16"/>
        <v>0</v>
      </c>
      <c r="N50" s="227">
        <f t="shared" si="16"/>
        <v>0</v>
      </c>
      <c r="O50" s="211">
        <f t="shared" si="13"/>
        <v>0</v>
      </c>
    </row>
    <row r="51" spans="1:15" outlineLevel="1" x14ac:dyDescent="0.2">
      <c r="A51" s="3"/>
      <c r="B51" s="66" t="s">
        <v>63</v>
      </c>
      <c r="C51" s="20">
        <f>'DRE-H-Contábil-R$'!C51/1000</f>
        <v>0</v>
      </c>
      <c r="D51" s="20">
        <f>'DRE-H-Contábil-R$'!D51/1000</f>
        <v>0</v>
      </c>
      <c r="E51" s="20">
        <f>'DRE-H-Contábil-R$'!E51/1000</f>
        <v>0</v>
      </c>
      <c r="F51" s="20">
        <f>'DRE-H-Contábil-R$'!F51/1000</f>
        <v>0</v>
      </c>
      <c r="G51" s="20">
        <f>'DRE-H-Contábil-R$'!G51/1000</f>
        <v>0</v>
      </c>
      <c r="H51" s="20">
        <f>'DRE-H-Contábil-R$'!H51/1000</f>
        <v>0</v>
      </c>
      <c r="I51" s="20">
        <f>'DRE-H-Contábil-R$'!I51/1000</f>
        <v>0</v>
      </c>
      <c r="J51" s="20">
        <f>'DRE-H-Contábil-R$'!J51/1000</f>
        <v>0</v>
      </c>
      <c r="K51" s="20">
        <f>'DRE-H-Contábil-R$'!K51/1000</f>
        <v>0</v>
      </c>
      <c r="L51" s="20">
        <f>'DRE-H-Contábil-R$'!L51/1000</f>
        <v>0</v>
      </c>
      <c r="M51" s="20">
        <f>'DRE-H-Contábil-R$'!M51/1000</f>
        <v>0</v>
      </c>
      <c r="N51" s="193">
        <f>'DRE-H-Contábil-R$'!N51/1000</f>
        <v>0</v>
      </c>
      <c r="O51" s="191">
        <f t="shared" si="13"/>
        <v>0</v>
      </c>
    </row>
    <row r="52" spans="1:15" outlineLevel="1" x14ac:dyDescent="0.2">
      <c r="A52" s="3"/>
      <c r="B52" s="66" t="s">
        <v>64</v>
      </c>
      <c r="C52" s="20">
        <f>'DRE-H-Contábil-R$'!C52/1000</f>
        <v>0</v>
      </c>
      <c r="D52" s="20">
        <f>'DRE-H-Contábil-R$'!D52/1000</f>
        <v>0</v>
      </c>
      <c r="E52" s="20">
        <f>'DRE-H-Contábil-R$'!E52/1000</f>
        <v>0</v>
      </c>
      <c r="F52" s="20">
        <f>'DRE-H-Contábil-R$'!F52/1000</f>
        <v>0</v>
      </c>
      <c r="G52" s="20">
        <f>'DRE-H-Contábil-R$'!G52/1000</f>
        <v>0</v>
      </c>
      <c r="H52" s="20">
        <f>'DRE-H-Contábil-R$'!H52/1000</f>
        <v>0</v>
      </c>
      <c r="I52" s="20">
        <f>'DRE-H-Contábil-R$'!I52/1000</f>
        <v>0</v>
      </c>
      <c r="J52" s="20">
        <f>'DRE-H-Contábil-R$'!J52/1000</f>
        <v>0</v>
      </c>
      <c r="K52" s="20">
        <f>'DRE-H-Contábil-R$'!K52/1000</f>
        <v>0</v>
      </c>
      <c r="L52" s="20">
        <f>'DRE-H-Contábil-R$'!L52/1000</f>
        <v>0</v>
      </c>
      <c r="M52" s="20">
        <f>'DRE-H-Contábil-R$'!M52/1000</f>
        <v>0</v>
      </c>
      <c r="N52" s="193">
        <f>'DRE-H-Contábil-R$'!N52/1000</f>
        <v>0</v>
      </c>
      <c r="O52" s="191">
        <f t="shared" si="13"/>
        <v>0</v>
      </c>
    </row>
    <row r="53" spans="1:15" x14ac:dyDescent="0.2">
      <c r="A53" s="3"/>
      <c r="B53" s="67" t="s">
        <v>65</v>
      </c>
      <c r="C53" s="206">
        <f t="shared" ref="C53:N53" si="17">SUM(C54:C59)</f>
        <v>-296.45844774999995</v>
      </c>
      <c r="D53" s="75">
        <f t="shared" si="17"/>
        <v>-312.5345425452083</v>
      </c>
      <c r="E53" s="206">
        <f t="shared" si="17"/>
        <v>-323.13351244338872</v>
      </c>
      <c r="F53" s="75">
        <f t="shared" si="17"/>
        <v>-294.80706503264179</v>
      </c>
      <c r="G53" s="75">
        <f t="shared" si="17"/>
        <v>-312.72103800366557</v>
      </c>
      <c r="H53" s="75">
        <f t="shared" si="17"/>
        <v>-323.44763915035361</v>
      </c>
      <c r="I53" s="75">
        <f t="shared" si="17"/>
        <v>-296.88250637039738</v>
      </c>
      <c r="J53" s="75">
        <f t="shared" si="17"/>
        <v>-318.9833476658913</v>
      </c>
      <c r="K53" s="75">
        <f t="shared" si="17"/>
        <v>-315.79959114394234</v>
      </c>
      <c r="L53" s="75">
        <f t="shared" si="17"/>
        <v>-296.86875501728201</v>
      </c>
      <c r="M53" s="75">
        <f t="shared" si="17"/>
        <v>-309.0199976048828</v>
      </c>
      <c r="N53" s="207">
        <f t="shared" si="17"/>
        <v>-295.66245733257801</v>
      </c>
      <c r="O53" s="212">
        <f t="shared" si="13"/>
        <v>-3696.3189000602324</v>
      </c>
    </row>
    <row r="54" spans="1:15" outlineLevel="1" x14ac:dyDescent="0.2">
      <c r="A54" s="3"/>
      <c r="B54" s="66" t="s">
        <v>66</v>
      </c>
      <c r="C54" s="20">
        <f>'DRE-H-Contábil-R$'!C54/1000</f>
        <v>-178.04758999999999</v>
      </c>
      <c r="D54" s="20">
        <f>'DRE-H-Contábil-R$'!D54/1000</f>
        <v>-193.60680999999997</v>
      </c>
      <c r="E54" s="20">
        <f>'DRE-H-Contábil-R$'!E54/1000</f>
        <v>-203.68589</v>
      </c>
      <c r="F54" s="20">
        <f>'DRE-H-Contábil-R$'!F54/1000</f>
        <v>-174.83652000000001</v>
      </c>
      <c r="G54" s="20">
        <f>'DRE-H-Contábil-R$'!G54/1000</f>
        <v>-192.22452000000001</v>
      </c>
      <c r="H54" s="20">
        <f>'DRE-H-Contábil-R$'!H54/1000</f>
        <v>-202.42207999999999</v>
      </c>
      <c r="I54" s="20">
        <f>'DRE-H-Contábil-R$'!I54/1000</f>
        <v>-175.32482000000002</v>
      </c>
      <c r="J54" s="20">
        <f>'DRE-H-Contábil-R$'!J54/1000</f>
        <v>-196.89042999999998</v>
      </c>
      <c r="K54" s="20">
        <f>'DRE-H-Contábil-R$'!K54/1000</f>
        <v>-193.16831999999999</v>
      </c>
      <c r="L54" s="20">
        <f>'DRE-H-Contábil-R$'!L54/1000</f>
        <v>-173.69598999999999</v>
      </c>
      <c r="M54" s="20">
        <f>'DRE-H-Contábil-R$'!M54/1000</f>
        <v>-185.30258000000001</v>
      </c>
      <c r="N54" s="193">
        <f>'DRE-H-Contábil-R$'!N54/1000</f>
        <v>-171.39721000000003</v>
      </c>
      <c r="O54" s="191">
        <f t="shared" si="13"/>
        <v>-2240.6027599999998</v>
      </c>
    </row>
    <row r="55" spans="1:15" outlineLevel="1" x14ac:dyDescent="0.2">
      <c r="A55" s="3"/>
      <c r="B55" s="66" t="s">
        <v>115</v>
      </c>
      <c r="C55" s="20">
        <f>'DRE-H-Contábil-R$'!C55/1000</f>
        <v>-88.607107750000011</v>
      </c>
      <c r="D55" s="20">
        <f>'DRE-H-Contábil-R$'!D55/1000</f>
        <v>-89.123982545208349</v>
      </c>
      <c r="E55" s="20">
        <f>'DRE-H-Contábil-R$'!E55/1000</f>
        <v>-89.64387244338873</v>
      </c>
      <c r="F55" s="20">
        <f>'DRE-H-Contábil-R$'!F55/1000</f>
        <v>-90.166795032641829</v>
      </c>
      <c r="G55" s="20">
        <f>'DRE-H-Contábil-R$'!G55/1000</f>
        <v>-90.692768003665563</v>
      </c>
      <c r="H55" s="20">
        <f>'DRE-H-Contábil-R$'!H55/1000</f>
        <v>-91.221809150353607</v>
      </c>
      <c r="I55" s="20">
        <f>'DRE-H-Contábil-R$'!I55/1000</f>
        <v>-91.753936370397355</v>
      </c>
      <c r="J55" s="20">
        <f>'DRE-H-Contábil-R$'!J55/1000</f>
        <v>-92.289167665891341</v>
      </c>
      <c r="K55" s="20">
        <f>'DRE-H-Contábil-R$'!K55/1000</f>
        <v>-92.827521143942377</v>
      </c>
      <c r="L55" s="20">
        <f>'DRE-H-Contábil-R$'!L55/1000</f>
        <v>-93.369015017282038</v>
      </c>
      <c r="M55" s="20">
        <f>'DRE-H-Contábil-R$'!M55/1000</f>
        <v>-93.913667604882832</v>
      </c>
      <c r="N55" s="193">
        <f>'DRE-H-Contábil-R$'!N55/1000</f>
        <v>-94.461497332578006</v>
      </c>
      <c r="O55" s="191">
        <f>SUM(C55:N55)</f>
        <v>-1098.071140060232</v>
      </c>
    </row>
    <row r="56" spans="1:15" outlineLevel="1" x14ac:dyDescent="0.2">
      <c r="A56" s="3"/>
      <c r="B56" s="66" t="s">
        <v>67</v>
      </c>
      <c r="C56" s="20">
        <f>'DRE-H-Contábil-R$'!C56/1000</f>
        <v>-28</v>
      </c>
      <c r="D56" s="20">
        <f>'DRE-H-Contábil-R$'!D56/1000</f>
        <v>-28</v>
      </c>
      <c r="E56" s="20">
        <f>'DRE-H-Contábil-R$'!E56/1000</f>
        <v>-28</v>
      </c>
      <c r="F56" s="20">
        <f>'DRE-H-Contábil-R$'!F56/1000</f>
        <v>-28</v>
      </c>
      <c r="G56" s="20">
        <f>'DRE-H-Contábil-R$'!G56/1000</f>
        <v>-28</v>
      </c>
      <c r="H56" s="20">
        <f>'DRE-H-Contábil-R$'!H56/1000</f>
        <v>-28</v>
      </c>
      <c r="I56" s="20">
        <f>'DRE-H-Contábil-R$'!I56/1000</f>
        <v>-28</v>
      </c>
      <c r="J56" s="20">
        <f>'DRE-H-Contábil-R$'!J56/1000</f>
        <v>-28</v>
      </c>
      <c r="K56" s="20">
        <f>'DRE-H-Contábil-R$'!K56/1000</f>
        <v>-28</v>
      </c>
      <c r="L56" s="20">
        <f>'DRE-H-Contábil-R$'!L56/1000</f>
        <v>-28</v>
      </c>
      <c r="M56" s="20">
        <f>'DRE-H-Contábil-R$'!M56/1000</f>
        <v>-28</v>
      </c>
      <c r="N56" s="193">
        <f>'DRE-H-Contábil-R$'!N56/1000</f>
        <v>-28</v>
      </c>
      <c r="O56" s="191">
        <f t="shared" si="13"/>
        <v>-336</v>
      </c>
    </row>
    <row r="57" spans="1:15" outlineLevel="1" x14ac:dyDescent="0.2">
      <c r="A57" s="3"/>
      <c r="B57" s="66" t="s">
        <v>68</v>
      </c>
      <c r="C57" s="20">
        <f>'DRE-H-Contábil-R$'!C57/1000</f>
        <v>0</v>
      </c>
      <c r="D57" s="20">
        <f>'DRE-H-Contábil-R$'!D57/1000</f>
        <v>0</v>
      </c>
      <c r="E57" s="20">
        <f>'DRE-H-Contábil-R$'!E57/1000</f>
        <v>0</v>
      </c>
      <c r="F57" s="20">
        <f>'DRE-H-Contábil-R$'!F57/1000</f>
        <v>0</v>
      </c>
      <c r="G57" s="20">
        <f>'DRE-H-Contábil-R$'!G57/1000</f>
        <v>0</v>
      </c>
      <c r="H57" s="20">
        <f>'DRE-H-Contábil-R$'!H57/1000</f>
        <v>0</v>
      </c>
      <c r="I57" s="20">
        <f>'DRE-H-Contábil-R$'!I57/1000</f>
        <v>0</v>
      </c>
      <c r="J57" s="20">
        <f>'DRE-H-Contábil-R$'!J57/1000</f>
        <v>0</v>
      </c>
      <c r="K57" s="20">
        <f>'DRE-H-Contábil-R$'!K57/1000</f>
        <v>0</v>
      </c>
      <c r="L57" s="20">
        <f>'DRE-H-Contábil-R$'!L57/1000</f>
        <v>0</v>
      </c>
      <c r="M57" s="20">
        <f>'DRE-H-Contábil-R$'!M57/1000</f>
        <v>0</v>
      </c>
      <c r="N57" s="193">
        <f>'DRE-H-Contábil-R$'!N57/1000</f>
        <v>0</v>
      </c>
      <c r="O57" s="191">
        <f t="shared" si="13"/>
        <v>0</v>
      </c>
    </row>
    <row r="58" spans="1:15" outlineLevel="1" x14ac:dyDescent="0.2">
      <c r="A58" s="3"/>
      <c r="B58" s="66" t="s">
        <v>69</v>
      </c>
      <c r="C58" s="20">
        <f>'DRE-H-Contábil-R$'!C58/1000</f>
        <v>-1.80375</v>
      </c>
      <c r="D58" s="20">
        <f>'DRE-H-Contábil-R$'!D58/1000</f>
        <v>-1.80375</v>
      </c>
      <c r="E58" s="20">
        <f>'DRE-H-Contábil-R$'!E58/1000</f>
        <v>-1.80375</v>
      </c>
      <c r="F58" s="20">
        <f>'DRE-H-Contábil-R$'!F58/1000</f>
        <v>-1.80375</v>
      </c>
      <c r="G58" s="20">
        <f>'DRE-H-Contábil-R$'!G58/1000</f>
        <v>-1.80375</v>
      </c>
      <c r="H58" s="20">
        <f>'DRE-H-Contábil-R$'!H58/1000</f>
        <v>-1.80375</v>
      </c>
      <c r="I58" s="20">
        <f>'DRE-H-Contábil-R$'!I58/1000</f>
        <v>-1.80375</v>
      </c>
      <c r="J58" s="20">
        <f>'DRE-H-Contábil-R$'!J58/1000</f>
        <v>-1.80375</v>
      </c>
      <c r="K58" s="20">
        <f>'DRE-H-Contábil-R$'!K58/1000</f>
        <v>-1.80375</v>
      </c>
      <c r="L58" s="20">
        <f>'DRE-H-Contábil-R$'!L58/1000</f>
        <v>-1.80375</v>
      </c>
      <c r="M58" s="20">
        <f>'DRE-H-Contábil-R$'!M58/1000</f>
        <v>-1.80375</v>
      </c>
      <c r="N58" s="193">
        <f>'DRE-H-Contábil-R$'!N58/1000</f>
        <v>-1.80375</v>
      </c>
      <c r="O58" s="191">
        <f t="shared" si="13"/>
        <v>-21.645000000000007</v>
      </c>
    </row>
    <row r="59" spans="1:15" ht="13.5" outlineLevel="1" thickBot="1" x14ac:dyDescent="0.25">
      <c r="A59" s="3"/>
      <c r="B59" s="66" t="s">
        <v>70</v>
      </c>
      <c r="C59" s="34">
        <f>'DRE-H-Contábil-R$'!C59/1000</f>
        <v>0</v>
      </c>
      <c r="D59" s="34">
        <f>'DRE-H-Contábil-R$'!D59/1000</f>
        <v>0</v>
      </c>
      <c r="E59" s="34">
        <f>'DRE-H-Contábil-R$'!E59/1000</f>
        <v>0</v>
      </c>
      <c r="F59" s="34">
        <f>'DRE-H-Contábil-R$'!F59/1000</f>
        <v>0</v>
      </c>
      <c r="G59" s="34">
        <f>'DRE-H-Contábil-R$'!G59/1000</f>
        <v>0</v>
      </c>
      <c r="H59" s="34">
        <f>'DRE-H-Contábil-R$'!H59/1000</f>
        <v>0</v>
      </c>
      <c r="I59" s="34">
        <f>'DRE-H-Contábil-R$'!I59/1000</f>
        <v>0</v>
      </c>
      <c r="J59" s="34">
        <f>'DRE-H-Contábil-R$'!J59/1000</f>
        <v>0</v>
      </c>
      <c r="K59" s="34">
        <f>'DRE-H-Contábil-R$'!K59/1000</f>
        <v>0</v>
      </c>
      <c r="L59" s="34">
        <f>'DRE-H-Contábil-R$'!L59/1000</f>
        <v>0</v>
      </c>
      <c r="M59" s="34">
        <f>'DRE-H-Contábil-R$'!M59/1000</f>
        <v>0</v>
      </c>
      <c r="N59" s="197">
        <f>'DRE-H-Contábil-R$'!N59/1000</f>
        <v>0</v>
      </c>
      <c r="O59" s="191">
        <f t="shared" si="13"/>
        <v>0</v>
      </c>
    </row>
    <row r="60" spans="1:15" ht="14.25" thickTop="1" thickBot="1" x14ac:dyDescent="0.25">
      <c r="A60" s="3"/>
      <c r="B60" s="40" t="s">
        <v>71</v>
      </c>
      <c r="C60" s="41">
        <f>C49+C50+C53-1</f>
        <v>-257.87862508752704</v>
      </c>
      <c r="D60" s="41">
        <f>D49+D50+D53+1</f>
        <v>-587.6882955619792</v>
      </c>
      <c r="E60" s="41">
        <f t="shared" ref="E60:M60" si="18">E49+E50+E53</f>
        <v>-240.02900209118815</v>
      </c>
      <c r="F60" s="41">
        <f t="shared" si="18"/>
        <v>-257.11112591555803</v>
      </c>
      <c r="G60" s="41">
        <f t="shared" si="18"/>
        <v>58.620812870651946</v>
      </c>
      <c r="H60" s="41">
        <f>H49+H50+H53+1</f>
        <v>-90.294072983495937</v>
      </c>
      <c r="I60" s="41">
        <f t="shared" si="18"/>
        <v>117.33795778788129</v>
      </c>
      <c r="J60" s="41">
        <f t="shared" si="18"/>
        <v>206.00711361895776</v>
      </c>
      <c r="K60" s="41">
        <f t="shared" si="18"/>
        <v>206.57986456612338</v>
      </c>
      <c r="L60" s="41">
        <f t="shared" si="18"/>
        <v>493.6954853479487</v>
      </c>
      <c r="M60" s="41">
        <f t="shared" si="18"/>
        <v>713.82117995658427</v>
      </c>
      <c r="N60" s="228">
        <f>N49+N50+N53+1</f>
        <v>865.06807578589928</v>
      </c>
      <c r="O60" s="200">
        <f>SUM(C60:N60)</f>
        <v>1228.1293682942985</v>
      </c>
    </row>
    <row r="61" spans="1:15" ht="13.5" outlineLevel="1" thickTop="1" x14ac:dyDescent="0.2">
      <c r="A61" s="3"/>
      <c r="B61" s="68" t="s">
        <v>72</v>
      </c>
      <c r="C61" s="20">
        <f>'DRE-H-Contábil-R$'!C61/1000</f>
        <v>0</v>
      </c>
      <c r="D61" s="20">
        <f>'DRE-H-Contábil-R$'!D61/1000</f>
        <v>0</v>
      </c>
      <c r="E61" s="20">
        <f>'DRE-H-Contábil-R$'!E61/1000</f>
        <v>0</v>
      </c>
      <c r="F61" s="20">
        <f>'DRE-H-Contábil-R$'!F61/1000</f>
        <v>0</v>
      </c>
      <c r="G61" s="20">
        <f>'DRE-H-Contábil-R$'!G61/1000</f>
        <v>0</v>
      </c>
      <c r="H61" s="20">
        <f>'DRE-H-Contábil-R$'!H61/1000</f>
        <v>0</v>
      </c>
      <c r="I61" s="20">
        <f>'DRE-H-Contábil-R$'!I61/1000</f>
        <v>0</v>
      </c>
      <c r="J61" s="20">
        <f>'DRE-H-Contábil-R$'!J61/1000</f>
        <v>0</v>
      </c>
      <c r="K61" s="20">
        <f>'DRE-H-Contábil-R$'!K61/1000</f>
        <v>0</v>
      </c>
      <c r="L61" s="20">
        <f>'DRE-H-Contábil-R$'!L61/1000</f>
        <v>0</v>
      </c>
      <c r="M61" s="20">
        <f>'DRE-H-Contábil-R$'!M61/1000</f>
        <v>22.566330781775044</v>
      </c>
      <c r="N61" s="193">
        <f>'DRE-H-Contábil-R$'!N61/1000</f>
        <v>54.004254736618762</v>
      </c>
      <c r="O61" s="191">
        <f t="shared" si="13"/>
        <v>76.570585518393813</v>
      </c>
    </row>
    <row r="62" spans="1:15" ht="13.5" outlineLevel="1" thickBot="1" x14ac:dyDescent="0.25">
      <c r="A62" s="3"/>
      <c r="B62" s="68" t="s">
        <v>73</v>
      </c>
      <c r="C62" s="20">
        <f>'DRE-H-Contábil-R$'!C62/1000</f>
        <v>0</v>
      </c>
      <c r="D62" s="20">
        <f>'DRE-H-Contábil-R$'!D62/1000</f>
        <v>0</v>
      </c>
      <c r="E62" s="20">
        <f>'DRE-H-Contábil-R$'!E62/1000</f>
        <v>0</v>
      </c>
      <c r="F62" s="20">
        <f>'DRE-H-Contábil-R$'!F62/1000</f>
        <v>0</v>
      </c>
      <c r="G62" s="20">
        <f>'DRE-H-Contábil-R$'!G62/1000</f>
        <v>0</v>
      </c>
      <c r="H62" s="20">
        <f>'DRE-H-Contábil-R$'!H62/1000</f>
        <v>0</v>
      </c>
      <c r="I62" s="20">
        <f>'DRE-H-Contábil-R$'!I62/1000</f>
        <v>0</v>
      </c>
      <c r="J62" s="20">
        <f>'DRE-H-Contábil-R$'!J62/1000</f>
        <v>0</v>
      </c>
      <c r="K62" s="20">
        <f>'DRE-H-Contábil-R$'!K62/1000</f>
        <v>0</v>
      </c>
      <c r="L62" s="20">
        <f>'DRE-H-Contábil-R$'!L62/1000</f>
        <v>0</v>
      </c>
      <c r="M62" s="20">
        <f>'DRE-H-Contábil-R$'!M62/1000</f>
        <v>8.1238790814390143</v>
      </c>
      <c r="N62" s="193">
        <f>'DRE-H-Contábil-R$'!N62/1000</f>
        <v>19.441531705182754</v>
      </c>
      <c r="O62" s="191">
        <f t="shared" si="13"/>
        <v>27.565410786621769</v>
      </c>
    </row>
    <row r="63" spans="1:15" ht="14.25" thickTop="1" thickBot="1" x14ac:dyDescent="0.25">
      <c r="A63" s="3"/>
      <c r="B63" s="40" t="s">
        <v>82</v>
      </c>
      <c r="C63" s="41">
        <f t="shared" ref="C63:N63" si="19">C60+SUM(C61:C62)</f>
        <v>-257.87862508752704</v>
      </c>
      <c r="D63" s="41">
        <f t="shared" si="19"/>
        <v>-587.6882955619792</v>
      </c>
      <c r="E63" s="41">
        <f t="shared" si="19"/>
        <v>-240.02900209118815</v>
      </c>
      <c r="F63" s="41">
        <f t="shared" si="19"/>
        <v>-257.11112591555803</v>
      </c>
      <c r="G63" s="41">
        <f t="shared" si="19"/>
        <v>58.620812870651946</v>
      </c>
      <c r="H63" s="41">
        <f t="shared" si="19"/>
        <v>-90.294072983495937</v>
      </c>
      <c r="I63" s="41">
        <f t="shared" si="19"/>
        <v>117.33795778788129</v>
      </c>
      <c r="J63" s="41">
        <f t="shared" si="19"/>
        <v>206.00711361895776</v>
      </c>
      <c r="K63" s="41">
        <f t="shared" si="19"/>
        <v>206.57986456612338</v>
      </c>
      <c r="L63" s="41">
        <f t="shared" si="19"/>
        <v>493.6954853479487</v>
      </c>
      <c r="M63" s="41">
        <f t="shared" si="19"/>
        <v>744.5113898197983</v>
      </c>
      <c r="N63" s="41">
        <f t="shared" si="19"/>
        <v>938.51386222770077</v>
      </c>
      <c r="O63" s="200">
        <f>SUM(C63:N63)</f>
        <v>1332.2653645993139</v>
      </c>
    </row>
    <row r="64" spans="1:15" ht="14.25" thickTop="1" thickBot="1" x14ac:dyDescent="0.25">
      <c r="A64" s="3"/>
      <c r="B64" s="70" t="s">
        <v>75</v>
      </c>
      <c r="C64" s="229">
        <f>'DRE-H-Contábil-R$'!C64/1000</f>
        <v>268.41099574074076</v>
      </c>
      <c r="D64" s="229">
        <f>'DRE-H-Contábil-R$'!D64/1000</f>
        <v>268.41099574074076</v>
      </c>
      <c r="E64" s="229">
        <f>'DRE-H-Contábil-R$'!E64/1000</f>
        <v>268.41099574074076</v>
      </c>
      <c r="F64" s="229">
        <f>'DRE-H-Contábil-R$'!F64/1000</f>
        <v>268.41099574074076</v>
      </c>
      <c r="G64" s="229">
        <f>'DRE-H-Contábil-R$'!G64/1000</f>
        <v>268.41099574074076</v>
      </c>
      <c r="H64" s="229">
        <f>'DRE-H-Contábil-R$'!H64/1000</f>
        <v>268.41099574074076</v>
      </c>
      <c r="I64" s="229">
        <f>'DRE-H-Contábil-R$'!I64/1000</f>
        <v>268.41099574074076</v>
      </c>
      <c r="J64" s="229">
        <f>'DRE-H-Contábil-R$'!J64/1000</f>
        <v>268.41099574074076</v>
      </c>
      <c r="K64" s="229">
        <f>'DRE-H-Contábil-R$'!K64/1000</f>
        <v>268.41099574074076</v>
      </c>
      <c r="L64" s="229">
        <f>'DRE-H-Contábil-R$'!L64/1000</f>
        <v>268.41099574074076</v>
      </c>
      <c r="M64" s="229">
        <f>'DRE-H-Contábil-R$'!M64/1000</f>
        <v>268.41099574074076</v>
      </c>
      <c r="N64" s="197">
        <f>'DRE-H-Contábil-R$'!N64/1000</f>
        <v>268.41099574074076</v>
      </c>
      <c r="O64" s="189">
        <f t="shared" si="13"/>
        <v>3220.93194888889</v>
      </c>
    </row>
    <row r="65" spans="1:15" ht="13.5" thickTop="1" x14ac:dyDescent="0.2">
      <c r="A65" s="3"/>
      <c r="B65" s="71" t="s">
        <v>76</v>
      </c>
      <c r="C65" s="230">
        <f>C49+C64-1</f>
        <v>306.99081840321367</v>
      </c>
      <c r="D65" s="72">
        <f>D49+D64+1</f>
        <v>-6.7427572760301473</v>
      </c>
      <c r="E65" s="72">
        <f>E49+E64+1</f>
        <v>352.51550609294134</v>
      </c>
      <c r="F65" s="72">
        <f>F49+F64-1</f>
        <v>305.10693485782451</v>
      </c>
      <c r="G65" s="72">
        <f>G49+G64+1</f>
        <v>640.75284661505827</v>
      </c>
      <c r="H65" s="72">
        <f>H49+H64+1</f>
        <v>501.56456190759843</v>
      </c>
      <c r="I65" s="72">
        <f t="shared" ref="I65:N65" si="20">I49+I64</f>
        <v>682.63145989901943</v>
      </c>
      <c r="J65" s="72">
        <f t="shared" si="20"/>
        <v>793.40145702558982</v>
      </c>
      <c r="K65" s="72">
        <f t="shared" si="20"/>
        <v>790.79045145080647</v>
      </c>
      <c r="L65" s="72">
        <f t="shared" si="20"/>
        <v>1058.9752361059714</v>
      </c>
      <c r="M65" s="72">
        <f t="shared" si="20"/>
        <v>1291.2521733022077</v>
      </c>
      <c r="N65" s="231">
        <f t="shared" si="20"/>
        <v>1428.1415288592179</v>
      </c>
      <c r="O65" s="232">
        <f>SUM(C65:N65)</f>
        <v>8145.3802172434189</v>
      </c>
    </row>
    <row r="66" spans="1:15" x14ac:dyDescent="0.2">
      <c r="B66" s="74" t="s">
        <v>77</v>
      </c>
      <c r="C66" s="233">
        <f t="shared" ref="C66:M66" si="21">C60+C64</f>
        <v>10.532370653213718</v>
      </c>
      <c r="D66" s="75">
        <f>D60+D64-1</f>
        <v>-320.27729982123844</v>
      </c>
      <c r="E66" s="206">
        <f t="shared" si="21"/>
        <v>28.381993649552612</v>
      </c>
      <c r="F66" s="75">
        <f>F60+F64-1</f>
        <v>10.299869825182725</v>
      </c>
      <c r="G66" s="75">
        <f>G60+G64+1</f>
        <v>328.03180861139271</v>
      </c>
      <c r="H66" s="75">
        <f t="shared" si="21"/>
        <v>178.11692275724482</v>
      </c>
      <c r="I66" s="75">
        <f>I60+I64-1</f>
        <v>384.74895352862205</v>
      </c>
      <c r="J66" s="75">
        <f t="shared" si="21"/>
        <v>474.41810935969852</v>
      </c>
      <c r="K66" s="75">
        <f t="shared" si="21"/>
        <v>474.99086030686414</v>
      </c>
      <c r="L66" s="75">
        <f t="shared" si="21"/>
        <v>762.10648108868941</v>
      </c>
      <c r="M66" s="75">
        <f t="shared" si="21"/>
        <v>982.23217569732503</v>
      </c>
      <c r="N66" s="207">
        <f>N60+N64-1</f>
        <v>1132.4790715266399</v>
      </c>
      <c r="O66" s="212">
        <f>SUM(C66:N66)</f>
        <v>4446.0613171831874</v>
      </c>
    </row>
    <row r="67" spans="1:15" x14ac:dyDescent="0.2">
      <c r="A67" s="3"/>
      <c r="B67" s="76" t="s">
        <v>78</v>
      </c>
      <c r="C67" s="234">
        <f t="shared" ref="C67:O67" si="22">C65/C15</f>
        <v>3.5604921411688542E-2</v>
      </c>
      <c r="D67" s="77">
        <f t="shared" si="22"/>
        <v>-9.1924811441966006E-4</v>
      </c>
      <c r="E67" s="235">
        <f t="shared" si="22"/>
        <v>4.0222915057235416E-2</v>
      </c>
      <c r="F67" s="77">
        <f t="shared" si="22"/>
        <v>3.5869860451727145E-2</v>
      </c>
      <c r="G67" s="77">
        <f t="shared" si="22"/>
        <v>6.2775427352063651E-2</v>
      </c>
      <c r="H67" s="77">
        <f t="shared" si="22"/>
        <v>5.1604882975944948E-2</v>
      </c>
      <c r="I67" s="77">
        <f t="shared" si="22"/>
        <v>6.4737037501247111E-2</v>
      </c>
      <c r="J67" s="77">
        <f t="shared" si="22"/>
        <v>6.98497679762273E-2</v>
      </c>
      <c r="K67" s="77">
        <f t="shared" si="22"/>
        <v>6.9977071536228369E-2</v>
      </c>
      <c r="L67" s="77">
        <f t="shared" si="22"/>
        <v>8.5862573864359373E-2</v>
      </c>
      <c r="M67" s="77">
        <f t="shared" si="22"/>
        <v>9.5148563203839312E-2</v>
      </c>
      <c r="N67" s="236">
        <f t="shared" si="22"/>
        <v>0.10352227032631266</v>
      </c>
      <c r="O67" s="237">
        <f t="shared" si="22"/>
        <v>6.4616410148605752E-2</v>
      </c>
    </row>
    <row r="68" spans="1:15" x14ac:dyDescent="0.2">
      <c r="B68" s="76" t="s">
        <v>79</v>
      </c>
      <c r="C68" s="234">
        <f t="shared" ref="C68:O68" si="23">C66/C15</f>
        <v>1.2215486812830476E-3</v>
      </c>
      <c r="D68" s="77">
        <f t="shared" si="23"/>
        <v>-4.3663784991743372E-2</v>
      </c>
      <c r="E68" s="235">
        <f t="shared" si="23"/>
        <v>3.2384575997061616E-3</v>
      </c>
      <c r="F68" s="77">
        <f t="shared" si="23"/>
        <v>1.2109029690604062E-3</v>
      </c>
      <c r="G68" s="77">
        <f t="shared" si="23"/>
        <v>3.2137722180143005E-2</v>
      </c>
      <c r="H68" s="77">
        <f t="shared" si="23"/>
        <v>1.8326061394697182E-2</v>
      </c>
      <c r="I68" s="77">
        <f t="shared" si="23"/>
        <v>3.6487488339363258E-2</v>
      </c>
      <c r="J68" s="77">
        <f t="shared" si="23"/>
        <v>4.1766995219201568E-2</v>
      </c>
      <c r="K68" s="77">
        <f t="shared" si="23"/>
        <v>4.203195593695884E-2</v>
      </c>
      <c r="L68" s="77">
        <f t="shared" si="23"/>
        <v>6.1792213636274677E-2</v>
      </c>
      <c r="M68" s="77">
        <f t="shared" si="23"/>
        <v>7.2377791249849388E-2</v>
      </c>
      <c r="N68" s="236">
        <f t="shared" si="23"/>
        <v>8.2090466674629728E-2</v>
      </c>
      <c r="O68" s="238">
        <f t="shared" si="23"/>
        <v>3.5270118024543745E-2</v>
      </c>
    </row>
    <row r="69" spans="1:15" ht="13.5" thickBot="1" x14ac:dyDescent="0.25">
      <c r="A69" s="3"/>
      <c r="B69" s="80" t="s">
        <v>80</v>
      </c>
      <c r="C69" s="239">
        <f t="shared" ref="C69:O69" si="24">C49/C15</f>
        <v>4.5904841151795332E-3</v>
      </c>
      <c r="D69" s="81">
        <f t="shared" si="24"/>
        <v>-3.7648369407127409E-2</v>
      </c>
      <c r="E69" s="240">
        <f t="shared" si="24"/>
        <v>9.4824358162797946E-3</v>
      </c>
      <c r="F69" s="81">
        <f t="shared" si="24"/>
        <v>4.4317185918985374E-3</v>
      </c>
      <c r="G69" s="81">
        <f t="shared" si="24"/>
        <v>3.6380865891565965E-2</v>
      </c>
      <c r="H69" s="81">
        <f t="shared" si="24"/>
        <v>2.3885773685693657E-2</v>
      </c>
      <c r="I69" s="81">
        <f t="shared" si="24"/>
        <v>3.9282405364038202E-2</v>
      </c>
      <c r="J69" s="81">
        <f t="shared" si="24"/>
        <v>4.6219302454969531E-2</v>
      </c>
      <c r="K69" s="81">
        <f t="shared" si="24"/>
        <v>4.6225374211607176E-2</v>
      </c>
      <c r="L69" s="81">
        <f t="shared" si="24"/>
        <v>6.409959191537512E-2</v>
      </c>
      <c r="M69" s="81">
        <f t="shared" si="24"/>
        <v>7.5370148792709327E-2</v>
      </c>
      <c r="N69" s="241">
        <f t="shared" si="24"/>
        <v>8.4065854349232819E-2</v>
      </c>
      <c r="O69" s="242">
        <f t="shared" si="24"/>
        <v>3.9049243590857548E-2</v>
      </c>
    </row>
    <row r="70" spans="1:15" ht="13.5" thickTop="1" x14ac:dyDescent="0.2"/>
  </sheetData>
  <printOptions horizontalCentered="1" verticalCentered="1"/>
  <pageMargins left="0.19685039370078741" right="0" top="0.19685039370078741" bottom="0" header="0.23622047244094491" footer="0.15748031496062992"/>
  <pageSetup paperSize="9" scale="60" fitToWidth="0" orientation="portrait" r:id="rId1"/>
  <headerFooter alignWithMargins="0">
    <oddHeader>&amp;C&amp;"Verdana,Negrito"&amp;14Tintas Hidracor S/A - DRE H2017 Cenário Base em R$ mil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outlinePr summaryBelow="0"/>
  </sheetPr>
  <dimension ref="A1:AB84"/>
  <sheetViews>
    <sheetView showGridLines="0" tabSelected="1" topLeftCell="B1" zoomScaleNormal="100" zoomScaleSheetLayoutView="80" workbookViewId="0">
      <pane xSplit="1" ySplit="1" topLeftCell="C58" activePane="bottomRight" state="frozen"/>
      <selection activeCell="K64" sqref="K64"/>
      <selection pane="topRight" activeCell="K64" sqref="K64"/>
      <selection pane="bottomLeft" activeCell="K64" sqref="K64"/>
      <selection pane="bottomRight" activeCell="I58" sqref="I58"/>
    </sheetView>
  </sheetViews>
  <sheetFormatPr defaultRowHeight="12.75" outlineLevelRow="1" x14ac:dyDescent="0.2"/>
  <cols>
    <col min="1" max="1" width="0.140625" style="7" hidden="1" customWidth="1"/>
    <col min="2" max="2" width="47.140625" style="83" bestFit="1" customWidth="1"/>
    <col min="3" max="3" width="10.42578125" style="7" bestFit="1" customWidth="1"/>
    <col min="4" max="4" width="6.140625" style="7" bestFit="1" customWidth="1"/>
    <col min="5" max="5" width="10.42578125" style="7" bestFit="1" customWidth="1"/>
    <col min="6" max="6" width="6.140625" style="7" bestFit="1" customWidth="1"/>
    <col min="7" max="7" width="12.140625" style="7" bestFit="1" customWidth="1"/>
    <col min="8" max="8" width="6.140625" style="7" bestFit="1" customWidth="1"/>
    <col min="9" max="9" width="8.5703125" style="7" bestFit="1" customWidth="1"/>
    <col min="10" max="10" width="8" style="7" bestFit="1" customWidth="1"/>
    <col min="11" max="11" width="15.42578125" style="7" hidden="1" customWidth="1"/>
    <col min="12" max="12" width="7" style="7" hidden="1" customWidth="1"/>
    <col min="13" max="13" width="9.7109375" style="7" bestFit="1" customWidth="1"/>
    <col min="14" max="14" width="14.85546875" style="186" customWidth="1"/>
    <col min="15" max="15" width="1.28515625" style="7" customWidth="1"/>
    <col min="16" max="16" width="14.85546875" style="7" customWidth="1"/>
    <col min="17" max="17" width="1.28515625" style="7" customWidth="1"/>
    <col min="18" max="18" width="14.85546875" style="186" customWidth="1"/>
    <col min="19" max="19" width="1.28515625" style="7" customWidth="1"/>
    <col min="20" max="20" width="14.85546875" style="7" customWidth="1"/>
    <col min="21" max="21" width="5.7109375" style="7" customWidth="1"/>
    <col min="22" max="22" width="18.85546875" style="7" bestFit="1" customWidth="1"/>
    <col min="23" max="23" width="1.28515625" style="7" customWidth="1"/>
    <col min="24" max="24" width="18.85546875" style="7" customWidth="1"/>
    <col min="25" max="25" width="1.28515625" style="52" customWidth="1"/>
    <col min="26" max="26" width="18.85546875" style="7" bestFit="1" customWidth="1"/>
    <col min="27" max="27" width="1.28515625" style="7" customWidth="1"/>
    <col min="28" max="28" width="18.85546875" style="7" bestFit="1" customWidth="1"/>
    <col min="29" max="16384" width="9.140625" style="7"/>
  </cols>
  <sheetData>
    <row r="1" spans="1:28" s="254" customFormat="1" ht="33" thickTop="1" thickBot="1" x14ac:dyDescent="0.3">
      <c r="A1" s="250"/>
      <c r="B1" s="251" t="s">
        <v>83</v>
      </c>
      <c r="C1" s="263" t="s">
        <v>85</v>
      </c>
      <c r="D1" s="264" t="s">
        <v>84</v>
      </c>
      <c r="E1" s="263" t="s">
        <v>105</v>
      </c>
      <c r="F1" s="264" t="s">
        <v>84</v>
      </c>
      <c r="G1" s="252" t="s">
        <v>117</v>
      </c>
      <c r="H1" s="264" t="s">
        <v>84</v>
      </c>
      <c r="I1" s="263" t="s">
        <v>86</v>
      </c>
      <c r="J1" s="264" t="s">
        <v>84</v>
      </c>
      <c r="K1" s="252" t="s">
        <v>87</v>
      </c>
      <c r="L1" s="253" t="s">
        <v>84</v>
      </c>
      <c r="N1" s="1" t="s">
        <v>88</v>
      </c>
      <c r="P1" s="2" t="s">
        <v>89</v>
      </c>
      <c r="R1" s="1" t="s">
        <v>90</v>
      </c>
      <c r="T1" s="2" t="s">
        <v>91</v>
      </c>
      <c r="V1" s="2" t="s">
        <v>92</v>
      </c>
      <c r="X1" s="2" t="s">
        <v>93</v>
      </c>
      <c r="Z1" s="2" t="s">
        <v>94</v>
      </c>
      <c r="AB1" s="2" t="s">
        <v>95</v>
      </c>
    </row>
    <row r="2" spans="1:28" ht="14.25" thickTop="1" thickBot="1" x14ac:dyDescent="0.25">
      <c r="A2" s="87"/>
      <c r="B2" s="88" t="s">
        <v>16</v>
      </c>
      <c r="C2" s="89">
        <v>145443.79478312499</v>
      </c>
      <c r="D2" s="90">
        <f>(C2/C$15)*100</f>
        <v>135.73409113637578</v>
      </c>
      <c r="E2" s="89">
        <v>115114.47350000001</v>
      </c>
      <c r="F2" s="90">
        <f>(E2/E$15)*100</f>
        <v>132.79954233384578</v>
      </c>
      <c r="G2" s="89">
        <v>143208.48972674503</v>
      </c>
      <c r="H2" s="90">
        <f>(G2/G$15)*100</f>
        <v>133.4829663413029</v>
      </c>
      <c r="I2" s="265">
        <f>'DRE - H-Contabil'!O2</f>
        <v>169109.85061160784</v>
      </c>
      <c r="J2" s="90">
        <f>(I2/I$15)*100</f>
        <v>134.15299440726585</v>
      </c>
      <c r="K2" s="89"/>
      <c r="L2" s="90">
        <f t="shared" ref="L2:L65" si="0">IF(K2=0,0,(K2/K$15)*100)</f>
        <v>0</v>
      </c>
      <c r="N2" s="91">
        <f>IF(OR($I2=0,C2=0),0,($I2/C2)*100-100)</f>
        <v>16.271616031314309</v>
      </c>
      <c r="P2" s="91">
        <f>IF(OR($I2=0,E2=0),0,($I2/E2)*100-100)</f>
        <v>46.905810772446301</v>
      </c>
      <c r="R2" s="91">
        <f>IF(OR($I2=0,G2=0),0,($I2/G2)*100-100)</f>
        <v>18.086470246481184</v>
      </c>
      <c r="T2" s="91">
        <f>IF(OR($I2=0,K2=0),0,($I2/K2)*100-100)</f>
        <v>0</v>
      </c>
      <c r="V2" s="92">
        <f t="shared" ref="V2:V62" si="1">I2-C2</f>
        <v>23666.055828482844</v>
      </c>
      <c r="X2" s="92">
        <f t="shared" ref="X2:X65" si="2">I2-E2</f>
        <v>53995.377111607828</v>
      </c>
      <c r="Z2" s="92">
        <f t="shared" ref="Z2:Z65" si="3">I2-G2</f>
        <v>25901.360884862806</v>
      </c>
      <c r="AB2" s="92">
        <f>K2-I2</f>
        <v>-169109.85061160784</v>
      </c>
    </row>
    <row r="3" spans="1:28" ht="14.25" thickTop="1" thickBot="1" x14ac:dyDescent="0.25">
      <c r="A3" s="87"/>
      <c r="B3" s="93" t="s">
        <v>17</v>
      </c>
      <c r="C3" s="94">
        <f>SUM(C4:C5)</f>
        <v>-10909.574103437501</v>
      </c>
      <c r="D3" s="95">
        <f>(C3/C$15)*100</f>
        <v>-10.181260244365129</v>
      </c>
      <c r="E3" s="94">
        <f>SUM(E4:E5)</f>
        <v>-7918.8011796874998</v>
      </c>
      <c r="F3" s="95">
        <f>(E3/E$15)*100</f>
        <v>-9.1353688248004534</v>
      </c>
      <c r="G3" s="94">
        <f>SUM(G4:G5)</f>
        <v>-10868.19965426174</v>
      </c>
      <c r="H3" s="95">
        <f>(G3/G$15)*100</f>
        <v>-10.130122392942527</v>
      </c>
      <c r="I3" s="266">
        <f>SUM(I4:I5)</f>
        <v>-12817.53296980431</v>
      </c>
      <c r="J3" s="95">
        <f>(I3/I$15)*100</f>
        <v>-10.168008679531496</v>
      </c>
      <c r="K3" s="96">
        <f>SUM(K4:K5)</f>
        <v>0</v>
      </c>
      <c r="L3" s="95">
        <f t="shared" si="0"/>
        <v>0</v>
      </c>
      <c r="N3" s="97">
        <f>-IF(OR($I3=0,C3=0),0,($I3/C3-1)*100)</f>
        <v>-17.488848311371118</v>
      </c>
      <c r="P3" s="97">
        <f>-IF(OR($I3=0,E3=0),0,($I3/E3-1)*100)</f>
        <v>-61.862037939310021</v>
      </c>
      <c r="R3" s="97">
        <f>-IF(OR($I3=0,G3=0),0,($I3/G3-1)*100)</f>
        <v>-17.936119850155485</v>
      </c>
      <c r="T3" s="97">
        <f>-IF(OR($I3=0,K3=0),0,($I3/K3-1)*100)</f>
        <v>0</v>
      </c>
      <c r="V3" s="98">
        <f t="shared" si="1"/>
        <v>-1907.9588663668092</v>
      </c>
      <c r="X3" s="98">
        <f t="shared" si="2"/>
        <v>-4898.7317901168099</v>
      </c>
      <c r="Z3" s="98">
        <f t="shared" si="3"/>
        <v>-1949.3333155425698</v>
      </c>
      <c r="AB3" s="98">
        <f>K3-I3</f>
        <v>12817.53296980431</v>
      </c>
    </row>
    <row r="4" spans="1:28" ht="13.5" outlineLevel="1" thickTop="1" x14ac:dyDescent="0.2">
      <c r="A4" s="3"/>
      <c r="B4" s="99" t="s">
        <v>18</v>
      </c>
      <c r="C4" s="100">
        <v>-1123.3544609374999</v>
      </c>
      <c r="D4" s="101">
        <f>(C4/C$15)*100</f>
        <v>-1.0483602755738601</v>
      </c>
      <c r="E4" s="100">
        <v>-871.88627343749999</v>
      </c>
      <c r="F4" s="102">
        <f>(E4/E$15)*100</f>
        <v>-1.0058344060415854</v>
      </c>
      <c r="G4" s="100">
        <v>-1155.2095586292144</v>
      </c>
      <c r="H4" s="102">
        <f>(G4/G$15)*100</f>
        <v>-1.0767573830705435</v>
      </c>
      <c r="I4" s="267">
        <f>'DRE - H-Contabil'!O4</f>
        <v>-1353.4914707780188</v>
      </c>
      <c r="J4" s="101">
        <f>(I4/I$15)*100</f>
        <v>-1.0737099764021796</v>
      </c>
      <c r="K4" s="100"/>
      <c r="L4" s="101">
        <f t="shared" si="0"/>
        <v>0</v>
      </c>
      <c r="N4" s="104">
        <f>-IF(OR($I4=0,C4=0),0,($I4/C4-1)*100)</f>
        <v>-20.486588858912548</v>
      </c>
      <c r="P4" s="104">
        <f>-IF(OR($I4=0,E4=0),0,($I4/E4-1)*100)</f>
        <v>-55.237157874012802</v>
      </c>
      <c r="R4" s="104">
        <f>-IF(OR($I4=0,G4=0),0,($I4/G4-1)*100)</f>
        <v>-17.164150925489928</v>
      </c>
      <c r="T4" s="104">
        <f>-IF(OR($I4=0,K4=0),0,($I4/K4-1)*100)</f>
        <v>0</v>
      </c>
      <c r="V4" s="100">
        <f t="shared" si="1"/>
        <v>-230.13700984051889</v>
      </c>
      <c r="X4" s="100">
        <f t="shared" si="2"/>
        <v>-481.60519734051877</v>
      </c>
      <c r="Z4" s="100">
        <f t="shared" si="3"/>
        <v>-198.28191214880439</v>
      </c>
      <c r="AB4" s="100">
        <f>K4-I4</f>
        <v>1353.4914707780188</v>
      </c>
    </row>
    <row r="5" spans="1:28" ht="13.5" outlineLevel="1" thickBot="1" x14ac:dyDescent="0.25">
      <c r="A5" s="3"/>
      <c r="B5" s="99" t="s">
        <v>19</v>
      </c>
      <c r="C5" s="100">
        <v>-9786.2196425000002</v>
      </c>
      <c r="D5" s="101">
        <f>(C5/C$15)*100</f>
        <v>-9.1328999687912678</v>
      </c>
      <c r="E5" s="100">
        <v>-7046.9149062500001</v>
      </c>
      <c r="F5" s="101">
        <f>(E5/E$15)*100</f>
        <v>-8.129534418758869</v>
      </c>
      <c r="G5" s="100">
        <v>-9712.9900956325255</v>
      </c>
      <c r="H5" s="101">
        <f>(G5/G$15)*100</f>
        <v>-9.0533650098719836</v>
      </c>
      <c r="I5" s="268">
        <f>'DRE - H-Contabil'!O5</f>
        <v>-11464.041499026291</v>
      </c>
      <c r="J5" s="101">
        <f>(I5/I$15)*100</f>
        <v>-9.094298703129315</v>
      </c>
      <c r="K5" s="100"/>
      <c r="L5" s="101">
        <f t="shared" si="0"/>
        <v>0</v>
      </c>
      <c r="N5" s="106">
        <f>-IF(OR($I5=0,C5=0),0,($I5/C5)*100-100)</f>
        <v>-17.144739417453664</v>
      </c>
      <c r="P5" s="106">
        <f>-IF(OR($I5=0,E5=0),0,($I5/E5)*100-100)</f>
        <v>-62.681707549195522</v>
      </c>
      <c r="R5" s="106">
        <f>-IF(OR($I5=0,G5=0),0,($I5/G5)*100-100)</f>
        <v>-18.027933583306449</v>
      </c>
      <c r="T5" s="106">
        <f>-IF(OR($I5=0,K5=0),0,($I5/K5)*100-100)</f>
        <v>0</v>
      </c>
      <c r="V5" s="100">
        <f t="shared" si="1"/>
        <v>-1677.8218565262905</v>
      </c>
      <c r="X5" s="100">
        <f t="shared" si="2"/>
        <v>-4417.1265927762906</v>
      </c>
      <c r="Z5" s="100">
        <f t="shared" si="3"/>
        <v>-1751.0514033937652</v>
      </c>
      <c r="AB5" s="100">
        <f>K5-I5</f>
        <v>11464.041499026291</v>
      </c>
    </row>
    <row r="6" spans="1:28" s="31" customFormat="1" ht="14.25" thickTop="1" thickBot="1" x14ac:dyDescent="0.25">
      <c r="A6" s="3"/>
      <c r="B6" s="107" t="s">
        <v>20</v>
      </c>
      <c r="C6" s="108">
        <f>C2+C3</f>
        <v>134534.22067968748</v>
      </c>
      <c r="D6" s="109">
        <f>(C6/C$15)*100</f>
        <v>125.55283089201063</v>
      </c>
      <c r="E6" s="108">
        <f>E2+E3</f>
        <v>107195.6723203125</v>
      </c>
      <c r="F6" s="109">
        <f>(E6/E$15)*100</f>
        <v>123.66417350904533</v>
      </c>
      <c r="G6" s="108">
        <f>G2+G3</f>
        <v>132340.2900724833</v>
      </c>
      <c r="H6" s="109">
        <f>(G6/G$15)*100</f>
        <v>123.35284394836039</v>
      </c>
      <c r="I6" s="108">
        <f>I2+I3</f>
        <v>156292.31764180353</v>
      </c>
      <c r="J6" s="109">
        <f>(I6/I$15)*100</f>
        <v>123.98498572773435</v>
      </c>
      <c r="K6" s="108">
        <f>K2+K3</f>
        <v>0</v>
      </c>
      <c r="L6" s="109">
        <f t="shared" si="0"/>
        <v>0</v>
      </c>
      <c r="M6" s="287"/>
      <c r="N6" s="111">
        <f>IF(OR($I6=0,C6=0),0,($I6/C6)*100-100)</f>
        <v>16.172908909116799</v>
      </c>
      <c r="O6" s="110"/>
      <c r="P6" s="111">
        <f>IF(OR($I6=0,E6=0),0,($I6/E6)*100-100)</f>
        <v>45.800958433083792</v>
      </c>
      <c r="Q6" s="110"/>
      <c r="R6" s="111">
        <f>IF(OR($I6=0,G6=0),0,($I6/G6)*100-100)</f>
        <v>18.098817492542608</v>
      </c>
      <c r="S6" s="110"/>
      <c r="T6" s="111">
        <f>IF(OR($I6=0,K6=0),0,($I6/K6)*100-100)</f>
        <v>0</v>
      </c>
      <c r="U6" s="110"/>
      <c r="V6" s="112">
        <f t="shared" si="1"/>
        <v>21758.096962116048</v>
      </c>
      <c r="W6" s="110"/>
      <c r="X6" s="112">
        <f t="shared" si="2"/>
        <v>49096.645321491029</v>
      </c>
      <c r="Y6" s="60"/>
      <c r="Z6" s="112">
        <f t="shared" si="3"/>
        <v>23952.027569320227</v>
      </c>
      <c r="AB6" s="112">
        <f>K6-I6</f>
        <v>-156292.31764180353</v>
      </c>
    </row>
    <row r="7" spans="1:28" s="117" customFormat="1" ht="14.25" thickTop="1" thickBot="1" x14ac:dyDescent="0.25">
      <c r="A7" s="113"/>
      <c r="B7" s="114" t="s">
        <v>21</v>
      </c>
      <c r="C7" s="115">
        <f>SUM(C8:C14)</f>
        <v>-27380.746143217773</v>
      </c>
      <c r="D7" s="116">
        <f>(C7/C15)*100</f>
        <v>-25.552830892010629</v>
      </c>
      <c r="E7" s="115">
        <f>SUM(E8:E14)</f>
        <v>-20512.788119843754</v>
      </c>
      <c r="F7" s="116">
        <f>(E7/E15)*100</f>
        <v>-23.664173509045316</v>
      </c>
      <c r="G7" s="115">
        <f>SUM(G8:G14)</f>
        <v>-25054.324190832958</v>
      </c>
      <c r="H7" s="116">
        <f>(G7/G15)*100</f>
        <v>-23.352843948360377</v>
      </c>
      <c r="I7" s="269">
        <f>SUM(I8:I14)</f>
        <v>-30234.862600420794</v>
      </c>
      <c r="J7" s="116">
        <f>(I7/I15)*100</f>
        <v>-23.984985727734351</v>
      </c>
      <c r="K7" s="115"/>
      <c r="L7" s="116">
        <f t="shared" si="0"/>
        <v>0</v>
      </c>
      <c r="N7" s="118">
        <f>-IF(OR($I7=0,C7=0),0,($I7/C7)*100-100)</f>
        <v>-10.423808183583731</v>
      </c>
      <c r="P7" s="118">
        <f>-IF(OR($I7=0,E7=0),0,($I7/E7)*100-100)</f>
        <v>-47.395187937285129</v>
      </c>
      <c r="R7" s="118">
        <f>-IF(OR($I7=0,G7=0),0,($I7/G7)*100-100)</f>
        <v>-20.677222702671514</v>
      </c>
      <c r="T7" s="118">
        <f>-IF(OR($I7=0,K7=0),0,($I7/K7)*100-100)</f>
        <v>0</v>
      </c>
      <c r="V7" s="115">
        <f t="shared" si="1"/>
        <v>-2854.1164572030211</v>
      </c>
      <c r="X7" s="115">
        <f t="shared" si="2"/>
        <v>-9722.074480577041</v>
      </c>
      <c r="Y7" s="119"/>
      <c r="Z7" s="115">
        <f t="shared" si="3"/>
        <v>-5180.5384095878362</v>
      </c>
      <c r="AB7" s="115">
        <f t="shared" ref="AB7:AB65" si="4">K7-I7</f>
        <v>30234.862600420794</v>
      </c>
    </row>
    <row r="8" spans="1:28" ht="13.5" outlineLevel="1" thickTop="1" x14ac:dyDescent="0.2">
      <c r="A8" s="3"/>
      <c r="B8" s="99" t="s">
        <v>22</v>
      </c>
      <c r="C8" s="100">
        <v>-17345.823874999998</v>
      </c>
      <c r="D8" s="120">
        <f t="shared" ref="D8:D14" si="5">(C8/C$15)*100</f>
        <v>-16.187831472600866</v>
      </c>
      <c r="E8" s="100">
        <v>-14307.400375000001</v>
      </c>
      <c r="F8" s="102">
        <f t="shared" ref="F8:F14" si="6">(E8/E$15)*100</f>
        <v>-16.50545030540485</v>
      </c>
      <c r="G8" s="100">
        <v>-17664.796147103913</v>
      </c>
      <c r="H8" s="102">
        <f t="shared" ref="H8:H14" si="7">(G8/G$15)*100</f>
        <v>-16.465150872193632</v>
      </c>
      <c r="I8" s="267">
        <f>'DRE - H-Contabil'!O8</f>
        <v>-20610.393899266084</v>
      </c>
      <c r="J8" s="101">
        <f t="shared" ref="J8:J14" si="8">(I8/I$15)*100</f>
        <v>-16.350000000000005</v>
      </c>
      <c r="K8" s="100"/>
      <c r="L8" s="101">
        <f t="shared" si="0"/>
        <v>0</v>
      </c>
      <c r="N8" s="121">
        <f>-IF(OR($I8=0,C8=0),0,($I8/C8)*100-100)</f>
        <v>-18.820495629332484</v>
      </c>
      <c r="P8" s="121">
        <f>-IF(OR($I8=0,E8=0),0,($I8/E8)*100-100)</f>
        <v>-44.05407942088209</v>
      </c>
      <c r="R8" s="121">
        <f>-IF(OR($I8=0,G8=0),0,($I8/G8)*100-100)</f>
        <v>-16.674960342778107</v>
      </c>
      <c r="T8" s="121">
        <f>-IF(OR($I8=0,K8=0),0,($I8/K8)*100-100)</f>
        <v>0</v>
      </c>
      <c r="V8" s="100">
        <f t="shared" si="1"/>
        <v>-3264.570024266086</v>
      </c>
      <c r="X8" s="100">
        <f t="shared" si="2"/>
        <v>-6302.9935242660831</v>
      </c>
      <c r="Z8" s="100">
        <f t="shared" si="3"/>
        <v>-2945.5977521621717</v>
      </c>
      <c r="AB8" s="100">
        <f t="shared" si="4"/>
        <v>20610.393899266084</v>
      </c>
    </row>
    <row r="9" spans="1:28" outlineLevel="1" x14ac:dyDescent="0.2">
      <c r="A9" s="3"/>
      <c r="B9" s="99" t="s">
        <v>23</v>
      </c>
      <c r="C9" s="100">
        <v>2710.5754449462893</v>
      </c>
      <c r="D9" s="101">
        <f t="shared" si="5"/>
        <v>2.5296197409107291</v>
      </c>
      <c r="E9" s="100">
        <v>4536.8849062500003</v>
      </c>
      <c r="F9" s="102">
        <f t="shared" si="6"/>
        <v>5.2338878062221497</v>
      </c>
      <c r="G9" s="100">
        <v>5390.302474084825</v>
      </c>
      <c r="H9" s="102">
        <f t="shared" si="7"/>
        <v>5.0242381934940061</v>
      </c>
      <c r="I9" s="267">
        <f>'DRE - H-Contabil'!O9</f>
        <v>5710.4027133746395</v>
      </c>
      <c r="J9" s="101">
        <f t="shared" si="8"/>
        <v>4.5300000000000011</v>
      </c>
      <c r="K9" s="100"/>
      <c r="L9" s="101">
        <f t="shared" si="0"/>
        <v>0</v>
      </c>
      <c r="N9" s="121">
        <f>IF(OR($I9=0,C9=0),0,($I9/C9)*100-100)</f>
        <v>110.67123307788219</v>
      </c>
      <c r="P9" s="121">
        <f>IF(OR($I9=0,E9=0),0,($I9/E9)*100-100)</f>
        <v>25.866157757451688</v>
      </c>
      <c r="R9" s="121">
        <f>IF(OR($I9=0,G9=0),0,($I9/G9)*100-100)</f>
        <v>5.9384466980985593</v>
      </c>
      <c r="T9" s="121">
        <f>IF(OR($I9=0,K9=0),0,($I9/K9)*100-100)</f>
        <v>0</v>
      </c>
      <c r="V9" s="100">
        <f t="shared" si="1"/>
        <v>2999.8272684283502</v>
      </c>
      <c r="X9" s="100">
        <f t="shared" si="2"/>
        <v>1173.5178071246391</v>
      </c>
      <c r="Z9" s="100">
        <f t="shared" si="3"/>
        <v>320.10023928981445</v>
      </c>
      <c r="AB9" s="100">
        <f t="shared" si="4"/>
        <v>-5710.4027133746395</v>
      </c>
    </row>
    <row r="10" spans="1:28" outlineLevel="1" x14ac:dyDescent="0.2">
      <c r="A10" s="3"/>
      <c r="B10" s="99" t="s">
        <v>24</v>
      </c>
      <c r="C10" s="100">
        <v>-2065.3306250000001</v>
      </c>
      <c r="D10" s="101">
        <f t="shared" si="5"/>
        <v>-1.9274509146197258</v>
      </c>
      <c r="E10" s="100">
        <v>-1687.9630859375</v>
      </c>
      <c r="F10" s="102">
        <f t="shared" si="6"/>
        <v>-1.9472853280167759</v>
      </c>
      <c r="G10" s="100">
        <v>-2060.3450821289048</v>
      </c>
      <c r="H10" s="102">
        <f t="shared" si="7"/>
        <v>-1.9204236688344862</v>
      </c>
      <c r="I10" s="267">
        <f>'DRE - H-Contabil'!O10</f>
        <v>-2407.6973912904105</v>
      </c>
      <c r="J10" s="101">
        <f t="shared" si="8"/>
        <v>-1.9100000000000001</v>
      </c>
      <c r="K10" s="100"/>
      <c r="L10" s="101">
        <f t="shared" si="0"/>
        <v>0</v>
      </c>
      <c r="N10" s="121">
        <f>-IF(OR($I10=0,C10=0),0,($I10/C10)*100-100)</f>
        <v>-16.576850318597792</v>
      </c>
      <c r="P10" s="121">
        <f>-IF(OR($I10=0,E10=0),0,($I10/E10)*100-100)</f>
        <v>-42.639220688476598</v>
      </c>
      <c r="R10" s="121">
        <f>-IF(OR($I10=0,G10=0),0,($I10/G10)*100-100)</f>
        <v>-16.858938445524615</v>
      </c>
      <c r="T10" s="121">
        <f>-IF(OR($I10=0,K10=0),0,($I10/K10)*100-100)</f>
        <v>0</v>
      </c>
      <c r="V10" s="100">
        <f t="shared" si="1"/>
        <v>-342.3667662904104</v>
      </c>
      <c r="X10" s="100">
        <f t="shared" si="2"/>
        <v>-719.7343053529105</v>
      </c>
      <c r="Z10" s="100">
        <f t="shared" si="3"/>
        <v>-347.35230916150567</v>
      </c>
      <c r="AB10" s="100">
        <f t="shared" si="4"/>
        <v>2407.6973912904105</v>
      </c>
    </row>
    <row r="11" spans="1:28" outlineLevel="1" x14ac:dyDescent="0.2">
      <c r="A11" s="3"/>
      <c r="B11" s="99" t="s">
        <v>25</v>
      </c>
      <c r="C11" s="100">
        <v>-9513.0348125000019</v>
      </c>
      <c r="D11" s="101">
        <f t="shared" si="5"/>
        <v>-8.8779527249601582</v>
      </c>
      <c r="E11" s="100">
        <v>-7774.5103125000005</v>
      </c>
      <c r="F11" s="102">
        <f t="shared" si="6"/>
        <v>-8.9689105112378797</v>
      </c>
      <c r="G11" s="100">
        <v>-9489.7875641150604</v>
      </c>
      <c r="H11" s="102">
        <f t="shared" si="7"/>
        <v>-8.8453205283004745</v>
      </c>
      <c r="I11" s="267">
        <f>'DRE - H-Contabil'!O11</f>
        <v>-11105.661789145821</v>
      </c>
      <c r="J11" s="101">
        <f t="shared" si="8"/>
        <v>-8.81</v>
      </c>
      <c r="K11" s="100"/>
      <c r="L11" s="101">
        <f t="shared" si="0"/>
        <v>0</v>
      </c>
      <c r="N11" s="121">
        <f>-IF(OR($I11=0,C11=0),0,($I11/C11)*100-100)</f>
        <v>-16.741523688666931</v>
      </c>
      <c r="P11" s="121">
        <f>-IF(OR($I11=0,E11=0),0,($I11/E11)*100-100)</f>
        <v>-42.847090591544202</v>
      </c>
      <c r="R11" s="121">
        <f>-IF(OR($I11=0,G11=0),0,($I11/G11)*100-100)</f>
        <v>-17.027506823662435</v>
      </c>
      <c r="T11" s="121">
        <f>-IF(OR($I11=0,K11=0),0,($I11/K11)*100-100)</f>
        <v>0</v>
      </c>
      <c r="V11" s="100">
        <f t="shared" si="1"/>
        <v>-1592.626976645819</v>
      </c>
      <c r="X11" s="100">
        <f t="shared" si="2"/>
        <v>-3331.1514766458204</v>
      </c>
      <c r="Z11" s="100">
        <f t="shared" si="3"/>
        <v>-1615.8742250307605</v>
      </c>
      <c r="AB11" s="100">
        <f t="shared" si="4"/>
        <v>11105.661789145821</v>
      </c>
    </row>
    <row r="12" spans="1:28" outlineLevel="1" x14ac:dyDescent="0.2">
      <c r="A12" s="3"/>
      <c r="B12" s="99" t="s">
        <v>26</v>
      </c>
      <c r="C12" s="100">
        <v>0</v>
      </c>
      <c r="D12" s="101">
        <f t="shared" si="5"/>
        <v>0</v>
      </c>
      <c r="E12" s="100">
        <v>0</v>
      </c>
      <c r="F12" s="102">
        <f t="shared" si="6"/>
        <v>0</v>
      </c>
      <c r="G12" s="100">
        <v>-0.74471280862987632</v>
      </c>
      <c r="H12" s="102">
        <f t="shared" si="7"/>
        <v>-6.9413814053870422E-4</v>
      </c>
      <c r="I12" s="267">
        <f>'DRE - H-Contabil'!O12</f>
        <v>-351.75468198660343</v>
      </c>
      <c r="J12" s="101">
        <f t="shared" si="8"/>
        <v>-0.27904314097974431</v>
      </c>
      <c r="K12" s="100"/>
      <c r="L12" s="101">
        <f t="shared" si="0"/>
        <v>0</v>
      </c>
      <c r="N12" s="121">
        <f>-IF(OR($I12=0,C12=0),0,($I12/C12)*100-100)</f>
        <v>0</v>
      </c>
      <c r="P12" s="121">
        <f>-IF(OR($I12=0,E12=0),0,($I12/E12)*100-100)</f>
        <v>0</v>
      </c>
      <c r="R12" s="121">
        <f>-IF(OR($I12=0,G12=0),0,($I12/G12)*100-100)</f>
        <v>-47133.601720072758</v>
      </c>
      <c r="T12" s="121">
        <f>-IF(OR($I12=0,K12=0),0,($I12/K12)*100-100)</f>
        <v>0</v>
      </c>
      <c r="V12" s="100">
        <f t="shared" si="1"/>
        <v>-351.75468198660343</v>
      </c>
      <c r="X12" s="100">
        <f t="shared" si="2"/>
        <v>-351.75468198660343</v>
      </c>
      <c r="Z12" s="100">
        <f t="shared" si="3"/>
        <v>-351.00996917797357</v>
      </c>
      <c r="AB12" s="100">
        <f t="shared" si="4"/>
        <v>351.75468198660343</v>
      </c>
    </row>
    <row r="13" spans="1:28" outlineLevel="1" x14ac:dyDescent="0.2">
      <c r="A13" s="3"/>
      <c r="B13" s="99" t="s">
        <v>27</v>
      </c>
      <c r="C13" s="100">
        <v>-635.35305566406248</v>
      </c>
      <c r="D13" s="101">
        <f t="shared" si="5"/>
        <v>-0.59293742775258296</v>
      </c>
      <c r="E13" s="100">
        <v>-927.6017226562501</v>
      </c>
      <c r="F13" s="102">
        <f t="shared" si="6"/>
        <v>-1.070109435342524</v>
      </c>
      <c r="G13" s="100">
        <v>-412.5806864507669</v>
      </c>
      <c r="H13" s="102">
        <f t="shared" si="7"/>
        <v>-0.38456165544139703</v>
      </c>
      <c r="I13" s="267">
        <f>'DRE - H-Contabil'!O13</f>
        <v>-390.77811062828653</v>
      </c>
      <c r="J13" s="101">
        <f t="shared" si="8"/>
        <v>-0.31000000000000005</v>
      </c>
      <c r="K13" s="100"/>
      <c r="L13" s="101">
        <f t="shared" si="0"/>
        <v>0</v>
      </c>
      <c r="N13" s="121">
        <f>-IF(OR($I13=0,C13=0),0,($I13/C13)*100-100)</f>
        <v>38.49433678730788</v>
      </c>
      <c r="P13" s="121">
        <f>-IF(OR($I13=0,E13=0),0,($I13/E13)*100-100)</f>
        <v>57.872209474852305</v>
      </c>
      <c r="R13" s="121">
        <f>-IF(OR($I13=0,G13=0),0,($I13/G13)*100-100)</f>
        <v>5.2844392717549198</v>
      </c>
      <c r="T13" s="121">
        <f>-IF(OR($I13=0,K13=0),0,($I13/K13)*100-100)</f>
        <v>0</v>
      </c>
      <c r="V13" s="100">
        <f t="shared" si="1"/>
        <v>244.57494503577595</v>
      </c>
      <c r="X13" s="100">
        <f t="shared" si="2"/>
        <v>536.82361202796358</v>
      </c>
      <c r="Z13" s="100">
        <f t="shared" si="3"/>
        <v>21.802575822480378</v>
      </c>
      <c r="AB13" s="100">
        <f t="shared" si="4"/>
        <v>390.77811062828653</v>
      </c>
    </row>
    <row r="14" spans="1:28" ht="13.5" outlineLevel="1" thickBot="1" x14ac:dyDescent="0.25">
      <c r="A14" s="3"/>
      <c r="B14" s="99" t="s">
        <v>96</v>
      </c>
      <c r="C14" s="100">
        <f>-531779.22/1000</f>
        <v>-531.77922000000001</v>
      </c>
      <c r="D14" s="101">
        <f t="shared" si="5"/>
        <v>-0.49627809298802433</v>
      </c>
      <c r="E14" s="100">
        <f>-352197.53/1000</f>
        <v>-352.19753000000003</v>
      </c>
      <c r="F14" s="102">
        <f t="shared" si="6"/>
        <v>-0.40630573526543484</v>
      </c>
      <c r="G14" s="100">
        <v>-816.37247231050742</v>
      </c>
      <c r="H14" s="102">
        <f t="shared" si="7"/>
        <v>-0.76093127894385271</v>
      </c>
      <c r="I14" s="267">
        <f>'DRE - H-Contabil'!O14</f>
        <v>-1078.9794414782257</v>
      </c>
      <c r="J14" s="101">
        <f t="shared" si="8"/>
        <v>-0.85594258675459789</v>
      </c>
      <c r="K14" s="100"/>
      <c r="L14" s="101">
        <f t="shared" si="0"/>
        <v>0</v>
      </c>
      <c r="N14" s="122">
        <f>-IF(OR($I14=0,C14=0),0,($I14/C14)*100-100)</f>
        <v>-102.89988794188417</v>
      </c>
      <c r="P14" s="122">
        <f>-IF(OR($I14=0,E14=0),0,($I14/E14)*100-100)</f>
        <v>-206.35633403738677</v>
      </c>
      <c r="R14" s="122">
        <f>-IF(OR($I14=0,G14=0),0,($I14/G14)*100-100)</f>
        <v>-32.167543379370045</v>
      </c>
      <c r="T14" s="122">
        <f>-IF(OR($I14=0,K14=0),0,($I14/K14)*100-100)</f>
        <v>0</v>
      </c>
      <c r="V14" s="100">
        <f t="shared" si="1"/>
        <v>-547.20022147822567</v>
      </c>
      <c r="X14" s="100">
        <f t="shared" si="2"/>
        <v>-726.78191147822565</v>
      </c>
      <c r="Z14" s="100">
        <f t="shared" si="3"/>
        <v>-262.60696916771826</v>
      </c>
      <c r="AB14" s="100">
        <f t="shared" si="4"/>
        <v>1078.9794414782257</v>
      </c>
    </row>
    <row r="15" spans="1:28" s="31" customFormat="1" ht="14.25" thickTop="1" thickBot="1" x14ac:dyDescent="0.25">
      <c r="A15" s="3"/>
      <c r="B15" s="40" t="s">
        <v>97</v>
      </c>
      <c r="C15" s="108">
        <f>C6+C7</f>
        <v>107153.4745364697</v>
      </c>
      <c r="D15" s="140">
        <v>100</v>
      </c>
      <c r="E15" s="108">
        <f>E6+E7</f>
        <v>86682.884200468747</v>
      </c>
      <c r="F15" s="140">
        <v>100</v>
      </c>
      <c r="G15" s="108">
        <f>G6+G7</f>
        <v>107285.96588165034</v>
      </c>
      <c r="H15" s="140">
        <v>100</v>
      </c>
      <c r="I15" s="108">
        <f>I6+I7</f>
        <v>126057.45504138274</v>
      </c>
      <c r="J15" s="140">
        <v>100</v>
      </c>
      <c r="K15" s="123">
        <f>K6+K7</f>
        <v>0</v>
      </c>
      <c r="L15" s="124">
        <f t="shared" si="0"/>
        <v>0</v>
      </c>
      <c r="M15" s="287"/>
      <c r="N15" s="126">
        <f>IF(OR($I15=0,C15=0),0,($I15/C15)*100-100)</f>
        <v>17.641966895323648</v>
      </c>
      <c r="P15" s="126">
        <f>IF(OR($I15=0,E15=0),0,($I15/E15)*100-100)</f>
        <v>45.423697197077189</v>
      </c>
      <c r="R15" s="126">
        <f>IF(OR($I15=0,G15=0),0,($I15/G15)*100-100)</f>
        <v>17.496686547464819</v>
      </c>
      <c r="T15" s="126">
        <f>IF(OR($I15=0,K15=0),0,($I15/K15)*100-100)</f>
        <v>0</v>
      </c>
      <c r="V15" s="127">
        <f t="shared" si="1"/>
        <v>18903.980504913037</v>
      </c>
      <c r="X15" s="127">
        <f t="shared" si="2"/>
        <v>39374.570840913992</v>
      </c>
      <c r="Y15" s="60"/>
      <c r="Z15" s="127">
        <f t="shared" si="3"/>
        <v>18771.489159732402</v>
      </c>
      <c r="AB15" s="127">
        <f t="shared" si="4"/>
        <v>-126057.45504138274</v>
      </c>
    </row>
    <row r="16" spans="1:28" ht="14.25" thickTop="1" thickBot="1" x14ac:dyDescent="0.25">
      <c r="A16" s="87"/>
      <c r="B16" s="285" t="s">
        <v>30</v>
      </c>
      <c r="C16" s="277">
        <f>SUM(C17:C20)</f>
        <v>-10079.278789765625</v>
      </c>
      <c r="D16" s="179">
        <f t="shared" ref="D16:D66" si="9">(C16/C$15)*100</f>
        <v>-9.4063947374241614</v>
      </c>
      <c r="E16" s="277">
        <f>SUM(E17:E20)</f>
        <v>-6641.9726369921873</v>
      </c>
      <c r="F16" s="179">
        <f t="shared" ref="F16:F47" si="10">(E16/E$15)*100</f>
        <v>-7.6623807551575105</v>
      </c>
      <c r="G16" s="277">
        <f>SUM(G17:G20)</f>
        <v>-7295.4144971205715</v>
      </c>
      <c r="H16" s="179">
        <f t="shared" ref="H16:H65" si="11">(G16/G$15)*100</f>
        <v>-6.7999709348455823</v>
      </c>
      <c r="I16" s="276">
        <f>SUM(I17:I20)</f>
        <v>-8092.8886136567717</v>
      </c>
      <c r="J16" s="179">
        <f t="shared" ref="J16:J66" si="12">(I16/I$15)*100</f>
        <v>-6.419999999999999</v>
      </c>
      <c r="K16" s="131">
        <f>SUM(K17:K20)</f>
        <v>0</v>
      </c>
      <c r="L16" s="130">
        <f t="shared" si="0"/>
        <v>0</v>
      </c>
      <c r="M16" s="288"/>
      <c r="N16" s="118">
        <f t="shared" ref="N16:N21" si="13">-IF(OR($I16=0,C16=0),0,($I16/C16)*100-100)</f>
        <v>19.707661803400157</v>
      </c>
      <c r="P16" s="118">
        <f t="shared" ref="P16:P21" si="14">-IF(OR($I16=0,E16=0),0,($I16/E16)*100-100)</f>
        <v>-21.844654532055259</v>
      </c>
      <c r="R16" s="118">
        <f t="shared" ref="R16:R21" si="15">-IF(OR($I16=0,G16=0),0,($I16/G16)*100-100)</f>
        <v>-10.931169392101793</v>
      </c>
      <c r="T16" s="118">
        <f t="shared" ref="T16:T21" si="16">-IF(OR($I16=0,K16=0),0,($I16/K16)*100-100)</f>
        <v>0</v>
      </c>
      <c r="V16" s="92">
        <f t="shared" si="1"/>
        <v>1986.3901761088537</v>
      </c>
      <c r="X16" s="92">
        <f t="shared" si="2"/>
        <v>-1450.9159766645844</v>
      </c>
      <c r="Z16" s="92">
        <f t="shared" si="3"/>
        <v>-797.4741165362002</v>
      </c>
      <c r="AB16" s="92">
        <f t="shared" si="4"/>
        <v>8092.8886136567717</v>
      </c>
    </row>
    <row r="17" spans="1:28" ht="13.5" outlineLevel="1" thickTop="1" x14ac:dyDescent="0.2">
      <c r="B17" s="128" t="s">
        <v>31</v>
      </c>
      <c r="C17" s="132">
        <v>-6312.6314999999995</v>
      </c>
      <c r="D17" s="133">
        <f t="shared" si="9"/>
        <v>-5.8912056070113659</v>
      </c>
      <c r="E17" s="132">
        <v>-3366.9766718750002</v>
      </c>
      <c r="F17" s="133">
        <f t="shared" si="10"/>
        <v>-3.8842462418397385</v>
      </c>
      <c r="G17" s="132">
        <v>-3566.8468797074479</v>
      </c>
      <c r="H17" s="133">
        <f t="shared" si="11"/>
        <v>-3.3246164588219487</v>
      </c>
      <c r="I17" s="270">
        <f>'DRE - H-Contabil'!O17</f>
        <v>-3529.6087411587164</v>
      </c>
      <c r="J17" s="133">
        <f t="shared" si="12"/>
        <v>-2.8</v>
      </c>
      <c r="K17" s="132"/>
      <c r="L17" s="133">
        <f t="shared" si="0"/>
        <v>0</v>
      </c>
      <c r="N17" s="121">
        <f t="shared" si="13"/>
        <v>44.086570851494869</v>
      </c>
      <c r="P17" s="121">
        <f t="shared" si="14"/>
        <v>-4.8302107538259236</v>
      </c>
      <c r="R17" s="121">
        <f t="shared" si="15"/>
        <v>1.0440072087363035</v>
      </c>
      <c r="T17" s="121">
        <f t="shared" si="16"/>
        <v>0</v>
      </c>
      <c r="V17" s="100">
        <f t="shared" si="1"/>
        <v>2783.0227588412831</v>
      </c>
      <c r="X17" s="100">
        <f t="shared" si="2"/>
        <v>-162.63206928371619</v>
      </c>
      <c r="Z17" s="100">
        <f t="shared" si="3"/>
        <v>37.238138548731513</v>
      </c>
      <c r="AB17" s="100">
        <f t="shared" si="4"/>
        <v>3529.6087411587164</v>
      </c>
    </row>
    <row r="18" spans="1:28" outlineLevel="1" x14ac:dyDescent="0.2">
      <c r="B18" s="128" t="s">
        <v>32</v>
      </c>
      <c r="C18" s="132">
        <v>-1872.9415390624999</v>
      </c>
      <c r="D18" s="133">
        <f t="shared" si="9"/>
        <v>-1.747905559912613</v>
      </c>
      <c r="E18" s="132">
        <v>-2255.1388749999996</v>
      </c>
      <c r="F18" s="133">
        <f t="shared" si="10"/>
        <v>-2.6015964925493384</v>
      </c>
      <c r="G18" s="132">
        <v>-3011.1837183368953</v>
      </c>
      <c r="H18" s="133">
        <f t="shared" si="11"/>
        <v>-2.8066892939740158</v>
      </c>
      <c r="I18" s="270">
        <f>'DRE - H-Contabil'!O18</f>
        <v>-3655.6661962001003</v>
      </c>
      <c r="J18" s="133">
        <f t="shared" si="12"/>
        <v>-2.9000000000000008</v>
      </c>
      <c r="K18" s="132"/>
      <c r="L18" s="133">
        <f t="shared" si="0"/>
        <v>0</v>
      </c>
      <c r="N18" s="121">
        <f t="shared" si="13"/>
        <v>-95.183144799593833</v>
      </c>
      <c r="P18" s="121">
        <f t="shared" si="14"/>
        <v>-62.103817052069616</v>
      </c>
      <c r="R18" s="121">
        <f t="shared" si="15"/>
        <v>-21.402961032851181</v>
      </c>
      <c r="T18" s="121">
        <f t="shared" si="16"/>
        <v>0</v>
      </c>
      <c r="V18" s="100">
        <f t="shared" si="1"/>
        <v>-1782.7246571376004</v>
      </c>
      <c r="X18" s="100">
        <f t="shared" si="2"/>
        <v>-1400.5273212001007</v>
      </c>
      <c r="Z18" s="100">
        <f t="shared" si="3"/>
        <v>-644.48247786320508</v>
      </c>
      <c r="AB18" s="100">
        <f t="shared" si="4"/>
        <v>3655.6661962001003</v>
      </c>
    </row>
    <row r="19" spans="1:28" outlineLevel="1" x14ac:dyDescent="0.2">
      <c r="B19" s="128" t="s">
        <v>33</v>
      </c>
      <c r="C19" s="132">
        <v>-1716.753609375</v>
      </c>
      <c r="D19" s="133">
        <f t="shared" si="9"/>
        <v>-1.6021446031511584</v>
      </c>
      <c r="E19" s="132">
        <v>-753.42755468749988</v>
      </c>
      <c r="F19" s="133">
        <f t="shared" si="10"/>
        <v>-0.8691768411224895</v>
      </c>
      <c r="G19" s="132">
        <v>-540.03359249437506</v>
      </c>
      <c r="H19" s="133">
        <f t="shared" si="11"/>
        <v>-0.50335902562512114</v>
      </c>
      <c r="I19" s="270">
        <f>'DRE - H-Contabil'!O19</f>
        <v>-655.49876621519024</v>
      </c>
      <c r="J19" s="133">
        <f t="shared" si="12"/>
        <v>-0.52</v>
      </c>
      <c r="K19" s="132"/>
      <c r="L19" s="133">
        <f t="shared" si="0"/>
        <v>0</v>
      </c>
      <c r="N19" s="121">
        <f t="shared" si="13"/>
        <v>61.81753964951146</v>
      </c>
      <c r="P19" s="121">
        <f t="shared" si="14"/>
        <v>12.997771034924213</v>
      </c>
      <c r="R19" s="121">
        <f t="shared" si="15"/>
        <v>-21.38110949496496</v>
      </c>
      <c r="T19" s="121">
        <f t="shared" si="16"/>
        <v>0</v>
      </c>
      <c r="V19" s="100">
        <f t="shared" si="1"/>
        <v>1061.2548431598098</v>
      </c>
      <c r="X19" s="100">
        <f t="shared" si="2"/>
        <v>97.928788472309634</v>
      </c>
      <c r="Z19" s="100">
        <f t="shared" si="3"/>
        <v>-115.46517372081519</v>
      </c>
      <c r="AB19" s="100">
        <f t="shared" si="4"/>
        <v>655.49876621519024</v>
      </c>
    </row>
    <row r="20" spans="1:28" ht="13.5" outlineLevel="1" thickBot="1" x14ac:dyDescent="0.25">
      <c r="B20" s="128" t="s">
        <v>110</v>
      </c>
      <c r="C20" s="134">
        <v>-176.95214132812498</v>
      </c>
      <c r="D20" s="133">
        <f t="shared" si="9"/>
        <v>-0.16513896734902356</v>
      </c>
      <c r="E20" s="134">
        <v>-266.42953542968746</v>
      </c>
      <c r="F20" s="133">
        <f t="shared" si="10"/>
        <v>-0.30736117964594295</v>
      </c>
      <c r="G20" s="134">
        <v>-177.35030658185389</v>
      </c>
      <c r="H20" s="133">
        <f t="shared" si="11"/>
        <v>-0.16530615642449747</v>
      </c>
      <c r="I20" s="270">
        <f>'DRE - H-Contabil'!O20</f>
        <v>-252.1149100827655</v>
      </c>
      <c r="J20" s="133">
        <f t="shared" si="12"/>
        <v>-0.2</v>
      </c>
      <c r="K20" s="134"/>
      <c r="L20" s="133">
        <f t="shared" si="0"/>
        <v>0</v>
      </c>
      <c r="N20" s="121">
        <f t="shared" si="13"/>
        <v>-42.476326192213207</v>
      </c>
      <c r="P20" s="121">
        <f t="shared" si="14"/>
        <v>5.3727621916376052</v>
      </c>
      <c r="R20" s="121">
        <f t="shared" si="15"/>
        <v>-42.156455741115337</v>
      </c>
      <c r="T20" s="121">
        <f t="shared" si="16"/>
        <v>0</v>
      </c>
      <c r="V20" s="100">
        <f t="shared" si="1"/>
        <v>-75.162768754640524</v>
      </c>
      <c r="X20" s="100">
        <f t="shared" si="2"/>
        <v>14.314625346921957</v>
      </c>
      <c r="Z20" s="100">
        <f t="shared" si="3"/>
        <v>-74.764603500911619</v>
      </c>
      <c r="AB20" s="100">
        <f t="shared" si="4"/>
        <v>252.1149100827655</v>
      </c>
    </row>
    <row r="21" spans="1:28" ht="14.25" thickTop="1" thickBot="1" x14ac:dyDescent="0.25">
      <c r="B21" s="93" t="s">
        <v>34</v>
      </c>
      <c r="C21" s="278">
        <v>-60610.164000000004</v>
      </c>
      <c r="D21" s="181">
        <f t="shared" si="9"/>
        <v>-56.563881164087995</v>
      </c>
      <c r="E21" s="278">
        <v>-49591.475580000013</v>
      </c>
      <c r="F21" s="181">
        <f t="shared" si="10"/>
        <v>-57.210227875333942</v>
      </c>
      <c r="G21" s="278">
        <v>-63087.569631218648</v>
      </c>
      <c r="H21" s="181">
        <f t="shared" si="11"/>
        <v>-58.803189320038399</v>
      </c>
      <c r="I21" s="279">
        <f>'DRE - H-Contabil'!O21</f>
        <v>-76375.421974222336</v>
      </c>
      <c r="J21" s="181">
        <f t="shared" si="12"/>
        <v>-60.587786695479018</v>
      </c>
      <c r="K21" s="134"/>
      <c r="L21" s="130">
        <f t="shared" si="0"/>
        <v>0</v>
      </c>
      <c r="M21" s="287"/>
      <c r="N21" s="118">
        <f t="shared" si="13"/>
        <v>-26.010914562485482</v>
      </c>
      <c r="P21" s="118">
        <f t="shared" si="14"/>
        <v>-54.009174119078125</v>
      </c>
      <c r="R21" s="118">
        <f t="shared" si="15"/>
        <v>-21.062552291486995</v>
      </c>
      <c r="T21" s="118">
        <f t="shared" si="16"/>
        <v>0</v>
      </c>
      <c r="V21" s="98">
        <f t="shared" si="1"/>
        <v>-15765.257974222332</v>
      </c>
      <c r="X21" s="98">
        <f t="shared" si="2"/>
        <v>-26783.946394222323</v>
      </c>
      <c r="Z21" s="98">
        <f t="shared" si="3"/>
        <v>-13287.852343003688</v>
      </c>
      <c r="AB21" s="98">
        <f t="shared" si="4"/>
        <v>76375.421974222336</v>
      </c>
    </row>
    <row r="22" spans="1:28" s="31" customFormat="1" ht="14.25" thickTop="1" thickBot="1" x14ac:dyDescent="0.25">
      <c r="A22" s="3"/>
      <c r="B22" s="40" t="s">
        <v>35</v>
      </c>
      <c r="C22" s="108">
        <f>C15+C16+C21</f>
        <v>36464.031746704073</v>
      </c>
      <c r="D22" s="140">
        <f t="shared" si="9"/>
        <v>34.029724098487854</v>
      </c>
      <c r="E22" s="108">
        <f>E15+E16+E21</f>
        <v>30449.435983476549</v>
      </c>
      <c r="F22" s="140">
        <f t="shared" si="10"/>
        <v>35.127391369508551</v>
      </c>
      <c r="G22" s="108">
        <f>G15+G16+G21</f>
        <v>36902.98175331112</v>
      </c>
      <c r="H22" s="140">
        <f t="shared" si="11"/>
        <v>34.396839745116026</v>
      </c>
      <c r="I22" s="108">
        <f>I15+I16+I21</f>
        <v>41589.144453503628</v>
      </c>
      <c r="J22" s="140">
        <f t="shared" si="12"/>
        <v>32.99221330452098</v>
      </c>
      <c r="K22" s="135">
        <f>K15+K16+K21</f>
        <v>0</v>
      </c>
      <c r="L22" s="136">
        <f t="shared" si="0"/>
        <v>0</v>
      </c>
      <c r="M22" s="289"/>
      <c r="N22" s="137">
        <f>IF(OR($I22=0,C22=0),0,($I22/C22)*100-100)</f>
        <v>14.055255168712392</v>
      </c>
      <c r="O22" s="110"/>
      <c r="P22" s="137">
        <f>IF(OR($I22=0,E22=0),0,($I22/E22)*100-100)</f>
        <v>36.584285095041054</v>
      </c>
      <c r="Q22" s="110"/>
      <c r="R22" s="137">
        <f>IF(OR($I22=0,G22=0),0,($I22/G22)*100-100)</f>
        <v>12.698601786485824</v>
      </c>
      <c r="S22" s="110"/>
      <c r="T22" s="137">
        <f>IF(OR($I22=0,K22=0),0,($I22/K22)*100-100)</f>
        <v>0</v>
      </c>
      <c r="U22" s="110"/>
      <c r="V22" s="108">
        <f t="shared" si="1"/>
        <v>5125.1127067995549</v>
      </c>
      <c r="W22" s="110"/>
      <c r="X22" s="108">
        <f t="shared" si="2"/>
        <v>11139.708470027079</v>
      </c>
      <c r="Y22" s="60"/>
      <c r="Z22" s="108">
        <f t="shared" si="3"/>
        <v>4686.1627001925081</v>
      </c>
      <c r="AB22" s="108">
        <f t="shared" si="4"/>
        <v>-41589.144453503628</v>
      </c>
    </row>
    <row r="23" spans="1:28" ht="14.25" outlineLevel="1" thickTop="1" thickBot="1" x14ac:dyDescent="0.25">
      <c r="A23" s="87"/>
      <c r="B23" s="99" t="s">
        <v>36</v>
      </c>
      <c r="C23" s="98">
        <v>-18283.670900000001</v>
      </c>
      <c r="D23" s="138">
        <f t="shared" si="9"/>
        <v>-17.063068630385057</v>
      </c>
      <c r="E23" s="98">
        <v>-11097.143937500001</v>
      </c>
      <c r="F23" s="139">
        <f t="shared" si="10"/>
        <v>-12.802001271480526</v>
      </c>
      <c r="G23" s="98">
        <v>-12045.251023864323</v>
      </c>
      <c r="H23" s="139">
        <f t="shared" si="11"/>
        <v>-11.227238273784776</v>
      </c>
      <c r="I23" s="271">
        <f>'DRE - H-Contabil'!O23</f>
        <v>-13532.616125976558</v>
      </c>
      <c r="J23" s="138">
        <f>(I23/I$15)*100</f>
        <v>-10.735276324223749</v>
      </c>
      <c r="K23" s="98"/>
      <c r="L23" s="138">
        <f t="shared" si="0"/>
        <v>0</v>
      </c>
      <c r="M23" s="287"/>
      <c r="N23" s="118">
        <f>-IF(OR($I23=0,C23=0),0,($I23/C23)*100-100)</f>
        <v>25.985234584502621</v>
      </c>
      <c r="P23" s="118">
        <f>-IF(OR($I23=0,E23=0),0,($I23/E23)*100-100)</f>
        <v>-21.946837872819614</v>
      </c>
      <c r="R23" s="118">
        <f>-IF(OR($I23=0,G23=0),0,($I23/G23)*100-100)</f>
        <v>-12.348145332674548</v>
      </c>
      <c r="T23" s="118">
        <f>-IF(OR($I23=0,K23=0),0,($I23/K23)*100-100)</f>
        <v>0</v>
      </c>
      <c r="V23" s="100">
        <f t="shared" si="1"/>
        <v>4751.0547740234433</v>
      </c>
      <c r="X23" s="100">
        <f t="shared" si="2"/>
        <v>-2435.4721884765568</v>
      </c>
      <c r="Z23" s="100">
        <f t="shared" si="3"/>
        <v>-1487.365102112235</v>
      </c>
      <c r="AB23" s="100">
        <f t="shared" si="4"/>
        <v>13532.616125976558</v>
      </c>
    </row>
    <row r="24" spans="1:28" s="31" customFormat="1" ht="14.25" thickTop="1" thickBot="1" x14ac:dyDescent="0.25">
      <c r="A24" s="3"/>
      <c r="B24" s="40" t="s">
        <v>37</v>
      </c>
      <c r="C24" s="108">
        <f>C22+C23</f>
        <v>18180.360846704072</v>
      </c>
      <c r="D24" s="140">
        <f t="shared" si="9"/>
        <v>16.966655468102797</v>
      </c>
      <c r="E24" s="108">
        <f>E22+E23</f>
        <v>19352.292045976548</v>
      </c>
      <c r="F24" s="141">
        <f t="shared" si="10"/>
        <v>22.325390098028024</v>
      </c>
      <c r="G24" s="108">
        <f>G22+G23</f>
        <v>24857.730729446797</v>
      </c>
      <c r="H24" s="141">
        <f t="shared" si="11"/>
        <v>23.169601471331248</v>
      </c>
      <c r="I24" s="108">
        <f>I22+I23</f>
        <v>28056.52832752707</v>
      </c>
      <c r="J24" s="140">
        <f t="shared" si="12"/>
        <v>22.256936980297233</v>
      </c>
      <c r="K24" s="108">
        <f>K22+K23</f>
        <v>0</v>
      </c>
      <c r="L24" s="140">
        <f t="shared" si="0"/>
        <v>0</v>
      </c>
      <c r="M24" s="287"/>
      <c r="N24" s="142">
        <f>IF(OR($I24=0,C24=0),0,($I24/C24)*100-100)</f>
        <v>54.323275341443264</v>
      </c>
      <c r="P24" s="142">
        <f>IF(OR($I24=0,E24=0),0,($I24/E24)*100-100)</f>
        <v>44.977805527486254</v>
      </c>
      <c r="R24" s="142">
        <f>IF(OR($I24=0,G24=0),0,($I24/G24)*100-100)</f>
        <v>12.868421630663704</v>
      </c>
      <c r="T24" s="142">
        <f>IF(OR($I24=0,K24=0),0,($I24/K24)*100-100)</f>
        <v>0</v>
      </c>
      <c r="V24" s="112">
        <f t="shared" si="1"/>
        <v>9876.1674808229982</v>
      </c>
      <c r="X24" s="112">
        <f t="shared" si="2"/>
        <v>8704.2362815505221</v>
      </c>
      <c r="Y24" s="60"/>
      <c r="Z24" s="112">
        <f t="shared" si="3"/>
        <v>3198.797598080273</v>
      </c>
      <c r="AB24" s="112">
        <f t="shared" si="4"/>
        <v>-28056.52832752707</v>
      </c>
    </row>
    <row r="25" spans="1:28" s="31" customFormat="1" ht="14.25" thickTop="1" thickBot="1" x14ac:dyDescent="0.25">
      <c r="A25" s="3"/>
      <c r="B25" s="143" t="s">
        <v>38</v>
      </c>
      <c r="C25" s="144">
        <f>C26+C29+C33+C37+C42</f>
        <v>-31133.885121673589</v>
      </c>
      <c r="D25" s="145">
        <f t="shared" si="9"/>
        <v>-29.055413514451338</v>
      </c>
      <c r="E25" s="144">
        <f>E26+E29+E33+E37+E42</f>
        <v>-20076.023396337583</v>
      </c>
      <c r="F25" s="146">
        <f t="shared" si="10"/>
        <v>-23.160308498628638</v>
      </c>
      <c r="G25" s="144">
        <f>G26+G29+G33+G37+G42</f>
        <v>-21385.022413595794</v>
      </c>
      <c r="H25" s="146">
        <f t="shared" si="11"/>
        <v>-19.932730472116095</v>
      </c>
      <c r="I25" s="272">
        <f>I26+I29+I33+I37+I42</f>
        <v>-23135.080059172535</v>
      </c>
      <c r="J25" s="145">
        <f t="shared" si="12"/>
        <v>-18.352805910271343</v>
      </c>
      <c r="K25" s="148">
        <f>K26+K29+K33+K37+K42</f>
        <v>0</v>
      </c>
      <c r="L25" s="145">
        <f t="shared" si="0"/>
        <v>0</v>
      </c>
      <c r="M25" s="287"/>
      <c r="N25" s="149">
        <f t="shared" ref="N25:N48" si="17">-IF(OR($I25=0,C25=0),0,($I25/C25)*100-100)</f>
        <v>25.691638005475752</v>
      </c>
      <c r="P25" s="149">
        <f t="shared" ref="P25:P48" si="18">-IF(OR($I25=0,E25=0),0,($I25/E25)*100-100)</f>
        <v>-15.237363507919639</v>
      </c>
      <c r="R25" s="149">
        <f t="shared" ref="R25:R48" si="19">-IF(OR($I25=0,G25=0),0,($I25/G25)*100-100)</f>
        <v>-8.1835670392569853</v>
      </c>
      <c r="T25" s="149">
        <f t="shared" ref="T25:T48" si="20">-IF(OR($I25=0,K25=0),0,($I25/K25)*100-100)</f>
        <v>0</v>
      </c>
      <c r="V25" s="144">
        <f t="shared" si="1"/>
        <v>7998.8050625010546</v>
      </c>
      <c r="X25" s="144">
        <f t="shared" si="2"/>
        <v>-3059.0566628349516</v>
      </c>
      <c r="Y25" s="60"/>
      <c r="Z25" s="144">
        <f t="shared" si="3"/>
        <v>-1750.0576455767405</v>
      </c>
      <c r="AB25" s="144">
        <f t="shared" si="4"/>
        <v>23135.080059172535</v>
      </c>
    </row>
    <row r="26" spans="1:28" s="52" customFormat="1" ht="13.5" thickTop="1" x14ac:dyDescent="0.2">
      <c r="A26" s="87"/>
      <c r="B26" s="150" t="s">
        <v>39</v>
      </c>
      <c r="C26" s="129">
        <f>SUM(C27:C28)</f>
        <v>-10828.264071777343</v>
      </c>
      <c r="D26" s="130">
        <f t="shared" si="9"/>
        <v>-10.105378401044701</v>
      </c>
      <c r="E26" s="129">
        <f>SUM(E27:E28)</f>
        <v>-4194.9363920507822</v>
      </c>
      <c r="F26" s="151">
        <f t="shared" si="10"/>
        <v>-4.8394056459280774</v>
      </c>
      <c r="G26" s="129">
        <f>SUM(G27:G28)</f>
        <v>-3096.601400798535</v>
      </c>
      <c r="H26" s="151">
        <f t="shared" si="11"/>
        <v>-2.886306121542932</v>
      </c>
      <c r="I26" s="270">
        <f>SUM(I27:I28)</f>
        <v>-3339.3902222685078</v>
      </c>
      <c r="J26" s="130">
        <f t="shared" si="12"/>
        <v>-2.649101729978792</v>
      </c>
      <c r="K26" s="131">
        <f>SUM(K27:K28)</f>
        <v>0</v>
      </c>
      <c r="L26" s="130">
        <f t="shared" si="0"/>
        <v>0</v>
      </c>
      <c r="M26" s="7"/>
      <c r="N26" s="152">
        <f t="shared" si="17"/>
        <v>69.16042866952003</v>
      </c>
      <c r="O26" s="7"/>
      <c r="P26" s="152">
        <f t="shared" si="18"/>
        <v>20.394735219430174</v>
      </c>
      <c r="Q26" s="7"/>
      <c r="R26" s="152">
        <f t="shared" si="19"/>
        <v>-7.8404931744642283</v>
      </c>
      <c r="S26" s="7"/>
      <c r="T26" s="152">
        <f t="shared" si="20"/>
        <v>0</v>
      </c>
      <c r="U26" s="7"/>
      <c r="V26" s="129">
        <f t="shared" si="1"/>
        <v>7488.8738495088346</v>
      </c>
      <c r="W26" s="7"/>
      <c r="X26" s="129">
        <f t="shared" si="2"/>
        <v>855.54616978227432</v>
      </c>
      <c r="Z26" s="129">
        <f t="shared" si="3"/>
        <v>-242.78882146997285</v>
      </c>
      <c r="AB26" s="129">
        <f t="shared" si="4"/>
        <v>3339.3902222685078</v>
      </c>
    </row>
    <row r="27" spans="1:28" s="52" customFormat="1" outlineLevel="1" x14ac:dyDescent="0.2">
      <c r="A27" s="87"/>
      <c r="B27" s="153" t="s">
        <v>40</v>
      </c>
      <c r="C27" s="154">
        <v>-2747.9873281250002</v>
      </c>
      <c r="D27" s="155">
        <f t="shared" si="9"/>
        <v>-2.5645340386883322</v>
      </c>
      <c r="E27" s="154">
        <v>-2323.7683593750003</v>
      </c>
      <c r="F27" s="156">
        <f t="shared" si="10"/>
        <v>-2.6807695438477741</v>
      </c>
      <c r="G27" s="154">
        <v>-2568.8492037339252</v>
      </c>
      <c r="H27" s="156">
        <f t="shared" si="11"/>
        <v>-2.3943944416436378</v>
      </c>
      <c r="I27" s="267">
        <f>'DRE - H-Contabil'!O27</f>
        <v>-2695.8719011523967</v>
      </c>
      <c r="J27" s="155">
        <f t="shared" si="12"/>
        <v>-2.1386056860083231</v>
      </c>
      <c r="K27" s="154"/>
      <c r="L27" s="155">
        <f t="shared" si="0"/>
        <v>0</v>
      </c>
      <c r="N27" s="157">
        <f t="shared" si="17"/>
        <v>1.8964944430134238</v>
      </c>
      <c r="P27" s="157">
        <f t="shared" si="18"/>
        <v>-16.012936068958155</v>
      </c>
      <c r="R27" s="157">
        <f t="shared" si="19"/>
        <v>-4.9447315643845116</v>
      </c>
      <c r="T27" s="157">
        <f t="shared" si="20"/>
        <v>0</v>
      </c>
      <c r="V27" s="100">
        <f t="shared" si="1"/>
        <v>52.115426972603473</v>
      </c>
      <c r="X27" s="100">
        <f t="shared" si="2"/>
        <v>-372.10354177739646</v>
      </c>
      <c r="Y27" s="158"/>
      <c r="Z27" s="100">
        <f t="shared" si="3"/>
        <v>-127.02269741847158</v>
      </c>
      <c r="AB27" s="100">
        <f t="shared" si="4"/>
        <v>2695.8719011523967</v>
      </c>
    </row>
    <row r="28" spans="1:28" s="52" customFormat="1" ht="13.5" outlineLevel="1" thickBot="1" x14ac:dyDescent="0.25">
      <c r="A28" s="87"/>
      <c r="B28" s="153" t="s">
        <v>41</v>
      </c>
      <c r="C28" s="154">
        <v>-8080.2767436523436</v>
      </c>
      <c r="D28" s="155">
        <f t="shared" si="9"/>
        <v>-7.5408443623563688</v>
      </c>
      <c r="E28" s="154">
        <v>-1871.1680326757814</v>
      </c>
      <c r="F28" s="156">
        <f t="shared" si="10"/>
        <v>-2.1586361020803033</v>
      </c>
      <c r="G28" s="154">
        <v>-527.75219706461007</v>
      </c>
      <c r="H28" s="156">
        <f t="shared" si="11"/>
        <v>-0.49191167989929452</v>
      </c>
      <c r="I28" s="267">
        <f>'DRE - H-Contabil'!O28</f>
        <v>-643.51832111611111</v>
      </c>
      <c r="J28" s="155">
        <f t="shared" si="12"/>
        <v>-0.51049604397046877</v>
      </c>
      <c r="K28" s="154"/>
      <c r="L28" s="155">
        <f t="shared" si="0"/>
        <v>0</v>
      </c>
      <c r="N28" s="122">
        <f t="shared" si="17"/>
        <v>92.035937115376129</v>
      </c>
      <c r="P28" s="122">
        <f t="shared" si="18"/>
        <v>65.60873690237878</v>
      </c>
      <c r="R28" s="122">
        <f t="shared" si="19"/>
        <v>-21.935697225970685</v>
      </c>
      <c r="T28" s="122">
        <f t="shared" si="20"/>
        <v>0</v>
      </c>
      <c r="V28" s="100">
        <f t="shared" si="1"/>
        <v>7436.7584225362325</v>
      </c>
      <c r="X28" s="100">
        <f t="shared" si="2"/>
        <v>1227.6497115596703</v>
      </c>
      <c r="Y28" s="158"/>
      <c r="Z28" s="100">
        <f t="shared" si="3"/>
        <v>-115.76612405150104</v>
      </c>
      <c r="AB28" s="100">
        <f t="shared" si="4"/>
        <v>643.51832111611111</v>
      </c>
    </row>
    <row r="29" spans="1:28" s="52" customFormat="1" ht="13.5" thickTop="1" x14ac:dyDescent="0.2">
      <c r="A29" s="87"/>
      <c r="B29" s="150" t="s">
        <v>42</v>
      </c>
      <c r="C29" s="129">
        <f>SUM(C30:C32)</f>
        <v>-6129.3249684375005</v>
      </c>
      <c r="D29" s="130">
        <f t="shared" si="9"/>
        <v>-5.7201364630984353</v>
      </c>
      <c r="E29" s="129">
        <f>SUM(E30:E32)</f>
        <v>-5565.4904140625003</v>
      </c>
      <c r="F29" s="151">
        <f t="shared" si="10"/>
        <v>-6.4205182665488705</v>
      </c>
      <c r="G29" s="129">
        <f>SUM(G30:G32)</f>
        <v>-6037.1581632670786</v>
      </c>
      <c r="H29" s="151">
        <f t="shared" si="11"/>
        <v>-5.6271648520430055</v>
      </c>
      <c r="I29" s="270">
        <f>SUM(I30:I32)</f>
        <v>-6391.9878338194612</v>
      </c>
      <c r="J29" s="130">
        <f t="shared" si="12"/>
        <v>-5.0706940194223886</v>
      </c>
      <c r="K29" s="131">
        <f>SUM(K30:K32)</f>
        <v>0</v>
      </c>
      <c r="L29" s="130">
        <f t="shared" si="0"/>
        <v>0</v>
      </c>
      <c r="N29" s="152">
        <f t="shared" si="17"/>
        <v>-4.2853473544725205</v>
      </c>
      <c r="P29" s="152">
        <f t="shared" si="18"/>
        <v>-14.850396968946768</v>
      </c>
      <c r="R29" s="152">
        <f t="shared" si="19"/>
        <v>-5.8774287662585039</v>
      </c>
      <c r="T29" s="152">
        <f t="shared" si="20"/>
        <v>0</v>
      </c>
      <c r="V29" s="129">
        <f t="shared" si="1"/>
        <v>-262.66286538196073</v>
      </c>
      <c r="X29" s="129">
        <f t="shared" si="2"/>
        <v>-826.49741975696088</v>
      </c>
      <c r="Z29" s="129">
        <f t="shared" si="3"/>
        <v>-354.82967055238259</v>
      </c>
      <c r="AB29" s="129">
        <f t="shared" si="4"/>
        <v>6391.9878338194612</v>
      </c>
    </row>
    <row r="30" spans="1:28" s="52" customFormat="1" outlineLevel="1" x14ac:dyDescent="0.2">
      <c r="A30" s="87"/>
      <c r="B30" s="153" t="s">
        <v>43</v>
      </c>
      <c r="C30" s="154">
        <v>-1816.4632965624999</v>
      </c>
      <c r="D30" s="155">
        <f t="shared" si="9"/>
        <v>-1.6951977566945498</v>
      </c>
      <c r="E30" s="154">
        <v>-1756.0208203124996</v>
      </c>
      <c r="F30" s="156">
        <f t="shared" si="10"/>
        <v>-2.025798791202432</v>
      </c>
      <c r="G30" s="154">
        <v>-1696.8101685855393</v>
      </c>
      <c r="H30" s="156">
        <f t="shared" si="11"/>
        <v>-1.5815770074320161</v>
      </c>
      <c r="I30" s="267">
        <f>'DRE - H-Contabil'!O30</f>
        <v>-1773.5203102626201</v>
      </c>
      <c r="J30" s="155">
        <f t="shared" si="12"/>
        <v>-1.406914259597261</v>
      </c>
      <c r="K30" s="154"/>
      <c r="L30" s="155">
        <f t="shared" si="0"/>
        <v>0</v>
      </c>
      <c r="M30" s="159"/>
      <c r="N30" s="157">
        <f t="shared" si="17"/>
        <v>2.36409876165105</v>
      </c>
      <c r="O30" s="159"/>
      <c r="P30" s="157">
        <f t="shared" si="18"/>
        <v>-0.99654228171431214</v>
      </c>
      <c r="Q30" s="159"/>
      <c r="R30" s="157">
        <f t="shared" si="19"/>
        <v>-4.5208440577077909</v>
      </c>
      <c r="S30" s="159"/>
      <c r="T30" s="157">
        <f t="shared" si="20"/>
        <v>0</v>
      </c>
      <c r="U30" s="159"/>
      <c r="V30" s="100">
        <f t="shared" si="1"/>
        <v>42.942986299879749</v>
      </c>
      <c r="W30" s="159"/>
      <c r="X30" s="100">
        <f t="shared" si="2"/>
        <v>-17.499489950120505</v>
      </c>
      <c r="Z30" s="100">
        <f t="shared" si="3"/>
        <v>-76.710141677080856</v>
      </c>
      <c r="AB30" s="100">
        <f t="shared" si="4"/>
        <v>1773.5203102626201</v>
      </c>
    </row>
    <row r="31" spans="1:28" s="52" customFormat="1" outlineLevel="1" x14ac:dyDescent="0.2">
      <c r="A31" s="87"/>
      <c r="B31" s="153" t="s">
        <v>44</v>
      </c>
      <c r="C31" s="154">
        <v>-1074.3675312500002</v>
      </c>
      <c r="D31" s="155">
        <f t="shared" si="9"/>
        <v>-1.0026436715165394</v>
      </c>
      <c r="E31" s="154">
        <v>-917.52078125000003</v>
      </c>
      <c r="F31" s="156">
        <f t="shared" si="10"/>
        <v>-1.0584797560820414</v>
      </c>
      <c r="G31" s="154">
        <v>-893.07503920603858</v>
      </c>
      <c r="H31" s="156">
        <f t="shared" si="11"/>
        <v>-0.83242484873670297</v>
      </c>
      <c r="I31" s="267">
        <f>'DRE - H-Contabil'!O31</f>
        <v>-973.20854217111525</v>
      </c>
      <c r="J31" s="155">
        <f t="shared" si="12"/>
        <v>-0.77203568948113843</v>
      </c>
      <c r="K31" s="154"/>
      <c r="L31" s="155">
        <f t="shared" si="0"/>
        <v>0</v>
      </c>
      <c r="N31" s="121">
        <f t="shared" si="17"/>
        <v>9.4156781675251153</v>
      </c>
      <c r="P31" s="121">
        <f t="shared" si="18"/>
        <v>-6.0693732566196417</v>
      </c>
      <c r="R31" s="121">
        <f t="shared" si="19"/>
        <v>-8.972762584017218</v>
      </c>
      <c r="T31" s="121">
        <f t="shared" si="20"/>
        <v>0</v>
      </c>
      <c r="V31" s="100">
        <f t="shared" si="1"/>
        <v>101.15898907888493</v>
      </c>
      <c r="X31" s="100">
        <f t="shared" si="2"/>
        <v>-55.687760921115228</v>
      </c>
      <c r="Y31" s="158"/>
      <c r="Z31" s="100">
        <f t="shared" si="3"/>
        <v>-80.133502965076673</v>
      </c>
      <c r="AB31" s="100">
        <f t="shared" si="4"/>
        <v>973.20854217111525</v>
      </c>
    </row>
    <row r="32" spans="1:28" s="52" customFormat="1" ht="13.5" outlineLevel="1" thickBot="1" x14ac:dyDescent="0.25">
      <c r="A32" s="87"/>
      <c r="B32" s="153" t="s">
        <v>45</v>
      </c>
      <c r="C32" s="154">
        <v>-3238.494140625</v>
      </c>
      <c r="D32" s="155">
        <f t="shared" si="9"/>
        <v>-3.0222950348873456</v>
      </c>
      <c r="E32" s="154">
        <v>-2891.9488125000003</v>
      </c>
      <c r="F32" s="156">
        <f t="shared" si="10"/>
        <v>-3.3362397192643964</v>
      </c>
      <c r="G32" s="154">
        <v>-3447.272955475501</v>
      </c>
      <c r="H32" s="156">
        <f t="shared" si="11"/>
        <v>-3.2131629958742867</v>
      </c>
      <c r="I32" s="267">
        <f>'DRE - H-Contabil'!O32</f>
        <v>-3645.2589813857257</v>
      </c>
      <c r="J32" s="155">
        <f t="shared" si="12"/>
        <v>-2.8917440703439894</v>
      </c>
      <c r="K32" s="154"/>
      <c r="L32" s="155">
        <f t="shared" si="0"/>
        <v>0</v>
      </c>
      <c r="M32" s="159"/>
      <c r="N32" s="122">
        <f t="shared" si="17"/>
        <v>-12.560308065965003</v>
      </c>
      <c r="O32" s="159"/>
      <c r="P32" s="122">
        <f t="shared" si="18"/>
        <v>-26.048530514428862</v>
      </c>
      <c r="Q32" s="159"/>
      <c r="R32" s="122">
        <f t="shared" si="19"/>
        <v>-5.7432651393546337</v>
      </c>
      <c r="S32" s="159"/>
      <c r="T32" s="122">
        <f t="shared" si="20"/>
        <v>0</v>
      </c>
      <c r="U32" s="159"/>
      <c r="V32" s="100">
        <f t="shared" si="1"/>
        <v>-406.76484076072575</v>
      </c>
      <c r="W32" s="159"/>
      <c r="X32" s="100">
        <f t="shared" si="2"/>
        <v>-753.31016888572549</v>
      </c>
      <c r="Y32" s="160"/>
      <c r="Z32" s="100">
        <f t="shared" si="3"/>
        <v>-197.98602591022473</v>
      </c>
      <c r="AB32" s="100">
        <f t="shared" si="4"/>
        <v>3645.2589813857257</v>
      </c>
    </row>
    <row r="33" spans="1:28" s="52" customFormat="1" ht="13.5" thickTop="1" x14ac:dyDescent="0.2">
      <c r="A33" s="87"/>
      <c r="B33" s="150" t="s">
        <v>46</v>
      </c>
      <c r="C33" s="134">
        <f>SUM(C34:C36)</f>
        <v>-2584.4194086914063</v>
      </c>
      <c r="D33" s="130">
        <f t="shared" si="9"/>
        <v>-2.4118857739996091</v>
      </c>
      <c r="E33" s="134">
        <f>SUM(E34:E36)</f>
        <v>-1603.9857518310548</v>
      </c>
      <c r="F33" s="151">
        <f t="shared" si="10"/>
        <v>-1.8504065325301915</v>
      </c>
      <c r="G33" s="134">
        <f>SUM(G34:G36)</f>
        <v>-2337.2620631468267</v>
      </c>
      <c r="H33" s="151">
        <f t="shared" si="11"/>
        <v>-2.1785347635543637</v>
      </c>
      <c r="I33" s="273">
        <f>SUM(I34:I36)</f>
        <v>-3149.7957858254549</v>
      </c>
      <c r="J33" s="130">
        <f t="shared" si="12"/>
        <v>-2.4986985377353723</v>
      </c>
      <c r="K33" s="132">
        <f>SUM(K34:K36)</f>
        <v>0</v>
      </c>
      <c r="L33" s="130">
        <f t="shared" si="0"/>
        <v>0</v>
      </c>
      <c r="N33" s="152">
        <f t="shared" si="17"/>
        <v>-21.876340010165805</v>
      </c>
      <c r="P33" s="152">
        <f t="shared" si="18"/>
        <v>-96.373052705097706</v>
      </c>
      <c r="R33" s="152">
        <f t="shared" si="19"/>
        <v>-34.764339672918595</v>
      </c>
      <c r="T33" s="152">
        <f t="shared" si="20"/>
        <v>0</v>
      </c>
      <c r="V33" s="134">
        <f t="shared" si="1"/>
        <v>-565.37637713404865</v>
      </c>
      <c r="X33" s="134">
        <f t="shared" si="2"/>
        <v>-1545.8100339944001</v>
      </c>
      <c r="Z33" s="134">
        <f t="shared" si="3"/>
        <v>-812.53372267862824</v>
      </c>
      <c r="AB33" s="134">
        <f t="shared" si="4"/>
        <v>3149.7957858254549</v>
      </c>
    </row>
    <row r="34" spans="1:28" s="52" customFormat="1" outlineLevel="1" x14ac:dyDescent="0.2">
      <c r="A34" s="87"/>
      <c r="B34" s="153" t="s">
        <v>47</v>
      </c>
      <c r="C34" s="154">
        <v>-1416.6663359375</v>
      </c>
      <c r="D34" s="155">
        <f t="shared" si="9"/>
        <v>-1.3220909000532104</v>
      </c>
      <c r="E34" s="154">
        <v>-1025.6092265625002</v>
      </c>
      <c r="F34" s="156">
        <f t="shared" si="10"/>
        <v>-1.1831738595483354</v>
      </c>
      <c r="G34" s="154">
        <v>-1154.4497013646001</v>
      </c>
      <c r="H34" s="156">
        <f t="shared" si="11"/>
        <v>-1.0760491289588618</v>
      </c>
      <c r="I34" s="267">
        <f>'DRE - H-Contabil'!O34</f>
        <v>-1308.2667305586897</v>
      </c>
      <c r="J34" s="155">
        <f t="shared" si="12"/>
        <v>-1.0378336847505019</v>
      </c>
      <c r="K34" s="154"/>
      <c r="L34" s="155">
        <f t="shared" si="0"/>
        <v>0</v>
      </c>
      <c r="N34" s="157">
        <f t="shared" si="17"/>
        <v>7.6517386366123645</v>
      </c>
      <c r="P34" s="157">
        <f t="shared" si="18"/>
        <v>-27.559961111461817</v>
      </c>
      <c r="R34" s="157">
        <f t="shared" si="19"/>
        <v>-13.323839835747947</v>
      </c>
      <c r="T34" s="157">
        <f t="shared" si="20"/>
        <v>0</v>
      </c>
      <c r="V34" s="100">
        <f t="shared" si="1"/>
        <v>108.39960537881029</v>
      </c>
      <c r="X34" s="100">
        <f t="shared" si="2"/>
        <v>-282.65750399618946</v>
      </c>
      <c r="Z34" s="100">
        <f t="shared" si="3"/>
        <v>-153.81702919408963</v>
      </c>
      <c r="AB34" s="100">
        <f t="shared" si="4"/>
        <v>1308.2667305586897</v>
      </c>
    </row>
    <row r="35" spans="1:28" s="52" customFormat="1" outlineLevel="1" x14ac:dyDescent="0.2">
      <c r="A35" s="87"/>
      <c r="B35" s="153" t="s">
        <v>48</v>
      </c>
      <c r="C35" s="154">
        <v>-224.4090844726563</v>
      </c>
      <c r="D35" s="155">
        <f t="shared" si="9"/>
        <v>-0.2094277254595964</v>
      </c>
      <c r="E35" s="154">
        <v>-50.124419799804684</v>
      </c>
      <c r="F35" s="156">
        <f t="shared" si="10"/>
        <v>-5.7825048465027465E-2</v>
      </c>
      <c r="G35" s="154">
        <v>-58.599380063476559</v>
      </c>
      <c r="H35" s="156">
        <f t="shared" si="11"/>
        <v>-5.4619800066039309E-2</v>
      </c>
      <c r="I35" s="267">
        <f>'DRE - H-Contabil'!O35</f>
        <v>-248.96778914499998</v>
      </c>
      <c r="J35" s="155">
        <f t="shared" si="12"/>
        <v>-0.1975034233899674</v>
      </c>
      <c r="K35" s="154"/>
      <c r="L35" s="155">
        <f t="shared" si="0"/>
        <v>0</v>
      </c>
      <c r="N35" s="121">
        <f t="shared" si="17"/>
        <v>-10.943721253555623</v>
      </c>
      <c r="P35" s="121">
        <f t="shared" si="18"/>
        <v>-396.69959301148879</v>
      </c>
      <c r="R35" s="121">
        <f t="shared" si="19"/>
        <v>-324.8642031286181</v>
      </c>
      <c r="T35" s="121">
        <f t="shared" si="20"/>
        <v>0</v>
      </c>
      <c r="V35" s="100">
        <f t="shared" si="1"/>
        <v>-24.55870467234368</v>
      </c>
      <c r="X35" s="100">
        <f t="shared" si="2"/>
        <v>-198.8433693451953</v>
      </c>
      <c r="Y35" s="158"/>
      <c r="Z35" s="100">
        <f t="shared" si="3"/>
        <v>-190.36840908152342</v>
      </c>
      <c r="AB35" s="100">
        <f t="shared" si="4"/>
        <v>248.96778914499998</v>
      </c>
    </row>
    <row r="36" spans="1:28" s="52" customFormat="1" ht="13.5" outlineLevel="1" thickBot="1" x14ac:dyDescent="0.25">
      <c r="A36" s="87"/>
      <c r="B36" s="153" t="s">
        <v>49</v>
      </c>
      <c r="C36" s="154">
        <v>-943.34398828124995</v>
      </c>
      <c r="D36" s="155">
        <f t="shared" si="9"/>
        <v>-0.8803671484868022</v>
      </c>
      <c r="E36" s="154">
        <v>-528.25210546874996</v>
      </c>
      <c r="F36" s="156">
        <f t="shared" si="10"/>
        <v>-0.60940762451682862</v>
      </c>
      <c r="G36" s="154">
        <v>-1124.2129817187501</v>
      </c>
      <c r="H36" s="156">
        <f t="shared" si="11"/>
        <v>-1.0478658345294629</v>
      </c>
      <c r="I36" s="267">
        <f>'DRE - H-Contabil'!O36</f>
        <v>-1592.5612661217649</v>
      </c>
      <c r="J36" s="155">
        <f t="shared" si="12"/>
        <v>-1.2633614295949029</v>
      </c>
      <c r="K36" s="154"/>
      <c r="L36" s="155">
        <f t="shared" si="0"/>
        <v>0</v>
      </c>
      <c r="N36" s="122">
        <f t="shared" si="17"/>
        <v>-68.820842227804235</v>
      </c>
      <c r="P36" s="122">
        <f t="shared" si="18"/>
        <v>-201.47750470555894</v>
      </c>
      <c r="R36" s="122">
        <f t="shared" si="19"/>
        <v>-41.660102846969608</v>
      </c>
      <c r="T36" s="122">
        <f t="shared" si="20"/>
        <v>0</v>
      </c>
      <c r="V36" s="100">
        <f t="shared" si="1"/>
        <v>-649.21727784051495</v>
      </c>
      <c r="X36" s="100">
        <f t="shared" si="2"/>
        <v>-1064.3091606530149</v>
      </c>
      <c r="Y36" s="158"/>
      <c r="Z36" s="100">
        <f t="shared" si="3"/>
        <v>-468.34828440301476</v>
      </c>
      <c r="AB36" s="100">
        <f t="shared" si="4"/>
        <v>1592.5612661217649</v>
      </c>
    </row>
    <row r="37" spans="1:28" s="52" customFormat="1" ht="13.5" thickTop="1" x14ac:dyDescent="0.2">
      <c r="A37" s="87"/>
      <c r="B37" s="150" t="s">
        <v>50</v>
      </c>
      <c r="C37" s="134">
        <f>SUM(C38:C41)</f>
        <v>-10450.444676580817</v>
      </c>
      <c r="D37" s="130">
        <f t="shared" si="9"/>
        <v>-9.7527819063151391</v>
      </c>
      <c r="E37" s="134">
        <f>SUM(E38:E41)</f>
        <v>-7661.6795219726555</v>
      </c>
      <c r="F37" s="151">
        <f t="shared" si="10"/>
        <v>-8.8387454947319632</v>
      </c>
      <c r="G37" s="134">
        <f>SUM(G38:G41)</f>
        <v>-8837.1636386884002</v>
      </c>
      <c r="H37" s="151">
        <f t="shared" si="11"/>
        <v>-8.2370173638897768</v>
      </c>
      <c r="I37" s="273">
        <f>SUM(I38:I41)</f>
        <v>-9076.3062172591126</v>
      </c>
      <c r="J37" s="130">
        <f t="shared" si="12"/>
        <v>-7.2001344262261204</v>
      </c>
      <c r="K37" s="132">
        <f>SUM(K38:K41)</f>
        <v>0</v>
      </c>
      <c r="L37" s="130">
        <f t="shared" si="0"/>
        <v>0</v>
      </c>
      <c r="N37" s="152">
        <f t="shared" si="17"/>
        <v>13.149090798031921</v>
      </c>
      <c r="P37" s="152">
        <f t="shared" si="18"/>
        <v>-18.463663107149017</v>
      </c>
      <c r="R37" s="152">
        <f t="shared" si="19"/>
        <v>-2.7061010562683805</v>
      </c>
      <c r="T37" s="152">
        <f t="shared" si="20"/>
        <v>0</v>
      </c>
      <c r="V37" s="134">
        <f t="shared" si="1"/>
        <v>1374.1384593217044</v>
      </c>
      <c r="X37" s="134">
        <f t="shared" si="2"/>
        <v>-1414.6266952864571</v>
      </c>
      <c r="Z37" s="134">
        <f t="shared" si="3"/>
        <v>-239.14257857071243</v>
      </c>
      <c r="AB37" s="134">
        <f t="shared" si="4"/>
        <v>9076.3062172591126</v>
      </c>
    </row>
    <row r="38" spans="1:28" s="52" customFormat="1" outlineLevel="1" x14ac:dyDescent="0.2">
      <c r="A38" s="87"/>
      <c r="B38" s="153" t="s">
        <v>51</v>
      </c>
      <c r="C38" s="154">
        <v>-7890.3369062499987</v>
      </c>
      <c r="D38" s="155">
        <f t="shared" si="9"/>
        <v>-7.3635847464419086</v>
      </c>
      <c r="E38" s="154">
        <v>-6130.0064374999993</v>
      </c>
      <c r="F38" s="156">
        <f t="shared" si="10"/>
        <v>-7.0717610449178512</v>
      </c>
      <c r="G38" s="154">
        <v>-7871.4006311407447</v>
      </c>
      <c r="H38" s="156">
        <f t="shared" si="11"/>
        <v>-7.3368409059427879</v>
      </c>
      <c r="I38" s="267">
        <f>'DRE - H-Contabil'!O38</f>
        <v>-7603.0200822201314</v>
      </c>
      <c r="J38" s="155">
        <f t="shared" si="12"/>
        <v>-6.0313926532343336</v>
      </c>
      <c r="K38" s="154"/>
      <c r="L38" s="155">
        <f t="shared" si="0"/>
        <v>0</v>
      </c>
      <c r="N38" s="157">
        <f t="shared" si="17"/>
        <v>3.6413758682760715</v>
      </c>
      <c r="P38" s="157">
        <f t="shared" si="18"/>
        <v>-24.02956113894183</v>
      </c>
      <c r="R38" s="157">
        <f t="shared" si="19"/>
        <v>3.4095653556096437</v>
      </c>
      <c r="T38" s="157">
        <f t="shared" si="20"/>
        <v>0</v>
      </c>
      <c r="V38" s="100">
        <f t="shared" si="1"/>
        <v>287.31682402986735</v>
      </c>
      <c r="X38" s="100">
        <f t="shared" si="2"/>
        <v>-1473.0136447201321</v>
      </c>
      <c r="Y38" s="158"/>
      <c r="Z38" s="100">
        <f t="shared" si="3"/>
        <v>268.38054892061336</v>
      </c>
      <c r="AB38" s="100">
        <f t="shared" si="4"/>
        <v>7603.0200822201314</v>
      </c>
    </row>
    <row r="39" spans="1:28" outlineLevel="1" x14ac:dyDescent="0.2">
      <c r="A39" s="87"/>
      <c r="B39" s="153" t="s">
        <v>52</v>
      </c>
      <c r="C39" s="154">
        <v>-1533.7136796875002</v>
      </c>
      <c r="D39" s="155">
        <f t="shared" si="9"/>
        <v>-1.4313242629995171</v>
      </c>
      <c r="E39" s="154">
        <v>-1210.9418671874998</v>
      </c>
      <c r="F39" s="156">
        <f t="shared" si="10"/>
        <v>-1.3969792057068533</v>
      </c>
      <c r="G39" s="154">
        <v>-996.77808682500006</v>
      </c>
      <c r="H39" s="156">
        <f t="shared" si="11"/>
        <v>-0.9290852523288734</v>
      </c>
      <c r="I39" s="267">
        <f>'DRE - H-Contabil'!O39</f>
        <v>-788.46665503898146</v>
      </c>
      <c r="J39" s="155">
        <f t="shared" si="12"/>
        <v>-0.62548197151857443</v>
      </c>
      <c r="K39" s="154"/>
      <c r="L39" s="155">
        <f t="shared" si="0"/>
        <v>0</v>
      </c>
      <c r="M39" s="52"/>
      <c r="N39" s="121">
        <f t="shared" si="17"/>
        <v>48.591013728218527</v>
      </c>
      <c r="O39" s="52"/>
      <c r="P39" s="121">
        <f t="shared" si="18"/>
        <v>34.888149761453661</v>
      </c>
      <c r="Q39" s="52"/>
      <c r="R39" s="121">
        <f t="shared" si="19"/>
        <v>20.898476254583926</v>
      </c>
      <c r="S39" s="52"/>
      <c r="T39" s="121">
        <f t="shared" si="20"/>
        <v>0</v>
      </c>
      <c r="U39" s="52"/>
      <c r="V39" s="100">
        <f t="shared" si="1"/>
        <v>745.24702464851873</v>
      </c>
      <c r="W39" s="52"/>
      <c r="X39" s="100">
        <f t="shared" si="2"/>
        <v>422.47521214851838</v>
      </c>
      <c r="Y39" s="158"/>
      <c r="Z39" s="100">
        <f t="shared" si="3"/>
        <v>208.3114317860186</v>
      </c>
      <c r="AB39" s="100">
        <f t="shared" si="4"/>
        <v>788.46665503898146</v>
      </c>
    </row>
    <row r="40" spans="1:28" outlineLevel="1" x14ac:dyDescent="0.2">
      <c r="A40" s="87"/>
      <c r="B40" s="153" t="s">
        <v>53</v>
      </c>
      <c r="C40" s="154">
        <v>-324.23838671875006</v>
      </c>
      <c r="D40" s="155">
        <f t="shared" si="9"/>
        <v>-0.30259250866232573</v>
      </c>
      <c r="E40" s="154">
        <v>-769.32363281250002</v>
      </c>
      <c r="F40" s="156">
        <f t="shared" si="10"/>
        <v>-0.8875150381859811</v>
      </c>
      <c r="G40" s="154">
        <v>-693.99946312500003</v>
      </c>
      <c r="H40" s="156">
        <f t="shared" si="11"/>
        <v>-0.64686882149205527</v>
      </c>
      <c r="I40" s="267">
        <f>'DRE - H-Contabil'!O40</f>
        <v>-684.81947999999966</v>
      </c>
      <c r="J40" s="155">
        <f t="shared" si="12"/>
        <v>-0.54325980147321229</v>
      </c>
      <c r="K40" s="154"/>
      <c r="L40" s="155">
        <f t="shared" si="0"/>
        <v>0</v>
      </c>
      <c r="N40" s="121">
        <f t="shared" si="17"/>
        <v>-111.20863785755998</v>
      </c>
      <c r="P40" s="121">
        <f t="shared" si="18"/>
        <v>10.984213822155624</v>
      </c>
      <c r="R40" s="121">
        <f t="shared" si="19"/>
        <v>1.3227651623336953</v>
      </c>
      <c r="T40" s="121">
        <f t="shared" si="20"/>
        <v>0</v>
      </c>
      <c r="V40" s="100">
        <f t="shared" si="1"/>
        <v>-360.58109328124959</v>
      </c>
      <c r="X40" s="100">
        <f t="shared" si="2"/>
        <v>84.504152812500365</v>
      </c>
      <c r="Y40" s="160"/>
      <c r="Z40" s="100">
        <f t="shared" si="3"/>
        <v>9.1799831250003763</v>
      </c>
      <c r="AB40" s="100">
        <f t="shared" si="4"/>
        <v>684.81947999999966</v>
      </c>
    </row>
    <row r="41" spans="1:28" ht="13.5" outlineLevel="1" thickBot="1" x14ac:dyDescent="0.25">
      <c r="A41" s="87"/>
      <c r="B41" s="153" t="s">
        <v>54</v>
      </c>
      <c r="C41" s="154">
        <v>-702.15570392456652</v>
      </c>
      <c r="D41" s="155">
        <f t="shared" si="9"/>
        <v>-0.65528038821138523</v>
      </c>
      <c r="E41" s="154">
        <v>448.59241552734375</v>
      </c>
      <c r="F41" s="156">
        <f t="shared" si="10"/>
        <v>0.517509794078723</v>
      </c>
      <c r="G41" s="154">
        <v>725.01454240234386</v>
      </c>
      <c r="H41" s="156">
        <f t="shared" si="11"/>
        <v>0.67577761587393859</v>
      </c>
      <c r="I41" s="267">
        <f>'DRE - H-Contabil'!O41</f>
        <v>0</v>
      </c>
      <c r="J41" s="155">
        <f t="shared" si="12"/>
        <v>0</v>
      </c>
      <c r="K41" s="154"/>
      <c r="L41" s="155">
        <f t="shared" si="0"/>
        <v>0</v>
      </c>
      <c r="N41" s="122">
        <f t="shared" si="17"/>
        <v>0</v>
      </c>
      <c r="P41" s="122">
        <f t="shared" si="18"/>
        <v>0</v>
      </c>
      <c r="R41" s="122">
        <f t="shared" si="19"/>
        <v>0</v>
      </c>
      <c r="T41" s="122">
        <f t="shared" si="20"/>
        <v>0</v>
      </c>
      <c r="V41" s="100">
        <f t="shared" si="1"/>
        <v>702.15570392456652</v>
      </c>
      <c r="X41" s="100">
        <f t="shared" si="2"/>
        <v>-448.59241552734375</v>
      </c>
      <c r="Z41" s="100">
        <f t="shared" si="3"/>
        <v>-725.01454240234386</v>
      </c>
      <c r="AB41" s="100">
        <f t="shared" si="4"/>
        <v>0</v>
      </c>
    </row>
    <row r="42" spans="1:28" ht="13.5" thickTop="1" x14ac:dyDescent="0.2">
      <c r="A42" s="87"/>
      <c r="B42" s="150" t="s">
        <v>98</v>
      </c>
      <c r="C42" s="129">
        <f>SUM(C43:C48)</f>
        <v>-1141.4319961865237</v>
      </c>
      <c r="D42" s="130">
        <f t="shared" si="9"/>
        <v>-1.065230969993453</v>
      </c>
      <c r="E42" s="129">
        <f>SUM(E43:E48)</f>
        <v>-1049.9313164205935</v>
      </c>
      <c r="F42" s="151">
        <f t="shared" si="10"/>
        <v>-1.211232558889539</v>
      </c>
      <c r="G42" s="129">
        <f>SUM(G43:G48)</f>
        <v>-1076.8371476949503</v>
      </c>
      <c r="H42" s="151">
        <f t="shared" si="11"/>
        <v>-1.0037073710860138</v>
      </c>
      <c r="I42" s="270">
        <f>SUM(I43:I48)</f>
        <v>-1177.5999999999999</v>
      </c>
      <c r="J42" s="130">
        <f t="shared" si="12"/>
        <v>-0.93417719690867296</v>
      </c>
      <c r="K42" s="131">
        <f>SUM(K43:K48)</f>
        <v>0</v>
      </c>
      <c r="L42" s="130">
        <f t="shared" si="0"/>
        <v>0</v>
      </c>
      <c r="N42" s="152">
        <f t="shared" si="17"/>
        <v>-3.1686516528634172</v>
      </c>
      <c r="P42" s="152">
        <f t="shared" si="18"/>
        <v>-12.159717648450766</v>
      </c>
      <c r="R42" s="152">
        <f t="shared" si="19"/>
        <v>-9.357297203271628</v>
      </c>
      <c r="T42" s="152">
        <f t="shared" si="20"/>
        <v>0</v>
      </c>
      <c r="V42" s="129">
        <f t="shared" si="1"/>
        <v>-36.168003813476162</v>
      </c>
      <c r="X42" s="129">
        <f t="shared" si="2"/>
        <v>-127.66868357940643</v>
      </c>
      <c r="Z42" s="129">
        <f t="shared" si="3"/>
        <v>-100.76285230504959</v>
      </c>
      <c r="AB42" s="129">
        <f t="shared" si="4"/>
        <v>1177.5999999999999</v>
      </c>
    </row>
    <row r="43" spans="1:28" s="31" customFormat="1" outlineLevel="1" x14ac:dyDescent="0.2">
      <c r="A43" s="3"/>
      <c r="B43" s="153" t="s">
        <v>109</v>
      </c>
      <c r="C43" s="154">
        <v>-356.46095507812504</v>
      </c>
      <c r="D43" s="155">
        <f t="shared" si="9"/>
        <v>-0.3326639258503965</v>
      </c>
      <c r="E43" s="154">
        <v>-478.66308199218753</v>
      </c>
      <c r="F43" s="156">
        <f t="shared" si="10"/>
        <v>-0.55220022546227077</v>
      </c>
      <c r="G43" s="154">
        <v>-422.38454148437506</v>
      </c>
      <c r="H43" s="156">
        <f t="shared" si="11"/>
        <v>-0.39369971460229702</v>
      </c>
      <c r="I43" s="103">
        <f>'DRE - H-Contabil'!O43</f>
        <v>-444.99999999999994</v>
      </c>
      <c r="J43" s="155">
        <f t="shared" si="12"/>
        <v>-0.35301363164432698</v>
      </c>
      <c r="K43" s="154"/>
      <c r="L43" s="155">
        <f t="shared" si="0"/>
        <v>0</v>
      </c>
      <c r="N43" s="157">
        <f t="shared" si="17"/>
        <v>-24.838357093687847</v>
      </c>
      <c r="P43" s="157">
        <f t="shared" si="18"/>
        <v>7.0327299636484213</v>
      </c>
      <c r="R43" s="157">
        <f t="shared" si="19"/>
        <v>-5.3542344225354412</v>
      </c>
      <c r="T43" s="157">
        <f t="shared" si="20"/>
        <v>0</v>
      </c>
      <c r="V43" s="100">
        <f t="shared" si="1"/>
        <v>-88.539044921874904</v>
      </c>
      <c r="X43" s="100">
        <f t="shared" si="2"/>
        <v>33.663081992187585</v>
      </c>
      <c r="Y43" s="60"/>
      <c r="Z43" s="100">
        <f t="shared" si="3"/>
        <v>-22.61545851562488</v>
      </c>
      <c r="AB43" s="100">
        <f t="shared" si="4"/>
        <v>444.99999999999994</v>
      </c>
    </row>
    <row r="44" spans="1:28" s="31" customFormat="1" outlineLevel="1" x14ac:dyDescent="0.2">
      <c r="A44" s="3"/>
      <c r="B44" s="153" t="s">
        <v>56</v>
      </c>
      <c r="C44" s="154">
        <v>-391.9638193359375</v>
      </c>
      <c r="D44" s="155">
        <f t="shared" si="9"/>
        <v>-0.36579664918148086</v>
      </c>
      <c r="E44" s="154">
        <v>-203.07749035644531</v>
      </c>
      <c r="F44" s="156">
        <f t="shared" si="10"/>
        <v>-0.23427634212861959</v>
      </c>
      <c r="G44" s="154">
        <v>-103.85921032226561</v>
      </c>
      <c r="H44" s="156">
        <f t="shared" si="11"/>
        <v>-9.6805961030201421E-2</v>
      </c>
      <c r="I44" s="103">
        <f>'DRE - H-Contabil'!O44</f>
        <v>-105</v>
      </c>
      <c r="J44" s="155">
        <f t="shared" si="12"/>
        <v>-8.3295351286863675E-2</v>
      </c>
      <c r="K44" s="154"/>
      <c r="L44" s="155">
        <f t="shared" si="0"/>
        <v>0</v>
      </c>
      <c r="N44" s="121">
        <f t="shared" si="17"/>
        <v>73.211813228606076</v>
      </c>
      <c r="P44" s="121">
        <f t="shared" si="18"/>
        <v>48.295598977660163</v>
      </c>
      <c r="R44" s="121">
        <f t="shared" si="19"/>
        <v>-1.0984001074094749</v>
      </c>
      <c r="T44" s="121">
        <f t="shared" si="20"/>
        <v>0</v>
      </c>
      <c r="V44" s="100">
        <f t="shared" si="1"/>
        <v>286.9638193359375</v>
      </c>
      <c r="X44" s="100">
        <f t="shared" si="2"/>
        <v>98.07749035644531</v>
      </c>
      <c r="Y44" s="60"/>
      <c r="Z44" s="100">
        <f t="shared" si="3"/>
        <v>-1.1407896777343893</v>
      </c>
      <c r="AB44" s="100">
        <f t="shared" si="4"/>
        <v>105</v>
      </c>
    </row>
    <row r="45" spans="1:28" s="31" customFormat="1" outlineLevel="1" x14ac:dyDescent="0.2">
      <c r="A45" s="3"/>
      <c r="B45" s="153" t="s">
        <v>57</v>
      </c>
      <c r="C45" s="154">
        <v>-418.37676562500008</v>
      </c>
      <c r="D45" s="155">
        <f t="shared" si="9"/>
        <v>-0.39044628971187073</v>
      </c>
      <c r="E45" s="154">
        <v>-593.85835351562503</v>
      </c>
      <c r="F45" s="156">
        <f t="shared" si="10"/>
        <v>-0.68509297884254483</v>
      </c>
      <c r="G45" s="154">
        <v>-534.32068609375006</v>
      </c>
      <c r="H45" s="156">
        <f t="shared" si="11"/>
        <v>-0.49803409206677762</v>
      </c>
      <c r="I45" s="103">
        <f>'DRE - H-Contabil'!O45</f>
        <v>-525.6</v>
      </c>
      <c r="J45" s="155">
        <f t="shared" si="12"/>
        <v>-0.41695272987024334</v>
      </c>
      <c r="K45" s="154"/>
      <c r="L45" s="155">
        <f t="shared" si="0"/>
        <v>0</v>
      </c>
      <c r="N45" s="121">
        <f t="shared" si="17"/>
        <v>-25.628391245585178</v>
      </c>
      <c r="P45" s="121">
        <f t="shared" si="18"/>
        <v>11.494046199996589</v>
      </c>
      <c r="R45" s="121">
        <f t="shared" si="19"/>
        <v>1.6321071447755884</v>
      </c>
      <c r="T45" s="121">
        <f t="shared" si="20"/>
        <v>0</v>
      </c>
      <c r="V45" s="100">
        <f t="shared" si="1"/>
        <v>-107.22323437499995</v>
      </c>
      <c r="X45" s="100">
        <f t="shared" si="2"/>
        <v>68.258353515625004</v>
      </c>
      <c r="Y45" s="60"/>
      <c r="Z45" s="100">
        <f t="shared" si="3"/>
        <v>8.7206860937500323</v>
      </c>
      <c r="AB45" s="100">
        <f t="shared" si="4"/>
        <v>525.6</v>
      </c>
    </row>
    <row r="46" spans="1:28" s="31" customFormat="1" outlineLevel="1" x14ac:dyDescent="0.2">
      <c r="A46" s="3"/>
      <c r="B46" s="153" t="s">
        <v>58</v>
      </c>
      <c r="C46" s="154">
        <v>925.11223437499996</v>
      </c>
      <c r="D46" s="155">
        <f t="shared" si="9"/>
        <v>0.86335253091595998</v>
      </c>
      <c r="E46" s="154">
        <v>477.43941015625001</v>
      </c>
      <c r="F46" s="156">
        <f t="shared" si="10"/>
        <v>0.55078856057914627</v>
      </c>
      <c r="G46" s="154">
        <v>307.73712041194273</v>
      </c>
      <c r="H46" s="156">
        <f t="shared" si="11"/>
        <v>0.2868381879055969</v>
      </c>
      <c r="I46" s="103">
        <f>'DRE - H-Contabil'!O46</f>
        <v>234</v>
      </c>
      <c r="J46" s="155">
        <f t="shared" si="12"/>
        <v>0.18562964001072477</v>
      </c>
      <c r="K46" s="154"/>
      <c r="L46" s="155">
        <f t="shared" si="0"/>
        <v>0</v>
      </c>
      <c r="N46" s="121">
        <f t="shared" si="17"/>
        <v>74.705771764213139</v>
      </c>
      <c r="P46" s="121">
        <f t="shared" si="18"/>
        <v>50.988545347896689</v>
      </c>
      <c r="R46" s="121">
        <f t="shared" si="19"/>
        <v>23.961074410924766</v>
      </c>
      <c r="T46" s="121">
        <f t="shared" si="20"/>
        <v>0</v>
      </c>
      <c r="V46" s="100">
        <f t="shared" si="1"/>
        <v>-691.11223437499996</v>
      </c>
      <c r="X46" s="100">
        <f t="shared" si="2"/>
        <v>-243.43941015625001</v>
      </c>
      <c r="Y46" s="60"/>
      <c r="Z46" s="100">
        <f t="shared" si="3"/>
        <v>-73.737120411942726</v>
      </c>
      <c r="AB46" s="100">
        <f t="shared" si="4"/>
        <v>-234</v>
      </c>
    </row>
    <row r="47" spans="1:28" s="31" customFormat="1" outlineLevel="1" x14ac:dyDescent="0.2">
      <c r="A47" s="3"/>
      <c r="B47" s="153" t="s">
        <v>59</v>
      </c>
      <c r="C47" s="154">
        <v>-406.1494661865234</v>
      </c>
      <c r="D47" s="155">
        <f t="shared" si="9"/>
        <v>-0.37903527435154738</v>
      </c>
      <c r="E47" s="154">
        <v>-13.134359794616699</v>
      </c>
      <c r="F47" s="156">
        <f t="shared" si="10"/>
        <v>-1.515219517181879E-2</v>
      </c>
      <c r="G47" s="154">
        <v>-39.388919959106445</v>
      </c>
      <c r="H47" s="156">
        <f t="shared" si="11"/>
        <v>-3.6713953810657105E-2</v>
      </c>
      <c r="I47" s="103">
        <f>'DRE - H-Contabil'!O47</f>
        <v>-46.79999999999999</v>
      </c>
      <c r="J47" s="155">
        <f t="shared" si="12"/>
        <v>-3.7125928002144946E-2</v>
      </c>
      <c r="K47" s="154"/>
      <c r="L47" s="155">
        <f t="shared" si="0"/>
        <v>0</v>
      </c>
      <c r="N47" s="121">
        <f t="shared" si="17"/>
        <v>88.477148464721324</v>
      </c>
      <c r="P47" s="121">
        <f t="shared" si="18"/>
        <v>-256.31732898912685</v>
      </c>
      <c r="R47" s="121">
        <f t="shared" si="19"/>
        <v>-18.815138999971865</v>
      </c>
      <c r="T47" s="121">
        <f t="shared" si="20"/>
        <v>0</v>
      </c>
      <c r="V47" s="100">
        <f t="shared" si="1"/>
        <v>359.34946618652339</v>
      </c>
      <c r="X47" s="100">
        <f t="shared" si="2"/>
        <v>-33.665640205383291</v>
      </c>
      <c r="Y47" s="60"/>
      <c r="Z47" s="100">
        <f t="shared" si="3"/>
        <v>-7.4110800408935447</v>
      </c>
      <c r="AB47" s="100">
        <f t="shared" si="4"/>
        <v>46.79999999999999</v>
      </c>
    </row>
    <row r="48" spans="1:28" s="31" customFormat="1" ht="13.5" outlineLevel="1" thickBot="1" x14ac:dyDescent="0.25">
      <c r="A48" s="3"/>
      <c r="B48" s="153" t="s">
        <v>60</v>
      </c>
      <c r="C48" s="154">
        <v>-493.59322433593752</v>
      </c>
      <c r="D48" s="155">
        <f t="shared" si="9"/>
        <v>-0.46064136181411741</v>
      </c>
      <c r="E48" s="154">
        <v>-238.63744091796875</v>
      </c>
      <c r="F48" s="156">
        <f t="shared" ref="F48:F79" si="21">(E48/E$15)*100</f>
        <v>-0.27529937786343095</v>
      </c>
      <c r="G48" s="154">
        <v>-284.6209102473959</v>
      </c>
      <c r="H48" s="156">
        <f t="shared" si="11"/>
        <v>-0.26529183748167762</v>
      </c>
      <c r="I48" s="105">
        <f>'DRE - H-Contabil'!O48</f>
        <v>-289.2</v>
      </c>
      <c r="J48" s="155">
        <f t="shared" si="12"/>
        <v>-0.22941919611581879</v>
      </c>
      <c r="K48" s="154"/>
      <c r="L48" s="155">
        <f t="shared" si="0"/>
        <v>0</v>
      </c>
      <c r="N48" s="122">
        <f t="shared" si="17"/>
        <v>41.409244345061822</v>
      </c>
      <c r="P48" s="122">
        <f t="shared" si="18"/>
        <v>-21.188024346695883</v>
      </c>
      <c r="R48" s="122">
        <f t="shared" si="19"/>
        <v>-1.6088381379371981</v>
      </c>
      <c r="T48" s="122">
        <f t="shared" si="20"/>
        <v>0</v>
      </c>
      <c r="V48" s="100">
        <f t="shared" si="1"/>
        <v>204.39322433593753</v>
      </c>
      <c r="X48" s="100">
        <f t="shared" si="2"/>
        <v>-50.562559082031242</v>
      </c>
      <c r="Y48" s="158"/>
      <c r="Z48" s="100">
        <f t="shared" si="3"/>
        <v>-4.5790897526040908</v>
      </c>
      <c r="AA48" s="60"/>
      <c r="AB48" s="100">
        <f t="shared" si="4"/>
        <v>289.2</v>
      </c>
    </row>
    <row r="49" spans="1:28" s="31" customFormat="1" ht="14.25" thickTop="1" thickBot="1" x14ac:dyDescent="0.25">
      <c r="A49" s="3"/>
      <c r="B49" s="107" t="s">
        <v>61</v>
      </c>
      <c r="C49" s="108">
        <f>C24+C25</f>
        <v>-12953.524274969517</v>
      </c>
      <c r="D49" s="140">
        <f t="shared" si="9"/>
        <v>-12.088758046348543</v>
      </c>
      <c r="E49" s="108">
        <f>E24+E25</f>
        <v>-723.73135036103486</v>
      </c>
      <c r="F49" s="141">
        <f t="shared" si="21"/>
        <v>-0.83491840060061273</v>
      </c>
      <c r="G49" s="108">
        <f>G24+G25</f>
        <v>3472.7083158510031</v>
      </c>
      <c r="H49" s="141">
        <f t="shared" si="11"/>
        <v>3.236870999215153</v>
      </c>
      <c r="I49" s="135">
        <f>I24+I25</f>
        <v>4921.4482683545357</v>
      </c>
      <c r="J49" s="140">
        <f t="shared" si="12"/>
        <v>3.9041310700258856</v>
      </c>
      <c r="K49" s="135">
        <f>K24+K25</f>
        <v>0</v>
      </c>
      <c r="L49" s="140">
        <f t="shared" si="0"/>
        <v>0</v>
      </c>
      <c r="N49" s="137">
        <f>IF(OR($I49=0,C49=0),0,($I49/C49)*100-100)</f>
        <v>-137.9931219016928</v>
      </c>
      <c r="P49" s="137">
        <f>IF(OR($I49=0,E49=0),0,($I49/E49)*100-100)</f>
        <v>-780.01037483030973</v>
      </c>
      <c r="R49" s="137">
        <f>IF(OR($I49=0,G49=0),0,($I49/G49)*100-100)</f>
        <v>41.717870340299868</v>
      </c>
      <c r="T49" s="137">
        <f>IF(OR($I49=0,K49=0),0,($I49/K49)*100-100)</f>
        <v>0</v>
      </c>
      <c r="V49" s="108">
        <f t="shared" si="1"/>
        <v>17874.972543324053</v>
      </c>
      <c r="X49" s="108">
        <f t="shared" si="2"/>
        <v>5645.1796187155705</v>
      </c>
      <c r="Y49" s="60"/>
      <c r="Z49" s="108">
        <f t="shared" si="3"/>
        <v>1448.7399525035325</v>
      </c>
      <c r="AB49" s="108">
        <f t="shared" si="4"/>
        <v>-4921.4482683545357</v>
      </c>
    </row>
    <row r="50" spans="1:28" ht="13.5" thickTop="1" x14ac:dyDescent="0.2">
      <c r="A50" s="3"/>
      <c r="B50" s="283" t="s">
        <v>62</v>
      </c>
      <c r="C50" s="89">
        <f>SUM(C51:C52)</f>
        <v>22.565274536132819</v>
      </c>
      <c r="D50" s="130">
        <f t="shared" si="9"/>
        <v>2.105883606084348E-2</v>
      </c>
      <c r="E50" s="89">
        <f>SUM(E51:E52)</f>
        <v>10.422451416015624</v>
      </c>
      <c r="F50" s="151">
        <f t="shared" si="21"/>
        <v>1.2023655548783948E-2</v>
      </c>
      <c r="G50" s="89">
        <f>SUM(G51:G52)</f>
        <v>50.794019999999996</v>
      </c>
      <c r="H50" s="151">
        <f t="shared" si="11"/>
        <v>4.7344514804510476E-2</v>
      </c>
      <c r="I50" s="265">
        <f>SUM(I51:I52)</f>
        <v>0</v>
      </c>
      <c r="J50" s="130">
        <f t="shared" si="12"/>
        <v>0</v>
      </c>
      <c r="K50" s="89"/>
      <c r="L50" s="130">
        <f t="shared" si="0"/>
        <v>0</v>
      </c>
      <c r="N50" s="152">
        <f t="shared" ref="N50:N59" si="22">-IF(OR($I50=0,C50=0),0,($I50/C50)*100-100)</f>
        <v>0</v>
      </c>
      <c r="P50" s="152">
        <f t="shared" ref="P50:P59" si="23">-IF(OR($I50=0,E50=0),0,($I50/E50)*100-100)</f>
        <v>0</v>
      </c>
      <c r="R50" s="152">
        <f t="shared" ref="R50:R59" si="24">-IF(OR($I50=0,G50=0),0,($I50/G50)*100-100)</f>
        <v>0</v>
      </c>
      <c r="T50" s="152">
        <f t="shared" ref="T50:T59" si="25">-IF(OR($I50=0,K50=0),0,($I50/K50)*100-100)</f>
        <v>0</v>
      </c>
      <c r="V50" s="89">
        <f t="shared" si="1"/>
        <v>-22.565274536132819</v>
      </c>
      <c r="X50" s="89">
        <f t="shared" si="2"/>
        <v>-10.422451416015624</v>
      </c>
      <c r="Z50" s="89">
        <f t="shared" si="3"/>
        <v>-50.794019999999996</v>
      </c>
      <c r="AB50" s="89">
        <f t="shared" si="4"/>
        <v>0</v>
      </c>
    </row>
    <row r="51" spans="1:28" outlineLevel="1" x14ac:dyDescent="0.2">
      <c r="A51" s="3"/>
      <c r="B51" s="99" t="s">
        <v>63</v>
      </c>
      <c r="C51" s="154">
        <v>0</v>
      </c>
      <c r="D51" s="155">
        <f t="shared" si="9"/>
        <v>0</v>
      </c>
      <c r="E51" s="154">
        <v>0</v>
      </c>
      <c r="F51" s="156">
        <f t="shared" si="21"/>
        <v>0</v>
      </c>
      <c r="G51" s="154">
        <v>0</v>
      </c>
      <c r="H51" s="156">
        <f t="shared" si="11"/>
        <v>0</v>
      </c>
      <c r="I51" s="267">
        <f>'DRE - H-Contabil'!O51</f>
        <v>0</v>
      </c>
      <c r="J51" s="155">
        <f t="shared" si="12"/>
        <v>0</v>
      </c>
      <c r="K51" s="154"/>
      <c r="L51" s="155">
        <f t="shared" si="0"/>
        <v>0</v>
      </c>
      <c r="N51" s="157">
        <f t="shared" si="22"/>
        <v>0</v>
      </c>
      <c r="P51" s="157">
        <f t="shared" si="23"/>
        <v>0</v>
      </c>
      <c r="R51" s="157">
        <f t="shared" si="24"/>
        <v>0</v>
      </c>
      <c r="T51" s="157">
        <f t="shared" si="25"/>
        <v>0</v>
      </c>
      <c r="V51" s="100">
        <f t="shared" si="1"/>
        <v>0</v>
      </c>
      <c r="X51" s="100">
        <f t="shared" si="2"/>
        <v>0</v>
      </c>
      <c r="Z51" s="100">
        <f t="shared" si="3"/>
        <v>0</v>
      </c>
      <c r="AB51" s="100">
        <f t="shared" si="4"/>
        <v>0</v>
      </c>
    </row>
    <row r="52" spans="1:28" ht="13.5" outlineLevel="1" thickBot="1" x14ac:dyDescent="0.25">
      <c r="A52" s="3"/>
      <c r="B52" s="99" t="s">
        <v>64</v>
      </c>
      <c r="C52" s="154">
        <v>22.565274536132819</v>
      </c>
      <c r="D52" s="155">
        <f t="shared" si="9"/>
        <v>2.105883606084348E-2</v>
      </c>
      <c r="E52" s="154">
        <v>10.422451416015624</v>
      </c>
      <c r="F52" s="156">
        <f t="shared" si="21"/>
        <v>1.2023655548783948E-2</v>
      </c>
      <c r="G52" s="154">
        <v>50.794019999999996</v>
      </c>
      <c r="H52" s="156">
        <f t="shared" si="11"/>
        <v>4.7344514804510476E-2</v>
      </c>
      <c r="I52" s="267">
        <f>'DRE - H-Contabil'!O52</f>
        <v>0</v>
      </c>
      <c r="J52" s="155">
        <f t="shared" si="12"/>
        <v>0</v>
      </c>
      <c r="K52" s="154"/>
      <c r="L52" s="155">
        <f t="shared" si="0"/>
        <v>0</v>
      </c>
      <c r="N52" s="121">
        <f t="shared" si="22"/>
        <v>0</v>
      </c>
      <c r="P52" s="121">
        <f t="shared" si="23"/>
        <v>0</v>
      </c>
      <c r="R52" s="121">
        <f t="shared" si="24"/>
        <v>0</v>
      </c>
      <c r="T52" s="121">
        <f t="shared" si="25"/>
        <v>0</v>
      </c>
      <c r="V52" s="100">
        <f t="shared" si="1"/>
        <v>-22.565274536132819</v>
      </c>
      <c r="X52" s="100">
        <f t="shared" si="2"/>
        <v>-10.422451416015624</v>
      </c>
      <c r="Z52" s="100">
        <f t="shared" si="3"/>
        <v>-50.794019999999996</v>
      </c>
      <c r="AB52" s="100">
        <f t="shared" si="4"/>
        <v>0</v>
      </c>
    </row>
    <row r="53" spans="1:28" ht="13.5" thickTop="1" x14ac:dyDescent="0.2">
      <c r="A53" s="87"/>
      <c r="B53" s="284" t="s">
        <v>65</v>
      </c>
      <c r="C53" s="129">
        <f>SUM(C54:C59)</f>
        <v>-7005.459263427736</v>
      </c>
      <c r="D53" s="130">
        <f t="shared" si="9"/>
        <v>-6.5377807800748702</v>
      </c>
      <c r="E53" s="129">
        <f>SUM(E54:E59)</f>
        <v>-5293.6169442724604</v>
      </c>
      <c r="F53" s="151">
        <f t="shared" si="21"/>
        <v>-6.1068767993806956</v>
      </c>
      <c r="G53" s="129">
        <f>SUM(G54:G59)</f>
        <v>-4254.5074251016194</v>
      </c>
      <c r="H53" s="151">
        <f t="shared" si="11"/>
        <v>-3.96557684888149</v>
      </c>
      <c r="I53" s="270">
        <f>SUM(I54:I59)</f>
        <v>-3696.318900060232</v>
      </c>
      <c r="J53" s="130">
        <f t="shared" si="12"/>
        <v>-2.9322493452265768</v>
      </c>
      <c r="K53" s="131">
        <f>SUM(K54:K59)</f>
        <v>0</v>
      </c>
      <c r="L53" s="130">
        <f t="shared" si="0"/>
        <v>0</v>
      </c>
      <c r="N53" s="152">
        <f t="shared" si="22"/>
        <v>47.236594189377357</v>
      </c>
      <c r="P53" s="152">
        <f t="shared" si="23"/>
        <v>30.174039055479042</v>
      </c>
      <c r="R53" s="152">
        <f t="shared" si="24"/>
        <v>13.119933032624914</v>
      </c>
      <c r="T53" s="152">
        <f t="shared" si="25"/>
        <v>0</v>
      </c>
      <c r="V53" s="129">
        <f t="shared" si="1"/>
        <v>3309.1403633675041</v>
      </c>
      <c r="X53" s="129">
        <f t="shared" si="2"/>
        <v>1597.2980442122284</v>
      </c>
      <c r="Z53" s="129">
        <f t="shared" si="3"/>
        <v>558.18852504138749</v>
      </c>
      <c r="AB53" s="129">
        <f t="shared" si="4"/>
        <v>3696.318900060232</v>
      </c>
    </row>
    <row r="54" spans="1:28" outlineLevel="1" x14ac:dyDescent="0.2">
      <c r="A54" s="3"/>
      <c r="B54" s="99" t="s">
        <v>66</v>
      </c>
      <c r="C54" s="154">
        <v>-6677.9630937500015</v>
      </c>
      <c r="D54" s="155">
        <f t="shared" si="9"/>
        <v>-6.232147975264354</v>
      </c>
      <c r="E54" s="154">
        <v>-4290.4750937499994</v>
      </c>
      <c r="F54" s="155">
        <f t="shared" si="21"/>
        <v>-4.94962198515171</v>
      </c>
      <c r="G54" s="154">
        <v>-2208.0435345833334</v>
      </c>
      <c r="H54" s="155">
        <f t="shared" si="11"/>
        <v>-2.0580916771715305</v>
      </c>
      <c r="I54" s="267">
        <f>'DRE - H-Contabil'!O54</f>
        <v>-2240.6027599999998</v>
      </c>
      <c r="J54" s="155">
        <f t="shared" si="12"/>
        <v>-1.7774456570334884</v>
      </c>
      <c r="K54" s="154"/>
      <c r="L54" s="155">
        <f t="shared" si="0"/>
        <v>0</v>
      </c>
      <c r="N54" s="157">
        <f t="shared" si="22"/>
        <v>66.447811577500175</v>
      </c>
      <c r="P54" s="157">
        <f t="shared" si="23"/>
        <v>47.777280812935608</v>
      </c>
      <c r="R54" s="157">
        <f t="shared" si="24"/>
        <v>-1.4745735265953641</v>
      </c>
      <c r="T54" s="157">
        <f t="shared" si="25"/>
        <v>0</v>
      </c>
      <c r="V54" s="154">
        <f t="shared" si="1"/>
        <v>4437.3603337500017</v>
      </c>
      <c r="X54" s="154">
        <f t="shared" si="2"/>
        <v>2049.8723337499996</v>
      </c>
      <c r="Z54" s="154">
        <f t="shared" si="3"/>
        <v>-32.559225416666322</v>
      </c>
      <c r="AB54" s="154">
        <f t="shared" si="4"/>
        <v>2240.6027599999998</v>
      </c>
    </row>
    <row r="55" spans="1:28" outlineLevel="1" x14ac:dyDescent="0.2">
      <c r="A55" s="3"/>
      <c r="B55" s="99" t="s">
        <v>115</v>
      </c>
      <c r="C55" s="154">
        <v>0</v>
      </c>
      <c r="D55" s="155">
        <f t="shared" si="9"/>
        <v>0</v>
      </c>
      <c r="E55" s="154">
        <v>-531.34644000000003</v>
      </c>
      <c r="F55" s="155">
        <f t="shared" si="21"/>
        <v>-0.6129773425295495</v>
      </c>
      <c r="G55" s="154">
        <v>-1673.4628398102789</v>
      </c>
      <c r="H55" s="155">
        <f t="shared" si="11"/>
        <v>-1.559815234041249</v>
      </c>
      <c r="I55" s="267">
        <f>'DRE - H-Contabil'!O55</f>
        <v>-1098.071140060232</v>
      </c>
      <c r="J55" s="155">
        <f t="shared" si="12"/>
        <v>-0.8710878223741324</v>
      </c>
      <c r="K55" s="154"/>
      <c r="L55" s="155">
        <f t="shared" si="0"/>
        <v>0</v>
      </c>
      <c r="N55" s="121">
        <f t="shared" si="22"/>
        <v>0</v>
      </c>
      <c r="P55" s="121">
        <f t="shared" si="23"/>
        <v>-106.65822849217395</v>
      </c>
      <c r="R55" s="121">
        <f t="shared" si="24"/>
        <v>34.383297080876872</v>
      </c>
      <c r="T55" s="121">
        <f t="shared" si="25"/>
        <v>0</v>
      </c>
      <c r="V55" s="154">
        <f t="shared" si="1"/>
        <v>-1098.071140060232</v>
      </c>
      <c r="X55" s="154">
        <f t="shared" si="2"/>
        <v>-566.72470006023195</v>
      </c>
      <c r="Z55" s="154">
        <f t="shared" si="3"/>
        <v>575.39169975004688</v>
      </c>
      <c r="AB55" s="154">
        <f t="shared" si="4"/>
        <v>1098.071140060232</v>
      </c>
    </row>
    <row r="56" spans="1:28" outlineLevel="1" x14ac:dyDescent="0.2">
      <c r="A56" s="3"/>
      <c r="B56" s="99" t="s">
        <v>67</v>
      </c>
      <c r="C56" s="154">
        <v>-419.22751953124998</v>
      </c>
      <c r="D56" s="155">
        <f t="shared" si="9"/>
        <v>-0.39124024801320451</v>
      </c>
      <c r="E56" s="154">
        <v>-415.93593750000002</v>
      </c>
      <c r="F56" s="155">
        <f t="shared" si="21"/>
        <v>-0.47983629217744783</v>
      </c>
      <c r="G56" s="154">
        <v>-342.62386062500002</v>
      </c>
      <c r="H56" s="155">
        <f t="shared" si="11"/>
        <v>-0.31935571237989918</v>
      </c>
      <c r="I56" s="267">
        <f>'DRE - H-Contabil'!O56</f>
        <v>-336</v>
      </c>
      <c r="J56" s="155">
        <f t="shared" si="12"/>
        <v>-0.26654512411796377</v>
      </c>
      <c r="K56" s="154"/>
      <c r="L56" s="155">
        <f t="shared" si="0"/>
        <v>0</v>
      </c>
      <c r="N56" s="121">
        <f t="shared" si="22"/>
        <v>19.852589740365573</v>
      </c>
      <c r="P56" s="121">
        <f t="shared" si="23"/>
        <v>19.218329144737595</v>
      </c>
      <c r="R56" s="121">
        <f t="shared" si="24"/>
        <v>1.9332747616926156</v>
      </c>
      <c r="T56" s="121">
        <f t="shared" si="25"/>
        <v>0</v>
      </c>
      <c r="V56" s="100">
        <f t="shared" si="1"/>
        <v>83.227519531249982</v>
      </c>
      <c r="X56" s="100">
        <f t="shared" si="2"/>
        <v>79.935937500000023</v>
      </c>
      <c r="Z56" s="100">
        <f t="shared" si="3"/>
        <v>6.6238606250000203</v>
      </c>
      <c r="AB56" s="100">
        <f t="shared" si="4"/>
        <v>336</v>
      </c>
    </row>
    <row r="57" spans="1:28" outlineLevel="1" x14ac:dyDescent="0.2">
      <c r="A57" s="3"/>
      <c r="B57" s="99" t="s">
        <v>68</v>
      </c>
      <c r="C57" s="154">
        <v>120.06772998046876</v>
      </c>
      <c r="D57" s="155">
        <f t="shared" si="9"/>
        <v>0.11205211076902942</v>
      </c>
      <c r="E57" s="154">
        <v>132.37680920410159</v>
      </c>
      <c r="F57" s="155">
        <f t="shared" si="21"/>
        <v>0.15271389551131911</v>
      </c>
      <c r="G57" s="154">
        <v>25.165119829101563</v>
      </c>
      <c r="H57" s="155">
        <f t="shared" si="11"/>
        <v>2.3456115273140007E-2</v>
      </c>
      <c r="I57" s="267">
        <f>'DRE - H-Contabil'!O57</f>
        <v>0</v>
      </c>
      <c r="J57" s="155">
        <f t="shared" si="12"/>
        <v>0</v>
      </c>
      <c r="K57" s="154"/>
      <c r="L57" s="155">
        <f t="shared" si="0"/>
        <v>0</v>
      </c>
      <c r="N57" s="121">
        <f t="shared" si="22"/>
        <v>0</v>
      </c>
      <c r="P57" s="121">
        <f t="shared" si="23"/>
        <v>0</v>
      </c>
      <c r="R57" s="121">
        <f t="shared" si="24"/>
        <v>0</v>
      </c>
      <c r="T57" s="121">
        <f t="shared" si="25"/>
        <v>0</v>
      </c>
      <c r="V57" s="100">
        <f t="shared" si="1"/>
        <v>-120.06772998046876</v>
      </c>
      <c r="X57" s="100">
        <f t="shared" si="2"/>
        <v>-132.37680920410159</v>
      </c>
      <c r="Z57" s="100">
        <f t="shared" si="3"/>
        <v>-25.165119829101563</v>
      </c>
      <c r="AB57" s="100">
        <f t="shared" si="4"/>
        <v>0</v>
      </c>
    </row>
    <row r="58" spans="1:28" outlineLevel="1" x14ac:dyDescent="0.2">
      <c r="A58" s="3"/>
      <c r="B58" s="99" t="s">
        <v>69</v>
      </c>
      <c r="C58" s="154">
        <v>-28.336380126953127</v>
      </c>
      <c r="D58" s="155">
        <f t="shared" si="9"/>
        <v>-2.6444667566340875E-2</v>
      </c>
      <c r="E58" s="154">
        <v>-75.38986035156249</v>
      </c>
      <c r="F58" s="155">
        <f t="shared" si="21"/>
        <v>-8.6972025731412855E-2</v>
      </c>
      <c r="G58" s="154">
        <v>-55.542309912109374</v>
      </c>
      <c r="H58" s="155">
        <f t="shared" si="11"/>
        <v>-5.1770340561951414E-2</v>
      </c>
      <c r="I58" s="267">
        <f>'DRE - H-Contabil'!O58</f>
        <v>-21.645000000000007</v>
      </c>
      <c r="J58" s="155">
        <f t="shared" si="12"/>
        <v>-1.7170741700992045E-2</v>
      </c>
      <c r="K58" s="154"/>
      <c r="L58" s="155">
        <f t="shared" si="0"/>
        <v>0</v>
      </c>
      <c r="N58" s="121">
        <f t="shared" si="22"/>
        <v>23.614096426481751</v>
      </c>
      <c r="P58" s="121">
        <f t="shared" si="23"/>
        <v>71.289242480270218</v>
      </c>
      <c r="R58" s="121">
        <f t="shared" si="24"/>
        <v>61.029708641482074</v>
      </c>
      <c r="T58" s="121">
        <f t="shared" si="25"/>
        <v>0</v>
      </c>
      <c r="V58" s="100">
        <f t="shared" si="1"/>
        <v>6.6913801269531206</v>
      </c>
      <c r="X58" s="100">
        <f t="shared" si="2"/>
        <v>53.74486035156248</v>
      </c>
      <c r="Z58" s="100">
        <f t="shared" si="3"/>
        <v>33.897309912109364</v>
      </c>
      <c r="AB58" s="100">
        <f t="shared" si="4"/>
        <v>21.645000000000007</v>
      </c>
    </row>
    <row r="59" spans="1:28" ht="13.5" outlineLevel="1" thickBot="1" x14ac:dyDescent="0.25">
      <c r="A59" s="3"/>
      <c r="B59" s="99" t="s">
        <v>70</v>
      </c>
      <c r="C59" s="154">
        <v>0</v>
      </c>
      <c r="D59" s="155">
        <f t="shared" si="9"/>
        <v>0</v>
      </c>
      <c r="E59" s="154">
        <v>-112.846421875</v>
      </c>
      <c r="F59" s="155">
        <f t="shared" si="21"/>
        <v>-0.13018304930189412</v>
      </c>
      <c r="G59" s="154">
        <v>0</v>
      </c>
      <c r="H59" s="155">
        <f t="shared" si="11"/>
        <v>0</v>
      </c>
      <c r="I59" s="268">
        <f>'DRE - H-Contabil'!O59</f>
        <v>0</v>
      </c>
      <c r="J59" s="155">
        <f t="shared" si="12"/>
        <v>0</v>
      </c>
      <c r="K59" s="154"/>
      <c r="L59" s="155">
        <f t="shared" si="0"/>
        <v>0</v>
      </c>
      <c r="N59" s="121">
        <f t="shared" si="22"/>
        <v>0</v>
      </c>
      <c r="P59" s="121">
        <f t="shared" si="23"/>
        <v>0</v>
      </c>
      <c r="R59" s="121">
        <f t="shared" si="24"/>
        <v>0</v>
      </c>
      <c r="T59" s="121">
        <f t="shared" si="25"/>
        <v>0</v>
      </c>
      <c r="V59" s="100">
        <f t="shared" si="1"/>
        <v>0</v>
      </c>
      <c r="X59" s="100">
        <f t="shared" si="2"/>
        <v>112.846421875</v>
      </c>
      <c r="Z59" s="100">
        <f t="shared" si="3"/>
        <v>0</v>
      </c>
      <c r="AB59" s="100">
        <f t="shared" si="4"/>
        <v>0</v>
      </c>
    </row>
    <row r="60" spans="1:28" ht="14.25" thickTop="1" thickBot="1" x14ac:dyDescent="0.25">
      <c r="A60" s="3"/>
      <c r="B60" s="107" t="s">
        <v>71</v>
      </c>
      <c r="C60" s="108">
        <f>C49+C50+C53</f>
        <v>-19936.41826386112</v>
      </c>
      <c r="D60" s="161">
        <f t="shared" si="9"/>
        <v>-18.605479990362568</v>
      </c>
      <c r="E60" s="108">
        <f>E49+E50+E53</f>
        <v>-6006.9258432174793</v>
      </c>
      <c r="F60" s="161">
        <f t="shared" si="21"/>
        <v>-6.9297715444325236</v>
      </c>
      <c r="G60" s="108">
        <f>G49+G50+G53</f>
        <v>-731.00508925061649</v>
      </c>
      <c r="H60" s="161">
        <f t="shared" si="11"/>
        <v>-0.68136133486182648</v>
      </c>
      <c r="I60" s="135">
        <f>I49+I50+I53</f>
        <v>1225.1293682943037</v>
      </c>
      <c r="J60" s="161">
        <f t="shared" si="12"/>
        <v>0.97188172479930868</v>
      </c>
      <c r="K60" s="162">
        <f>K49+K50+K53</f>
        <v>0</v>
      </c>
      <c r="L60" s="161">
        <f t="shared" si="0"/>
        <v>0</v>
      </c>
      <c r="N60" s="163">
        <f>IF(OR($I60=0,C60=0),0,($I60/C60)*100-100)</f>
        <v>-106.14518291139139</v>
      </c>
      <c r="P60" s="163">
        <f>IF(OR($I60=0,E60=0),0,($I60/E60)*100-100)</f>
        <v>-120.39528038585024</v>
      </c>
      <c r="Q60" s="31"/>
      <c r="R60" s="163">
        <f>IF(OR($I60=0,G60=0),0,($I60/G60)*100-100)</f>
        <v>-267.59519000753255</v>
      </c>
      <c r="S60" s="31"/>
      <c r="T60" s="163">
        <f>IF(OR($I60=0,K60=0),0,($I60/K60)*100-100)</f>
        <v>0</v>
      </c>
      <c r="V60" s="108">
        <f t="shared" si="1"/>
        <v>21161.547632155423</v>
      </c>
      <c r="X60" s="108">
        <f t="shared" si="2"/>
        <v>7232.0552115117825</v>
      </c>
      <c r="Z60" s="108">
        <f t="shared" si="3"/>
        <v>1956.1344575449202</v>
      </c>
      <c r="AB60" s="108">
        <f t="shared" si="4"/>
        <v>-1225.1293682943037</v>
      </c>
    </row>
    <row r="61" spans="1:28" ht="13.5" thickTop="1" x14ac:dyDescent="0.2">
      <c r="A61" s="3"/>
      <c r="B61" s="164" t="s">
        <v>72</v>
      </c>
      <c r="C61" s="154">
        <v>-53.228351562500002</v>
      </c>
      <c r="D61" s="165">
        <f t="shared" si="9"/>
        <v>-4.9674872226736548E-2</v>
      </c>
      <c r="E61" s="154">
        <v>0</v>
      </c>
      <c r="F61" s="165">
        <f t="shared" si="21"/>
        <v>0</v>
      </c>
      <c r="G61" s="154">
        <v>0</v>
      </c>
      <c r="H61" s="165">
        <f t="shared" si="11"/>
        <v>0</v>
      </c>
      <c r="I61" s="274">
        <f>'DRE - H-Contabil'!O61</f>
        <v>76.570585518393813</v>
      </c>
      <c r="J61" s="165">
        <f t="shared" si="12"/>
        <v>6.0742607799956667E-2</v>
      </c>
      <c r="K61" s="154"/>
      <c r="L61" s="165">
        <f t="shared" si="0"/>
        <v>0</v>
      </c>
      <c r="N61" s="121">
        <f>-IF(OR($I61=0,C61=0),0,($I61/C61)*100-100)</f>
        <v>243.85300929052008</v>
      </c>
      <c r="P61" s="121">
        <f>-IF(OR($I61=0,E61=0),0,($I61/E61)*100-100)</f>
        <v>0</v>
      </c>
      <c r="R61" s="121">
        <f>-IF(OR($I61=0,G61=0),0,($I61/G61)*100-100)</f>
        <v>0</v>
      </c>
      <c r="T61" s="121">
        <f>-IF(OR($I61=0,K61=0),0,($I61/K61)*100-100)</f>
        <v>0</v>
      </c>
      <c r="V61" s="100">
        <f t="shared" si="1"/>
        <v>129.79893708089381</v>
      </c>
      <c r="X61" s="100">
        <f t="shared" si="2"/>
        <v>76.570585518393813</v>
      </c>
      <c r="Z61" s="100">
        <f t="shared" si="3"/>
        <v>76.570585518393813</v>
      </c>
      <c r="AB61" s="100">
        <f t="shared" si="4"/>
        <v>-76.570585518393813</v>
      </c>
    </row>
    <row r="62" spans="1:28" ht="13.5" thickBot="1" x14ac:dyDescent="0.25">
      <c r="A62" s="3"/>
      <c r="B62" s="164" t="s">
        <v>73</v>
      </c>
      <c r="C62" s="154">
        <v>-180.70093750000001</v>
      </c>
      <c r="D62" s="155">
        <f t="shared" si="9"/>
        <v>-0.16863749708694553</v>
      </c>
      <c r="E62" s="154">
        <v>0</v>
      </c>
      <c r="F62" s="155">
        <f t="shared" si="21"/>
        <v>0</v>
      </c>
      <c r="G62" s="154">
        <v>0</v>
      </c>
      <c r="H62" s="155">
        <f t="shared" si="11"/>
        <v>0</v>
      </c>
      <c r="I62" s="275">
        <f>'DRE - H-Contabil'!O62</f>
        <v>27.565410786621769</v>
      </c>
      <c r="J62" s="155">
        <f t="shared" si="12"/>
        <v>2.1867338807984395E-2</v>
      </c>
      <c r="K62" s="154"/>
      <c r="L62" s="155">
        <f t="shared" si="0"/>
        <v>0</v>
      </c>
      <c r="N62" s="121">
        <f>-IF(OR($I62=0,C62=0),0,($I62/C62)*100-100)</f>
        <v>115.25471376517999</v>
      </c>
      <c r="P62" s="121">
        <f>-IF(OR($I62=0,E62=0),0,($I62/E62)*100-100)</f>
        <v>0</v>
      </c>
      <c r="R62" s="121">
        <f>-IF(OR($I62=0,G62=0),0,($I62/G62)*100-100)</f>
        <v>0</v>
      </c>
      <c r="T62" s="121">
        <f>-IF(OR($I62=0,K62=0),0,($I62/K62)*100-100)</f>
        <v>0</v>
      </c>
      <c r="V62" s="100">
        <f t="shared" si="1"/>
        <v>208.26634828662179</v>
      </c>
      <c r="X62" s="100">
        <f t="shared" si="2"/>
        <v>27.565410786621769</v>
      </c>
      <c r="Z62" s="100">
        <f t="shared" si="3"/>
        <v>27.565410786621769</v>
      </c>
      <c r="AB62" s="100">
        <f t="shared" si="4"/>
        <v>-27.565410786621769</v>
      </c>
    </row>
    <row r="63" spans="1:28" ht="14.25" thickTop="1" thickBot="1" x14ac:dyDescent="0.25">
      <c r="A63" s="3"/>
      <c r="B63" s="107" t="s">
        <v>74</v>
      </c>
      <c r="C63" s="108">
        <f>C60+C61+C62</f>
        <v>-20170.34755292362</v>
      </c>
      <c r="D63" s="161">
        <f>(C63/C$15)*100</f>
        <v>-18.823792359676251</v>
      </c>
      <c r="E63" s="108">
        <f>E60+E61+E62</f>
        <v>-6006.9258432174793</v>
      </c>
      <c r="F63" s="161">
        <f t="shared" si="21"/>
        <v>-6.9297715444325236</v>
      </c>
      <c r="G63" s="108">
        <f>G60+G61+G62</f>
        <v>-731.00508925061649</v>
      </c>
      <c r="H63" s="161">
        <f t="shared" si="11"/>
        <v>-0.68136133486182648</v>
      </c>
      <c r="I63" s="135">
        <f>I60+I61+I62</f>
        <v>1329.2653645993191</v>
      </c>
      <c r="J63" s="161">
        <f>(I63/I$15)*100</f>
        <v>1.0544916714072496</v>
      </c>
      <c r="K63" s="162">
        <f>K60+K61+K62</f>
        <v>0</v>
      </c>
      <c r="L63" s="161">
        <f t="shared" si="0"/>
        <v>0</v>
      </c>
      <c r="N63" s="162">
        <f>IF(OR($I63=0,C63=0),0,($I63/C63)*100-100)</f>
        <v>-106.59019563798566</v>
      </c>
      <c r="P63" s="162">
        <f>IF(OR($I63=0,E63=0),0,($I63/E63)*100-100)</f>
        <v>-122.12887921864751</v>
      </c>
      <c r="R63" s="162">
        <f>IF(OR($I63=0,G63=0),0,($I63/G63)*100-100)</f>
        <v>-281.84078115817277</v>
      </c>
      <c r="T63" s="162">
        <f>IF(OR($I63=0,K63=0),0,($I63/K63)*100-100)</f>
        <v>0</v>
      </c>
      <c r="V63" s="166">
        <f>I63-C63</f>
        <v>21499.61291752294</v>
      </c>
      <c r="X63" s="166">
        <f t="shared" si="2"/>
        <v>7336.1912078167989</v>
      </c>
      <c r="Z63" s="166">
        <f t="shared" si="3"/>
        <v>2060.2704538499356</v>
      </c>
      <c r="AB63" s="166">
        <f t="shared" si="4"/>
        <v>-1329.2653645993191</v>
      </c>
    </row>
    <row r="64" spans="1:28" ht="14.25" thickTop="1" thickBot="1" x14ac:dyDescent="0.25">
      <c r="A64" s="3"/>
      <c r="B64" s="280" t="s">
        <v>75</v>
      </c>
      <c r="C64" s="244">
        <v>3610.3463906249999</v>
      </c>
      <c r="D64" s="165">
        <f>(C64/C$15)*100</f>
        <v>3.3693227459425197</v>
      </c>
      <c r="E64" s="244">
        <v>3586.1450156250003</v>
      </c>
      <c r="F64" s="165">
        <f t="shared" si="21"/>
        <v>4.1370854796795147</v>
      </c>
      <c r="G64" s="244">
        <v>3372.9190445833328</v>
      </c>
      <c r="H64" s="165">
        <f t="shared" si="11"/>
        <v>3.143858581004042</v>
      </c>
      <c r="I64" s="267">
        <f>'DRE - H-Contabil'!O64</f>
        <v>3220.93194888889</v>
      </c>
      <c r="J64" s="165">
        <f>(I64/I$15)*100</f>
        <v>2.5551300776550718</v>
      </c>
      <c r="K64" s="167"/>
      <c r="L64" s="168">
        <f t="shared" si="0"/>
        <v>0</v>
      </c>
      <c r="N64" s="121">
        <f>-IF(OR($I64=0,C64=0),0,($I64/C64)*100-100)</f>
        <v>10.786068692669033</v>
      </c>
      <c r="P64" s="121">
        <f>-IF(OR($I64=0,E64=0),0,($I64/E64)*100-100)</f>
        <v>10.184001626952053</v>
      </c>
      <c r="R64" s="121">
        <f>-IF(OR($I64=0,G64=0),0,($I64/G64)*100-100)</f>
        <v>4.5060997220945183</v>
      </c>
      <c r="T64" s="121">
        <f>-IF(OR($I64=0,K64=0),0,($I64/K64)*100-100)</f>
        <v>0</v>
      </c>
      <c r="V64" s="115">
        <f>I64-C64</f>
        <v>-389.41444173610989</v>
      </c>
      <c r="X64" s="115">
        <f t="shared" si="2"/>
        <v>-365.21306673611025</v>
      </c>
      <c r="Y64" s="169"/>
      <c r="Z64" s="115">
        <f t="shared" si="3"/>
        <v>-151.98709569444281</v>
      </c>
      <c r="AB64" s="115">
        <f t="shared" si="4"/>
        <v>-3220.93194888889</v>
      </c>
    </row>
    <row r="65" spans="1:28" ht="14.25" thickTop="1" thickBot="1" x14ac:dyDescent="0.25">
      <c r="A65" s="3"/>
      <c r="B65" s="282" t="s">
        <v>76</v>
      </c>
      <c r="C65" s="108">
        <f>C49+C64</f>
        <v>-9343.1778843445172</v>
      </c>
      <c r="D65" s="161">
        <f>(C65/C$15)*100</f>
        <v>-8.7194353004060225</v>
      </c>
      <c r="E65" s="108">
        <f>E49+E64</f>
        <v>2862.4136652639654</v>
      </c>
      <c r="F65" s="161">
        <f t="shared" si="21"/>
        <v>3.3021670790789015</v>
      </c>
      <c r="G65" s="108">
        <f>G49+G64</f>
        <v>6845.627360434336</v>
      </c>
      <c r="H65" s="161">
        <f t="shared" si="11"/>
        <v>6.380729580219195</v>
      </c>
      <c r="I65" s="108">
        <f>I49+I64</f>
        <v>8142.3802172434262</v>
      </c>
      <c r="J65" s="161">
        <f>(I65/I$15)*100</f>
        <v>6.4592611476809569</v>
      </c>
      <c r="K65" s="125">
        <f>K49+K64</f>
        <v>0</v>
      </c>
      <c r="L65" s="170">
        <f t="shared" si="0"/>
        <v>0</v>
      </c>
      <c r="N65" s="162">
        <f>IF(OR($I65=0,C65=0),0,($I65/C65)*100-100)</f>
        <v>-187.14786679687268</v>
      </c>
      <c r="P65" s="162">
        <f>IF(OR($I65=0,E65=0),0,($I65/E65)*100-100)</f>
        <v>184.45854336335253</v>
      </c>
      <c r="R65" s="162">
        <f>IF(OR($I65=0,G65=0),0,($I65/G65)*100-100)</f>
        <v>18.94279060972454</v>
      </c>
      <c r="T65" s="171">
        <f>IF(OR($I65=0,K65=0),0,($I65/K65)*100-100)</f>
        <v>0</v>
      </c>
      <c r="V65" s="147">
        <f>I65-C65</f>
        <v>17485.558101587943</v>
      </c>
      <c r="X65" s="147">
        <f t="shared" si="2"/>
        <v>5279.9665519794607</v>
      </c>
      <c r="Z65" s="147">
        <f t="shared" si="3"/>
        <v>1296.7528568090902</v>
      </c>
      <c r="AB65" s="147">
        <f t="shared" si="4"/>
        <v>-8142.3802172434262</v>
      </c>
    </row>
    <row r="66" spans="1:28" ht="14.25" thickTop="1" thickBot="1" x14ac:dyDescent="0.25">
      <c r="B66" s="281" t="s">
        <v>77</v>
      </c>
      <c r="C66" s="174">
        <f>C60+C64</f>
        <v>-16326.07187323612</v>
      </c>
      <c r="D66" s="248">
        <f t="shared" si="9"/>
        <v>-15.236157244420049</v>
      </c>
      <c r="E66" s="174">
        <f>E60+E64</f>
        <v>-2420.780827592479</v>
      </c>
      <c r="F66" s="248">
        <f t="shared" si="21"/>
        <v>-2.7926860647530098</v>
      </c>
      <c r="G66" s="174">
        <f>G60+G64</f>
        <v>2641.9139553327163</v>
      </c>
      <c r="H66" s="248">
        <f>(G66/G$15)*100</f>
        <v>2.4624972461422154</v>
      </c>
      <c r="I66" s="174">
        <f>I60+I64</f>
        <v>4446.0613171831938</v>
      </c>
      <c r="J66" s="248">
        <f t="shared" si="12"/>
        <v>3.5270118024543806</v>
      </c>
      <c r="K66" s="172"/>
      <c r="L66" s="173">
        <f t="shared" ref="L66:L74" si="26">IF(K66=0,0,(K66/K$15)*100)</f>
        <v>0</v>
      </c>
      <c r="N66" s="175">
        <f>N60+N64</f>
        <v>-95.359114218722354</v>
      </c>
      <c r="P66" s="172">
        <f>P60+P64</f>
        <v>-110.21127875889819</v>
      </c>
      <c r="R66" s="175">
        <f>R60+R64</f>
        <v>-263.08909028543803</v>
      </c>
      <c r="T66" s="176">
        <f>T60+T64</f>
        <v>0</v>
      </c>
      <c r="V66" s="172">
        <f>V60+V64</f>
        <v>20772.133190419314</v>
      </c>
      <c r="X66" s="172">
        <f>X60+X64</f>
        <v>6866.8421447756718</v>
      </c>
      <c r="Z66" s="172">
        <f>Z60+Z64</f>
        <v>1804.1473618504774</v>
      </c>
      <c r="AB66" s="172">
        <f>AB60+AB64</f>
        <v>-4446.0613171831938</v>
      </c>
    </row>
    <row r="67" spans="1:28" ht="13.5" hidden="1" thickTop="1" x14ac:dyDescent="0.2">
      <c r="A67" s="3"/>
      <c r="B67" s="177" t="s">
        <v>78</v>
      </c>
      <c r="C67" s="178">
        <f>C65/C15</f>
        <v>-8.7194353004060227E-2</v>
      </c>
      <c r="D67" s="179"/>
      <c r="E67" s="178">
        <f>E65/E15</f>
        <v>3.3021670790789014E-2</v>
      </c>
      <c r="F67" s="179"/>
      <c r="G67" s="178"/>
      <c r="H67" s="179"/>
      <c r="I67" s="178">
        <f>I65/I15</f>
        <v>6.4592611476809572E-2</v>
      </c>
      <c r="J67" s="179"/>
      <c r="K67" s="178"/>
      <c r="L67" s="179">
        <f t="shared" si="26"/>
        <v>0</v>
      </c>
      <c r="N67" s="152">
        <f t="shared" ref="N67:N74" si="27">-IF(OR($I67=0,C67=0),0,($I67/C67)*100-100)</f>
        <v>174.07889301478252</v>
      </c>
      <c r="P67" s="152">
        <f t="shared" ref="P67:P74" si="28">-IF(OR($I67=0,E67=0),0,($I67/E67)*100-100)</f>
        <v>-95.606733184521005</v>
      </c>
      <c r="R67" s="152">
        <f t="shared" ref="R67:R74" si="29">-IF(OR($I67=0,G67=0),0,($I67/G67)*100-100)</f>
        <v>0</v>
      </c>
      <c r="T67" s="152">
        <f t="shared" ref="T67:T74" si="30">-IF(OR($I67=0,K67=0),0,($I67/K67)*100-100)</f>
        <v>0</v>
      </c>
      <c r="V67" s="178">
        <f>V65/V15</f>
        <v>0.92496699819614958</v>
      </c>
      <c r="X67" s="178">
        <f>X65/X15</f>
        <v>0.13409585016970049</v>
      </c>
      <c r="Z67" s="178">
        <f>Z65/Z15</f>
        <v>6.9080979445723209E-2</v>
      </c>
      <c r="AB67" s="178">
        <f>AB65/AB15</f>
        <v>6.4592611476809572E-2</v>
      </c>
    </row>
    <row r="68" spans="1:28" ht="13.5" hidden="1" thickTop="1" x14ac:dyDescent="0.2">
      <c r="B68" s="76" t="s">
        <v>79</v>
      </c>
      <c r="C68" s="180">
        <f>C66/C15</f>
        <v>-0.15236157244420048</v>
      </c>
      <c r="D68" s="181"/>
      <c r="E68" s="180">
        <f>E66/E15</f>
        <v>-2.7926860647530097E-2</v>
      </c>
      <c r="F68" s="181"/>
      <c r="G68" s="180"/>
      <c r="H68" s="181"/>
      <c r="I68" s="180">
        <f>I66/I15</f>
        <v>3.5270118024543808E-2</v>
      </c>
      <c r="J68" s="181"/>
      <c r="K68" s="180"/>
      <c r="L68" s="181">
        <f t="shared" si="26"/>
        <v>0</v>
      </c>
      <c r="N68" s="121">
        <f t="shared" si="27"/>
        <v>123.14895905754767</v>
      </c>
      <c r="P68" s="121">
        <f t="shared" si="28"/>
        <v>226.29460385717636</v>
      </c>
      <c r="R68" s="121">
        <f t="shared" si="29"/>
        <v>0</v>
      </c>
      <c r="T68" s="121">
        <f t="shared" si="30"/>
        <v>0</v>
      </c>
      <c r="V68" s="180">
        <f>V66/V15</f>
        <v>1.0988232443966366</v>
      </c>
      <c r="X68" s="180">
        <f>X66/X15</f>
        <v>0.17439789178960036</v>
      </c>
      <c r="Z68" s="180">
        <f>Z66/Z15</f>
        <v>9.6111040871527553E-2</v>
      </c>
      <c r="AB68" s="180">
        <f>AB66/AB15</f>
        <v>3.5270118024543808E-2</v>
      </c>
    </row>
    <row r="69" spans="1:28" ht="14.25" hidden="1" thickTop="1" thickBot="1" x14ac:dyDescent="0.25">
      <c r="A69" s="3"/>
      <c r="B69" s="80" t="s">
        <v>80</v>
      </c>
      <c r="C69" s="182">
        <f>C49/C15</f>
        <v>-0.12088758046348543</v>
      </c>
      <c r="D69" s="173"/>
      <c r="E69" s="182">
        <f>E49/E15</f>
        <v>-8.349184006006127E-3</v>
      </c>
      <c r="F69" s="173"/>
      <c r="G69" s="182"/>
      <c r="H69" s="173"/>
      <c r="I69" s="182">
        <f>I49/I15</f>
        <v>3.9041310700258854E-2</v>
      </c>
      <c r="J69" s="173"/>
      <c r="K69" s="182"/>
      <c r="L69" s="173">
        <f t="shared" si="26"/>
        <v>0</v>
      </c>
      <c r="N69" s="121">
        <f t="shared" si="27"/>
        <v>132.29555141278672</v>
      </c>
      <c r="P69" s="121">
        <f t="shared" si="28"/>
        <v>567.60630346838479</v>
      </c>
      <c r="R69" s="121">
        <f t="shared" si="29"/>
        <v>0</v>
      </c>
      <c r="T69" s="121">
        <f t="shared" si="30"/>
        <v>0</v>
      </c>
      <c r="V69" s="182">
        <f>V49/V15</f>
        <v>0.94556659845678792</v>
      </c>
      <c r="X69" s="182">
        <f>X49/X15</f>
        <v>0.14337120375289736</v>
      </c>
      <c r="Z69" s="182">
        <f>Z49/Z15</f>
        <v>7.7177678349104675E-2</v>
      </c>
      <c r="AB69" s="182">
        <f>AB49/AB15</f>
        <v>3.9041310700258854E-2</v>
      </c>
    </row>
    <row r="70" spans="1:28" ht="13.5" hidden="1" thickTop="1" x14ac:dyDescent="0.2">
      <c r="A70" s="3"/>
      <c r="B70" s="70" t="s">
        <v>99</v>
      </c>
      <c r="C70" s="244">
        <v>80</v>
      </c>
      <c r="D70" s="165">
        <f>(C70/C$15)*100</f>
        <v>7.4659268256179578E-2</v>
      </c>
      <c r="E70" s="244">
        <v>0</v>
      </c>
      <c r="F70" s="165">
        <f t="shared" ref="F70:H73" si="31">(E70/E$15)*100</f>
        <v>0</v>
      </c>
      <c r="G70" s="244"/>
      <c r="H70" s="165">
        <f t="shared" si="31"/>
        <v>0</v>
      </c>
      <c r="I70" s="245">
        <v>0</v>
      </c>
      <c r="J70" s="165">
        <f>(I70/I$15)*100</f>
        <v>0</v>
      </c>
      <c r="K70" s="244"/>
      <c r="L70" s="165">
        <f t="shared" si="26"/>
        <v>0</v>
      </c>
      <c r="N70" s="121">
        <f t="shared" si="27"/>
        <v>0</v>
      </c>
      <c r="P70" s="121">
        <f t="shared" si="28"/>
        <v>0</v>
      </c>
      <c r="R70" s="121">
        <f t="shared" si="29"/>
        <v>0</v>
      </c>
      <c r="T70" s="121">
        <f t="shared" si="30"/>
        <v>0</v>
      </c>
      <c r="V70" s="255">
        <f>I70-C70</f>
        <v>-80</v>
      </c>
      <c r="X70" s="255">
        <f>I70-E70</f>
        <v>0</v>
      </c>
      <c r="Z70" s="255">
        <f>I70-G70</f>
        <v>0</v>
      </c>
      <c r="AB70" s="255">
        <f>K70-I70</f>
        <v>0</v>
      </c>
    </row>
    <row r="71" spans="1:28" ht="13.5" hidden="1" thickTop="1" x14ac:dyDescent="0.2">
      <c r="A71" s="3"/>
      <c r="B71" s="66" t="s">
        <v>100</v>
      </c>
      <c r="C71" s="154">
        <v>153</v>
      </c>
      <c r="D71" s="155">
        <f>(C71/C$15)*100</f>
        <v>0.14278585053994344</v>
      </c>
      <c r="E71" s="154">
        <v>0</v>
      </c>
      <c r="F71" s="155">
        <f t="shared" si="31"/>
        <v>0</v>
      </c>
      <c r="G71" s="154"/>
      <c r="H71" s="155">
        <f t="shared" si="31"/>
        <v>0</v>
      </c>
      <c r="I71" s="183">
        <v>0</v>
      </c>
      <c r="J71" s="155">
        <f>(I71/I$15)*100</f>
        <v>0</v>
      </c>
      <c r="K71" s="154"/>
      <c r="L71" s="155">
        <f t="shared" si="26"/>
        <v>0</v>
      </c>
      <c r="N71" s="121">
        <f t="shared" si="27"/>
        <v>0</v>
      </c>
      <c r="P71" s="121">
        <f t="shared" si="28"/>
        <v>0</v>
      </c>
      <c r="R71" s="121">
        <f t="shared" si="29"/>
        <v>0</v>
      </c>
      <c r="T71" s="121">
        <f t="shared" si="30"/>
        <v>0</v>
      </c>
      <c r="V71" s="100">
        <f>I71-C71</f>
        <v>-153</v>
      </c>
      <c r="X71" s="100">
        <f>I71-E71</f>
        <v>0</v>
      </c>
      <c r="Z71" s="100">
        <f>I71-G71</f>
        <v>0</v>
      </c>
      <c r="AB71" s="100">
        <f>K71-I71</f>
        <v>0</v>
      </c>
    </row>
    <row r="72" spans="1:28" ht="13.5" hidden="1" thickTop="1" x14ac:dyDescent="0.2">
      <c r="A72" s="3"/>
      <c r="B72" s="66" t="s">
        <v>101</v>
      </c>
      <c r="C72" s="154">
        <v>0</v>
      </c>
      <c r="D72" s="155">
        <f>(C72/C$15)*100</f>
        <v>0</v>
      </c>
      <c r="E72" s="154">
        <v>0</v>
      </c>
      <c r="F72" s="155">
        <f t="shared" si="31"/>
        <v>0</v>
      </c>
      <c r="G72" s="154"/>
      <c r="H72" s="155">
        <f t="shared" si="31"/>
        <v>0</v>
      </c>
      <c r="I72" s="183">
        <v>0</v>
      </c>
      <c r="J72" s="155">
        <f>(I72/I$15)*100</f>
        <v>0</v>
      </c>
      <c r="K72" s="154"/>
      <c r="L72" s="155">
        <f t="shared" si="26"/>
        <v>0</v>
      </c>
      <c r="N72" s="121">
        <f t="shared" si="27"/>
        <v>0</v>
      </c>
      <c r="P72" s="121">
        <f t="shared" si="28"/>
        <v>0</v>
      </c>
      <c r="R72" s="121">
        <f t="shared" si="29"/>
        <v>0</v>
      </c>
      <c r="T72" s="121">
        <f t="shared" si="30"/>
        <v>0</v>
      </c>
      <c r="V72" s="100">
        <f>I72-C72</f>
        <v>0</v>
      </c>
      <c r="X72" s="100">
        <f>I72-E72</f>
        <v>0</v>
      </c>
      <c r="Z72" s="100">
        <f>I72-G72</f>
        <v>0</v>
      </c>
      <c r="AB72" s="100">
        <f>K72-I72</f>
        <v>0</v>
      </c>
    </row>
    <row r="73" spans="1:28" ht="13.5" hidden="1" thickTop="1" x14ac:dyDescent="0.2">
      <c r="A73" s="3"/>
      <c r="B73" s="66" t="s">
        <v>102</v>
      </c>
      <c r="C73" s="154">
        <v>2794</v>
      </c>
      <c r="D73" s="155">
        <f>(C73/C$15)*100</f>
        <v>2.6074749438470719</v>
      </c>
      <c r="E73" s="154">
        <v>0</v>
      </c>
      <c r="F73" s="155">
        <f t="shared" si="31"/>
        <v>0</v>
      </c>
      <c r="G73" s="154"/>
      <c r="H73" s="155">
        <f t="shared" si="31"/>
        <v>0</v>
      </c>
      <c r="I73" s="183">
        <v>0</v>
      </c>
      <c r="J73" s="155">
        <f>(I73/I$15)*100</f>
        <v>0</v>
      </c>
      <c r="K73" s="154"/>
      <c r="L73" s="155">
        <f t="shared" si="26"/>
        <v>0</v>
      </c>
      <c r="N73" s="121">
        <f t="shared" si="27"/>
        <v>0</v>
      </c>
      <c r="P73" s="121">
        <f t="shared" si="28"/>
        <v>0</v>
      </c>
      <c r="R73" s="121">
        <f t="shared" si="29"/>
        <v>0</v>
      </c>
      <c r="T73" s="121">
        <f t="shared" si="30"/>
        <v>0</v>
      </c>
      <c r="V73" s="100">
        <f>I73-C73</f>
        <v>-2794</v>
      </c>
      <c r="X73" s="100">
        <f>I73-E73</f>
        <v>0</v>
      </c>
      <c r="Z73" s="100">
        <f>I73-G73</f>
        <v>0</v>
      </c>
      <c r="AB73" s="100">
        <f>K73-I73</f>
        <v>0</v>
      </c>
    </row>
    <row r="74" spans="1:28" ht="14.25" hidden="1" thickTop="1" thickBot="1" x14ac:dyDescent="0.25">
      <c r="A74" s="3"/>
      <c r="B74" s="246" t="s">
        <v>103</v>
      </c>
      <c r="C74" s="247">
        <v>-159</v>
      </c>
      <c r="D74" s="248">
        <f>(C74/C$15)*100</f>
        <v>-0.14838529565915692</v>
      </c>
      <c r="E74" s="247">
        <v>0</v>
      </c>
      <c r="F74" s="248">
        <f>(E74/E$15)*100</f>
        <v>0</v>
      </c>
      <c r="G74" s="247"/>
      <c r="H74" s="248">
        <f>(G74/G$15)*100</f>
        <v>0</v>
      </c>
      <c r="I74" s="249">
        <v>0</v>
      </c>
      <c r="J74" s="248">
        <f>(I74/I$15)*100</f>
        <v>0</v>
      </c>
      <c r="K74" s="247"/>
      <c r="L74" s="248">
        <f t="shared" si="26"/>
        <v>0</v>
      </c>
      <c r="N74" s="122">
        <f t="shared" si="27"/>
        <v>0</v>
      </c>
      <c r="P74" s="122">
        <f t="shared" si="28"/>
        <v>0</v>
      </c>
      <c r="R74" s="122">
        <f t="shared" si="29"/>
        <v>0</v>
      </c>
      <c r="T74" s="122">
        <f t="shared" si="30"/>
        <v>0</v>
      </c>
      <c r="V74" s="256">
        <f>I74-C74</f>
        <v>159</v>
      </c>
      <c r="X74" s="256">
        <f>I74-E74</f>
        <v>0</v>
      </c>
      <c r="Z74" s="256">
        <f>I74-G74</f>
        <v>0</v>
      </c>
      <c r="AB74" s="256">
        <f>K74-I74</f>
        <v>0</v>
      </c>
    </row>
    <row r="75" spans="1:28" ht="13.5" hidden="1" thickTop="1" x14ac:dyDescent="0.2">
      <c r="C75" s="184"/>
      <c r="E75" s="184"/>
      <c r="G75" s="184"/>
      <c r="I75" s="184"/>
      <c r="J75" s="185"/>
      <c r="K75" s="184"/>
      <c r="L75" s="185"/>
    </row>
    <row r="76" spans="1:28" ht="14.25" hidden="1" thickTop="1" thickBot="1" x14ac:dyDescent="0.25">
      <c r="A76" s="3"/>
      <c r="B76" s="40" t="s">
        <v>104</v>
      </c>
      <c r="C76" s="108">
        <f>C22-C9</f>
        <v>33753.456301757782</v>
      </c>
      <c r="D76" s="161">
        <f>(C76/(C$15-C$9))*100</f>
        <v>32.317617181594692</v>
      </c>
      <c r="E76" s="108">
        <f>E22-E9</f>
        <v>25912.551077226548</v>
      </c>
      <c r="F76" s="161">
        <f>(E76/(E$15-E$9))*100</f>
        <v>31.544507705623847</v>
      </c>
      <c r="G76" s="108">
        <f>G22-G9</f>
        <v>31512.679279226293</v>
      </c>
      <c r="H76" s="161">
        <f>(G76/(G$15-G$9))*100</f>
        <v>30.926418480814906</v>
      </c>
      <c r="I76" s="108">
        <f>I22-I9</f>
        <v>35878.741740128986</v>
      </c>
      <c r="J76" s="161">
        <f>(I76/(I$15-I$9))*100</f>
        <v>29.812729972264563</v>
      </c>
      <c r="K76" s="108"/>
      <c r="L76" s="161">
        <f>IF(K76=0,0,(K76/K$15)*100)</f>
        <v>0</v>
      </c>
      <c r="M76" s="185"/>
      <c r="N76" s="187">
        <f>IF(OR($I76=0,C76=0),0,($I76/C76)*100-100)</f>
        <v>6.2964972220060531</v>
      </c>
      <c r="O76" s="185"/>
      <c r="P76" s="187">
        <f>IF(OR($I76=0,E76=0),0,($I76/E76)*100-100)</f>
        <v>38.46086258817374</v>
      </c>
      <c r="Q76" s="185"/>
      <c r="R76" s="187">
        <f>IF(OR($I76=0,G76=0),0,($I76/G76)*100-100)</f>
        <v>13.854938903214361</v>
      </c>
      <c r="S76" s="185"/>
      <c r="T76" s="187">
        <f>IF(OR($I76=0,K76=0),0,($I76/K76)*100-100)</f>
        <v>0</v>
      </c>
      <c r="U76" s="185"/>
      <c r="V76" s="108">
        <f>I76-C76</f>
        <v>2125.2854383712038</v>
      </c>
      <c r="W76" s="185"/>
      <c r="X76" s="108">
        <f>I76-E76</f>
        <v>9966.1906629024379</v>
      </c>
      <c r="Z76" s="108">
        <f>I76-G76</f>
        <v>4366.0624609026927</v>
      </c>
      <c r="AB76" s="108">
        <f>K76-I76</f>
        <v>-35878.741740128986</v>
      </c>
    </row>
    <row r="77" spans="1:28" ht="13.5" thickTop="1" x14ac:dyDescent="0.2"/>
    <row r="79" spans="1:28" x14ac:dyDescent="0.2">
      <c r="I79" s="286"/>
    </row>
    <row r="84" spans="7:7" x14ac:dyDescent="0.2">
      <c r="G84" s="262"/>
    </row>
  </sheetData>
  <conditionalFormatting sqref="D33:D34 F33:F34 J33:J34 D1:D13 F1:F13 J1:J13 J16:J30 F16:F30 D16:D30 J37:J76 D37:D76 F37:F76 H75:H76 L37:L76">
    <cfRule type="cellIs" dxfId="23" priority="26" stopIfTrue="1" operator="lessThan">
      <formula>0</formula>
    </cfRule>
  </conditionalFormatting>
  <conditionalFormatting sqref="D14 F14 J14">
    <cfRule type="cellIs" dxfId="22" priority="25" stopIfTrue="1" operator="lessThan">
      <formula>0</formula>
    </cfRule>
  </conditionalFormatting>
  <conditionalFormatting sqref="L33:L34 L1:L13 L15:L30">
    <cfRule type="cellIs" dxfId="21" priority="22" stopIfTrue="1" operator="lessThan">
      <formula>0</formula>
    </cfRule>
  </conditionalFormatting>
  <conditionalFormatting sqref="L14">
    <cfRule type="cellIs" dxfId="20" priority="21" stopIfTrue="1" operator="lessThan">
      <formula>0</formula>
    </cfRule>
  </conditionalFormatting>
  <conditionalFormatting sqref="N1">
    <cfRule type="cellIs" dxfId="19" priority="20" stopIfTrue="1" operator="lessThan">
      <formula>0</formula>
    </cfRule>
  </conditionalFormatting>
  <conditionalFormatting sqref="T1">
    <cfRule type="cellIs" dxfId="18" priority="19" stopIfTrue="1" operator="lessThan">
      <formula>0</formula>
    </cfRule>
  </conditionalFormatting>
  <conditionalFormatting sqref="P1">
    <cfRule type="cellIs" dxfId="17" priority="18" stopIfTrue="1" operator="lessThan">
      <formula>0</formula>
    </cfRule>
  </conditionalFormatting>
  <conditionalFormatting sqref="R1">
    <cfRule type="cellIs" dxfId="16" priority="17" stopIfTrue="1" operator="lessThan">
      <formula>0</formula>
    </cfRule>
  </conditionalFormatting>
  <conditionalFormatting sqref="V1">
    <cfRule type="cellIs" dxfId="15" priority="16" stopIfTrue="1" operator="lessThan">
      <formula>0</formula>
    </cfRule>
  </conditionalFormatting>
  <conditionalFormatting sqref="AB1">
    <cfRule type="cellIs" dxfId="14" priority="15" stopIfTrue="1" operator="lessThan">
      <formula>0</formula>
    </cfRule>
  </conditionalFormatting>
  <conditionalFormatting sqref="X1">
    <cfRule type="cellIs" dxfId="13" priority="14" stopIfTrue="1" operator="lessThan">
      <formula>0</formula>
    </cfRule>
  </conditionalFormatting>
  <conditionalFormatting sqref="Z1">
    <cfRule type="cellIs" dxfId="12" priority="13" stopIfTrue="1" operator="lessThan">
      <formula>0</formula>
    </cfRule>
  </conditionalFormatting>
  <conditionalFormatting sqref="R2">
    <cfRule type="cellIs" dxfId="11" priority="12" stopIfTrue="1" operator="lessThan">
      <formula>0</formula>
    </cfRule>
  </conditionalFormatting>
  <conditionalFormatting sqref="R4">
    <cfRule type="cellIs" dxfId="10" priority="11" stopIfTrue="1" operator="lessThan">
      <formula>0</formula>
    </cfRule>
  </conditionalFormatting>
  <conditionalFormatting sqref="T2">
    <cfRule type="cellIs" dxfId="9" priority="10" stopIfTrue="1" operator="lessThan">
      <formula>0</formula>
    </cfRule>
  </conditionalFormatting>
  <conditionalFormatting sqref="T4">
    <cfRule type="cellIs" dxfId="8" priority="9" stopIfTrue="1" operator="lessThan">
      <formula>0</formula>
    </cfRule>
  </conditionalFormatting>
  <conditionalFormatting sqref="N2">
    <cfRule type="cellIs" dxfId="7" priority="8" stopIfTrue="1" operator="lessThan">
      <formula>0</formula>
    </cfRule>
  </conditionalFormatting>
  <conditionalFormatting sqref="N4">
    <cfRule type="cellIs" dxfId="6" priority="7" stopIfTrue="1" operator="lessThan">
      <formula>0</formula>
    </cfRule>
  </conditionalFormatting>
  <conditionalFormatting sqref="P2">
    <cfRule type="cellIs" dxfId="5" priority="6" stopIfTrue="1" operator="lessThan">
      <formula>0</formula>
    </cfRule>
  </conditionalFormatting>
  <conditionalFormatting sqref="P4">
    <cfRule type="cellIs" dxfId="4" priority="5" stopIfTrue="1" operator="lessThan">
      <formula>0</formula>
    </cfRule>
  </conditionalFormatting>
  <conditionalFormatting sqref="H33:H34 H1:H13 H16:H30 H37:H74">
    <cfRule type="cellIs" dxfId="3" priority="4" stopIfTrue="1" operator="lessThan">
      <formula>0</formula>
    </cfRule>
  </conditionalFormatting>
  <conditionalFormatting sqref="H14">
    <cfRule type="cellIs" dxfId="2" priority="3" stopIfTrue="1" operator="lessThan">
      <formula>0</formula>
    </cfRule>
  </conditionalFormatting>
  <conditionalFormatting sqref="J15 F15 D15">
    <cfRule type="cellIs" dxfId="1" priority="2" stopIfTrue="1" operator="lessThan">
      <formula>0</formula>
    </cfRule>
  </conditionalFormatting>
  <conditionalFormatting sqref="H15">
    <cfRule type="cellIs" dxfId="0" priority="1" stopIfTrue="1" operator="lessThan">
      <formula>0</formula>
    </cfRule>
  </conditionalFormatting>
  <hyperlinks>
    <hyperlink ref="N1" r:id="rId1" display="www.www"/>
    <hyperlink ref="T1" r:id="rId2" display="www.www"/>
    <hyperlink ref="P1" r:id="rId3" display="www.www"/>
    <hyperlink ref="R1" r:id="rId4" display="www.www"/>
    <hyperlink ref="V1" r:id="rId5" display="www.www"/>
    <hyperlink ref="AB1" r:id="rId6" display="www.www"/>
    <hyperlink ref="X1" r:id="rId7" display="www.www"/>
    <hyperlink ref="Z1" r:id="rId8" display="www.www"/>
  </hyperlinks>
  <printOptions horizontalCentered="1" verticalCentered="1"/>
  <pageMargins left="0.11811023622047245" right="0" top="0" bottom="0" header="0.23622047244094491" footer="0.19685039370078741"/>
  <pageSetup paperSize="9" scale="59" orientation="landscape" r:id="rId9"/>
  <headerFooter alignWithMargins="0">
    <oddHeader>&amp;C&amp;"Verdana,Negrito"&amp;14Tintas Hidracor S/A - DRE Contábil - Real 2014 X Real 2015 X Real 2016 X H2017</oddHeader>
  </headerFooter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DRE-H-Contábil-R$</vt:lpstr>
      <vt:lpstr>DRE - H-Contabil</vt:lpstr>
      <vt:lpstr>Acum-Contabil-15x16x17xH18</vt:lpstr>
      <vt:lpstr>'Acum-Contabil-15x16x17xH18'!Area_de_impressao</vt:lpstr>
      <vt:lpstr>'DRE - H-Contabil'!Area_de_impressao</vt:lpstr>
      <vt:lpstr>'DRE-H-Contábil-R$'!Area_de_impressao</vt:lpstr>
      <vt:lpstr>'Acum-Contabil-15x16x17xH18'!Titulos_de_impressao</vt:lpstr>
      <vt:lpstr>'DRE - H-Contabil'!Titulos_de_impressao</vt:lpstr>
      <vt:lpstr>'DRE-H-Contábil-R$'!Titulos_de_impressao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Lucivaldo Prudencio Monteiro</dc:creator>
  <cp:lastModifiedBy>Paulo Cidrão Lima</cp:lastModifiedBy>
  <cp:lastPrinted>2017-12-05T15:34:05Z</cp:lastPrinted>
  <dcterms:created xsi:type="dcterms:W3CDTF">2017-11-17T18:02:08Z</dcterms:created>
  <dcterms:modified xsi:type="dcterms:W3CDTF">2017-12-11T20:38:40Z</dcterms:modified>
</cp:coreProperties>
</file>