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éléchargements\"/>
    </mc:Choice>
  </mc:AlternateContent>
  <xr:revisionPtr revIDLastSave="0" documentId="8_{51C9C8A1-BA98-48BD-9192-5AFD2A9EB7A7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 OS" sheetId="1" r:id="rId1"/>
    <sheet name="Feuil6" sheetId="7" r:id="rId2"/>
    <sheet name="Feuil7" sheetId="8" r:id="rId3"/>
    <sheet name="Transac par mois" sheetId="6" r:id="rId4"/>
    <sheet name="AvgTime" sheetId="2" r:id="rId5"/>
    <sheet name="Charges" sheetId="3" r:id="rId6"/>
    <sheet name="Feuil3" sheetId="4" r:id="rId7"/>
    <sheet name="Last Status" sheetId="5" r:id="rId8"/>
  </sheets>
  <definedNames>
    <definedName name="_xlnm._FilterDatabase" localSheetId="4" hidden="1">AvgTime!$A$9:$F$48</definedName>
    <definedName name="_xlnm._FilterDatabase" localSheetId="5" hidden="1">Charges!$A$4:$C$38</definedName>
    <definedName name="_xlnm._FilterDatabase" localSheetId="0" hidden="1">'Sheet OS'!$A$1:$Q$91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1" i="1" l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" i="1"/>
  <c r="H47" i="2"/>
  <c r="G47" i="2"/>
  <c r="H45" i="2"/>
  <c r="G45" i="2"/>
  <c r="H43" i="2"/>
  <c r="G43" i="2"/>
  <c r="H42" i="2"/>
  <c r="G42" i="2"/>
  <c r="H41" i="2"/>
  <c r="G41" i="2"/>
  <c r="H40" i="2"/>
  <c r="G40" i="2"/>
  <c r="H39" i="2"/>
  <c r="G39" i="2"/>
  <c r="H38" i="2"/>
  <c r="G38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1" i="2"/>
  <c r="G21" i="2"/>
  <c r="H20" i="2"/>
  <c r="G20" i="2"/>
  <c r="H19" i="2"/>
  <c r="G19" i="2"/>
  <c r="H18" i="2"/>
  <c r="G18" i="2"/>
  <c r="H16" i="2"/>
  <c r="G16" i="2"/>
  <c r="H14" i="2"/>
  <c r="G14" i="2"/>
  <c r="H13" i="2"/>
  <c r="G13" i="2"/>
  <c r="H12" i="2"/>
  <c r="G12" i="2"/>
  <c r="H11" i="2"/>
  <c r="G11" i="2"/>
  <c r="H10" i="2"/>
  <c r="G10" i="2"/>
  <c r="H9" i="2"/>
  <c r="G9" i="2"/>
  <c r="C2" i="6"/>
  <c r="D2" i="6" s="1"/>
  <c r="D4" i="6"/>
  <c r="D3" i="6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C3" i="6"/>
  <c r="T80" i="1"/>
  <c r="T68" i="1"/>
  <c r="T56" i="1"/>
  <c r="T44" i="1"/>
  <c r="T32" i="1"/>
  <c r="T20" i="1"/>
  <c r="T8" i="1"/>
  <c r="N89" i="1"/>
  <c r="N90" i="1" s="1"/>
  <c r="N91" i="1" s="1"/>
  <c r="N86" i="1"/>
  <c r="N87" i="1" s="1"/>
  <c r="N88" i="1" s="1"/>
  <c r="N83" i="1"/>
  <c r="N84" i="1" s="1"/>
  <c r="N85" i="1" s="1"/>
  <c r="N82" i="1"/>
  <c r="N81" i="1"/>
  <c r="N79" i="1"/>
  <c r="N80" i="1" s="1"/>
  <c r="N77" i="1"/>
  <c r="N78" i="1" s="1"/>
  <c r="N74" i="1"/>
  <c r="N75" i="1" s="1"/>
  <c r="N76" i="1" s="1"/>
  <c r="N71" i="1"/>
  <c r="N72" i="1" s="1"/>
  <c r="N73" i="1" s="1"/>
  <c r="N69" i="1"/>
  <c r="N70" i="1" s="1"/>
  <c r="N67" i="1"/>
  <c r="N68" i="1" s="1"/>
  <c r="N65" i="1"/>
  <c r="N66" i="1" s="1"/>
  <c r="N63" i="1"/>
  <c r="N64" i="1" s="1"/>
  <c r="N61" i="1"/>
  <c r="N62" i="1" s="1"/>
  <c r="N59" i="1"/>
  <c r="N60" i="1" s="1"/>
  <c r="N57" i="1"/>
  <c r="N58" i="1" s="1"/>
  <c r="N55" i="1"/>
  <c r="N56" i="1" s="1"/>
  <c r="N53" i="1"/>
  <c r="N54" i="1" s="1"/>
  <c r="N51" i="1"/>
  <c r="N52" i="1" s="1"/>
  <c r="N49" i="1"/>
  <c r="N50" i="1" s="1"/>
  <c r="N47" i="1"/>
  <c r="N48" i="1" s="1"/>
  <c r="N45" i="1"/>
  <c r="N46" i="1" s="1"/>
  <c r="N43" i="1"/>
  <c r="N44" i="1" s="1"/>
  <c r="N40" i="1"/>
  <c r="N41" i="1" s="1"/>
  <c r="N42" i="1" s="1"/>
  <c r="N38" i="1"/>
  <c r="N39" i="1" s="1"/>
  <c r="N36" i="1"/>
  <c r="N37" i="1" s="1"/>
  <c r="N34" i="1"/>
  <c r="N35" i="1" s="1"/>
  <c r="N32" i="1"/>
  <c r="N33" i="1" s="1"/>
  <c r="N30" i="1"/>
  <c r="N31" i="1" s="1"/>
  <c r="N27" i="1"/>
  <c r="N28" i="1" s="1"/>
  <c r="N29" i="1" s="1"/>
  <c r="N25" i="1"/>
  <c r="N26" i="1" s="1"/>
  <c r="N22" i="1"/>
  <c r="N23" i="1" s="1"/>
  <c r="N24" i="1" s="1"/>
  <c r="N19" i="1"/>
  <c r="N20" i="1" s="1"/>
  <c r="N21" i="1" s="1"/>
  <c r="N16" i="1"/>
  <c r="N17" i="1" s="1"/>
  <c r="N18" i="1" s="1"/>
  <c r="N14" i="1"/>
  <c r="N15" i="1" s="1"/>
  <c r="N12" i="1"/>
  <c r="N13" i="1" s="1"/>
  <c r="N10" i="1"/>
  <c r="N11" i="1" s="1"/>
  <c r="N7" i="1"/>
  <c r="N8" i="1" s="1"/>
  <c r="N9" i="1" s="1"/>
  <c r="N4" i="1"/>
  <c r="N5" i="1" s="1"/>
  <c r="N6" i="1" s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3" i="1" s="1"/>
  <c r="O2" i="1"/>
  <c r="T2" i="1" s="1"/>
  <c r="O91" i="1"/>
  <c r="T91" i="1" s="1"/>
  <c r="O90" i="1"/>
  <c r="T90" i="1" s="1"/>
  <c r="O89" i="1"/>
  <c r="T89" i="1" s="1"/>
  <c r="O88" i="1"/>
  <c r="T88" i="1" s="1"/>
  <c r="O87" i="1"/>
  <c r="T87" i="1" s="1"/>
  <c r="O86" i="1"/>
  <c r="T86" i="1" s="1"/>
  <c r="O85" i="1"/>
  <c r="T85" i="1" s="1"/>
  <c r="O84" i="1"/>
  <c r="T84" i="1" s="1"/>
  <c r="O83" i="1"/>
  <c r="T83" i="1" s="1"/>
  <c r="O82" i="1"/>
  <c r="T82" i="1" s="1"/>
  <c r="O81" i="1"/>
  <c r="T81" i="1" s="1"/>
  <c r="O80" i="1"/>
  <c r="O79" i="1"/>
  <c r="T79" i="1" s="1"/>
  <c r="O78" i="1"/>
  <c r="T78" i="1" s="1"/>
  <c r="O77" i="1"/>
  <c r="T77" i="1" s="1"/>
  <c r="O76" i="1"/>
  <c r="T76" i="1" s="1"/>
  <c r="O75" i="1"/>
  <c r="T75" i="1" s="1"/>
  <c r="O74" i="1"/>
  <c r="T74" i="1" s="1"/>
  <c r="O73" i="1"/>
  <c r="T73" i="1" s="1"/>
  <c r="O72" i="1"/>
  <c r="T72" i="1" s="1"/>
  <c r="O71" i="1"/>
  <c r="T71" i="1" s="1"/>
  <c r="O70" i="1"/>
  <c r="T70" i="1" s="1"/>
  <c r="O69" i="1"/>
  <c r="T69" i="1" s="1"/>
  <c r="O68" i="1"/>
  <c r="O67" i="1"/>
  <c r="T67" i="1" s="1"/>
  <c r="O66" i="1"/>
  <c r="T66" i="1" s="1"/>
  <c r="O65" i="1"/>
  <c r="T65" i="1" s="1"/>
  <c r="O64" i="1"/>
  <c r="T64" i="1" s="1"/>
  <c r="O63" i="1"/>
  <c r="T63" i="1" s="1"/>
  <c r="O62" i="1"/>
  <c r="T62" i="1" s="1"/>
  <c r="O61" i="1"/>
  <c r="T61" i="1" s="1"/>
  <c r="O60" i="1"/>
  <c r="T60" i="1" s="1"/>
  <c r="O59" i="1"/>
  <c r="T59" i="1" s="1"/>
  <c r="O58" i="1"/>
  <c r="T58" i="1" s="1"/>
  <c r="O57" i="1"/>
  <c r="T57" i="1" s="1"/>
  <c r="O56" i="1"/>
  <c r="O55" i="1"/>
  <c r="T55" i="1" s="1"/>
  <c r="O54" i="1"/>
  <c r="T54" i="1" s="1"/>
  <c r="O53" i="1"/>
  <c r="T53" i="1" s="1"/>
  <c r="O52" i="1"/>
  <c r="T52" i="1" s="1"/>
  <c r="O51" i="1"/>
  <c r="T51" i="1" s="1"/>
  <c r="O50" i="1"/>
  <c r="T50" i="1" s="1"/>
  <c r="O49" i="1"/>
  <c r="T49" i="1" s="1"/>
  <c r="O48" i="1"/>
  <c r="T48" i="1" s="1"/>
  <c r="O47" i="1"/>
  <c r="T47" i="1" s="1"/>
  <c r="O46" i="1"/>
  <c r="T46" i="1" s="1"/>
  <c r="O45" i="1"/>
  <c r="T45" i="1" s="1"/>
  <c r="O44" i="1"/>
  <c r="O43" i="1"/>
  <c r="T43" i="1" s="1"/>
  <c r="O42" i="1"/>
  <c r="T42" i="1" s="1"/>
  <c r="O41" i="1"/>
  <c r="T41" i="1" s="1"/>
  <c r="O40" i="1"/>
  <c r="T40" i="1" s="1"/>
  <c r="O39" i="1"/>
  <c r="T39" i="1" s="1"/>
  <c r="O38" i="1"/>
  <c r="T38" i="1" s="1"/>
  <c r="O37" i="1"/>
  <c r="T37" i="1" s="1"/>
  <c r="O36" i="1"/>
  <c r="T36" i="1" s="1"/>
  <c r="O35" i="1"/>
  <c r="T35" i="1" s="1"/>
  <c r="O34" i="1"/>
  <c r="T34" i="1" s="1"/>
  <c r="O33" i="1"/>
  <c r="T33" i="1" s="1"/>
  <c r="O32" i="1"/>
  <c r="O31" i="1"/>
  <c r="T31" i="1" s="1"/>
  <c r="O30" i="1"/>
  <c r="T30" i="1" s="1"/>
  <c r="O29" i="1"/>
  <c r="T29" i="1" s="1"/>
  <c r="O28" i="1"/>
  <c r="T28" i="1" s="1"/>
  <c r="O27" i="1"/>
  <c r="T27" i="1" s="1"/>
  <c r="O26" i="1"/>
  <c r="T26" i="1" s="1"/>
  <c r="O25" i="1"/>
  <c r="T25" i="1" s="1"/>
  <c r="O24" i="1"/>
  <c r="T24" i="1" s="1"/>
  <c r="O23" i="1"/>
  <c r="T23" i="1" s="1"/>
  <c r="O22" i="1"/>
  <c r="T22" i="1" s="1"/>
  <c r="O21" i="1"/>
  <c r="T21" i="1" s="1"/>
  <c r="O20" i="1"/>
  <c r="O19" i="1"/>
  <c r="T19" i="1" s="1"/>
  <c r="O18" i="1"/>
  <c r="T18" i="1" s="1"/>
  <c r="O17" i="1"/>
  <c r="T17" i="1" s="1"/>
  <c r="O16" i="1"/>
  <c r="T16" i="1" s="1"/>
  <c r="O15" i="1"/>
  <c r="T15" i="1" s="1"/>
  <c r="O14" i="1"/>
  <c r="T14" i="1" s="1"/>
  <c r="O13" i="1"/>
  <c r="T13" i="1" s="1"/>
  <c r="O12" i="1"/>
  <c r="T12" i="1" s="1"/>
  <c r="O11" i="1"/>
  <c r="T11" i="1" s="1"/>
  <c r="O10" i="1"/>
  <c r="T10" i="1" s="1"/>
  <c r="O9" i="1"/>
  <c r="T9" i="1" s="1"/>
  <c r="O8" i="1"/>
  <c r="O7" i="1"/>
  <c r="T7" i="1" s="1"/>
  <c r="O6" i="1"/>
  <c r="T6" i="1" s="1"/>
  <c r="O5" i="1"/>
  <c r="T5" i="1" s="1"/>
  <c r="O4" i="1"/>
  <c r="T4" i="1" s="1"/>
  <c r="O3" i="1"/>
  <c r="T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C14" i="8"/>
  <c r="C15" i="8"/>
  <c r="C16" i="8"/>
  <c r="C14" i="7"/>
  <c r="C15" i="7"/>
  <c r="C16" i="7"/>
  <c r="B42" i="3" l="1"/>
  <c r="N42" i="3" s="1"/>
  <c r="S86" i="1" s="1"/>
  <c r="D41" i="3"/>
  <c r="P41" i="3" s="1"/>
  <c r="E40" i="3"/>
  <c r="Q40" i="3" s="1"/>
  <c r="F40" i="3"/>
  <c r="R40" i="3" s="1"/>
  <c r="G42" i="3"/>
  <c r="S42" i="3" s="1"/>
  <c r="H39" i="3"/>
  <c r="H40" i="3"/>
  <c r="H41" i="3"/>
  <c r="H42" i="3"/>
  <c r="H43" i="3"/>
  <c r="B39" i="3"/>
  <c r="C40" i="3"/>
  <c r="O40" i="3" s="1"/>
  <c r="D39" i="3"/>
  <c r="P39" i="3" s="1"/>
  <c r="E39" i="3"/>
  <c r="Q39" i="3" s="1"/>
  <c r="F39" i="3"/>
  <c r="R39" i="3" s="1"/>
  <c r="I43" i="3"/>
  <c r="J39" i="3"/>
  <c r="J40" i="3"/>
  <c r="P40" i="3" s="1"/>
  <c r="J41" i="3"/>
  <c r="J42" i="3"/>
  <c r="J43" i="3"/>
  <c r="B41" i="3"/>
  <c r="C42" i="3"/>
  <c r="O42" i="3" s="1"/>
  <c r="S87" i="1" s="1"/>
  <c r="D40" i="3"/>
  <c r="E41" i="3"/>
  <c r="Q41" i="3" s="1"/>
  <c r="F41" i="3"/>
  <c r="G40" i="3"/>
  <c r="S40" i="3" s="1"/>
  <c r="K39" i="3"/>
  <c r="K40" i="3"/>
  <c r="K41" i="3"/>
  <c r="K42" i="3"/>
  <c r="K43" i="3"/>
  <c r="B43" i="3"/>
  <c r="C39" i="3"/>
  <c r="O39" i="3" s="1"/>
  <c r="C43" i="3"/>
  <c r="D43" i="3"/>
  <c r="P43" i="3" s="1"/>
  <c r="E42" i="3"/>
  <c r="F43" i="3"/>
  <c r="R43" i="3" s="1"/>
  <c r="G39" i="3"/>
  <c r="S39" i="3" s="1"/>
  <c r="G43" i="3"/>
  <c r="S43" i="3" s="1"/>
  <c r="I40" i="3"/>
  <c r="I41" i="3"/>
  <c r="B9" i="2"/>
  <c r="L39" i="3"/>
  <c r="L40" i="3"/>
  <c r="L41" i="3"/>
  <c r="L42" i="3"/>
  <c r="L43" i="3"/>
  <c r="B40" i="3"/>
  <c r="N40" i="3" s="1"/>
  <c r="C41" i="3"/>
  <c r="O41" i="3" s="1"/>
  <c r="D42" i="3"/>
  <c r="P42" i="3" s="1"/>
  <c r="E43" i="3"/>
  <c r="Q43" i="3" s="1"/>
  <c r="F42" i="3"/>
  <c r="R42" i="3" s="1"/>
  <c r="G41" i="3"/>
  <c r="S41" i="3" s="1"/>
  <c r="I39" i="3"/>
  <c r="I42" i="3"/>
  <c r="F9" i="2"/>
  <c r="M39" i="3"/>
  <c r="M40" i="3"/>
  <c r="M41" i="3"/>
  <c r="M42" i="3"/>
  <c r="M43" i="3"/>
  <c r="B33" i="2"/>
  <c r="B37" i="2"/>
  <c r="B44" i="2"/>
  <c r="B46" i="2"/>
  <c r="B48" i="2"/>
  <c r="B19" i="2"/>
  <c r="B34" i="2"/>
  <c r="B35" i="2"/>
  <c r="B23" i="2"/>
  <c r="B36" i="2"/>
  <c r="B25" i="2"/>
  <c r="B24" i="2"/>
  <c r="B43" i="2"/>
  <c r="B31" i="2"/>
  <c r="B32" i="2"/>
  <c r="B16" i="2"/>
  <c r="B17" i="2"/>
  <c r="B22" i="2"/>
  <c r="B26" i="2"/>
  <c r="B27" i="2"/>
  <c r="B39" i="2"/>
  <c r="B13" i="2"/>
  <c r="B15" i="2"/>
  <c r="B20" i="2"/>
  <c r="B21" i="2"/>
  <c r="B45" i="2"/>
  <c r="B28" i="2"/>
  <c r="B40" i="2"/>
  <c r="B47" i="2"/>
  <c r="C46" i="2"/>
  <c r="D46" i="2" s="1"/>
  <c r="E46" i="2" s="1"/>
  <c r="R83" i="1" s="1"/>
  <c r="B29" i="2"/>
  <c r="B41" i="2"/>
  <c r="B14" i="2"/>
  <c r="B18" i="2"/>
  <c r="B38" i="2"/>
  <c r="B12" i="2"/>
  <c r="B30" i="2"/>
  <c r="B42" i="2"/>
  <c r="C47" i="2"/>
  <c r="C44" i="2"/>
  <c r="C45" i="2"/>
  <c r="C48" i="2"/>
  <c r="D16" i="8"/>
  <c r="E16" i="8"/>
  <c r="D14" i="8"/>
  <c r="D15" i="8"/>
  <c r="E15" i="8"/>
  <c r="E14" i="8"/>
  <c r="E16" i="7"/>
  <c r="D16" i="7"/>
  <c r="E15" i="7"/>
  <c r="D15" i="7"/>
  <c r="D14" i="7"/>
  <c r="E14" i="7"/>
  <c r="T40" i="3" l="1"/>
  <c r="S82" i="1"/>
  <c r="O43" i="3"/>
  <c r="N43" i="3"/>
  <c r="Q42" i="3"/>
  <c r="S88" i="1" s="1"/>
  <c r="T42" i="3"/>
  <c r="N41" i="3"/>
  <c r="N39" i="3"/>
  <c r="D47" i="2"/>
  <c r="E47" i="2" s="1"/>
  <c r="R86" i="1" s="1"/>
  <c r="D45" i="2"/>
  <c r="E45" i="2" s="1"/>
  <c r="R82" i="1" s="1"/>
  <c r="D44" i="2"/>
  <c r="E44" i="2" s="1"/>
  <c r="R81" i="1" s="1"/>
  <c r="D48" i="2"/>
  <c r="E48" i="2" s="1"/>
  <c r="R90" i="1" s="1"/>
  <c r="R87" i="1"/>
  <c r="R85" i="1"/>
  <c r="R84" i="1"/>
  <c r="S89" i="1" l="1"/>
  <c r="T43" i="3"/>
  <c r="S91" i="1"/>
  <c r="S90" i="1"/>
  <c r="T39" i="3"/>
  <c r="S81" i="1"/>
  <c r="R41" i="3"/>
  <c r="S83" i="1"/>
  <c r="R88" i="1"/>
  <c r="R89" i="1"/>
  <c r="R91" i="1"/>
  <c r="F37" i="3"/>
  <c r="R37" i="3" s="1"/>
  <c r="F23" i="3"/>
  <c r="R23" i="3" s="1"/>
  <c r="Q10" i="1"/>
  <c r="K6" i="3"/>
  <c r="Q26" i="1"/>
  <c r="I18" i="3"/>
  <c r="E35" i="3"/>
  <c r="Q35" i="3" s="1"/>
  <c r="L32" i="3"/>
  <c r="E24" i="3"/>
  <c r="Q24" i="3" s="1"/>
  <c r="C8" i="3"/>
  <c r="O8" i="3" s="1"/>
  <c r="D9" i="3"/>
  <c r="F24" i="3"/>
  <c r="R24" i="3" s="1"/>
  <c r="E19" i="3"/>
  <c r="Q19" i="3" s="1"/>
  <c r="J21" i="3"/>
  <c r="C18" i="2"/>
  <c r="C9" i="2"/>
  <c r="G7" i="3"/>
  <c r="S7" i="3" s="1"/>
  <c r="D11" i="3"/>
  <c r="P11" i="3" s="1"/>
  <c r="Q29" i="1"/>
  <c r="J14" i="3"/>
  <c r="K10" i="3"/>
  <c r="Q25" i="1"/>
  <c r="Q27" i="1"/>
  <c r="K24" i="3"/>
  <c r="F19" i="3"/>
  <c r="R19" i="3" s="1"/>
  <c r="T41" i="3" l="1"/>
  <c r="S85" i="1"/>
  <c r="S84" i="1"/>
  <c r="G16" i="3"/>
  <c r="S16" i="3" s="1"/>
  <c r="H20" i="3"/>
  <c r="F22" i="3"/>
  <c r="R22" i="3" s="1"/>
  <c r="M24" i="3"/>
  <c r="L24" i="3"/>
  <c r="Q71" i="1"/>
  <c r="F10" i="3"/>
  <c r="L8" i="3"/>
  <c r="M35" i="3"/>
  <c r="H17" i="3"/>
  <c r="L17" i="3"/>
  <c r="G38" i="3"/>
  <c r="S38" i="3" s="1"/>
  <c r="Q16" i="1"/>
  <c r="H8" i="3"/>
  <c r="Q18" i="1"/>
  <c r="J26" i="3"/>
  <c r="B28" i="3"/>
  <c r="H36" i="3"/>
  <c r="H5" i="3"/>
  <c r="L38" i="3"/>
  <c r="D9" i="2"/>
  <c r="E9" i="2" s="1"/>
  <c r="K36" i="3"/>
  <c r="C15" i="3"/>
  <c r="O15" i="3" s="1"/>
  <c r="C38" i="2"/>
  <c r="D38" i="2" s="1"/>
  <c r="E38" i="2" s="1"/>
  <c r="J17" i="3"/>
  <c r="D21" i="3"/>
  <c r="F38" i="3"/>
  <c r="R38" i="3" s="1"/>
  <c r="I26" i="3"/>
  <c r="K30" i="3"/>
  <c r="J22" i="3"/>
  <c r="K17" i="3"/>
  <c r="K28" i="3"/>
  <c r="D27" i="3"/>
  <c r="D29" i="3"/>
  <c r="B34" i="3"/>
  <c r="G35" i="3"/>
  <c r="S35" i="3" s="1"/>
  <c r="B13" i="3"/>
  <c r="C12" i="2"/>
  <c r="L31" i="3"/>
  <c r="J10" i="3"/>
  <c r="L22" i="3"/>
  <c r="F6" i="3"/>
  <c r="R6" i="3" s="1"/>
  <c r="G17" i="3"/>
  <c r="E28" i="3"/>
  <c r="G22" i="3"/>
  <c r="S22" i="3" s="1"/>
  <c r="Q83" i="1"/>
  <c r="Q59" i="1"/>
  <c r="J11" i="3"/>
  <c r="C19" i="3"/>
  <c r="O19" i="3" s="1"/>
  <c r="H25" i="3"/>
  <c r="C30" i="2"/>
  <c r="C27" i="3"/>
  <c r="O27" i="3" s="1"/>
  <c r="Q54" i="1"/>
  <c r="F32" i="3"/>
  <c r="R32" i="3" s="1"/>
  <c r="I31" i="3"/>
  <c r="E15" i="3"/>
  <c r="Q15" i="3" s="1"/>
  <c r="I8" i="3"/>
  <c r="D24" i="3"/>
  <c r="I30" i="3"/>
  <c r="I16" i="3"/>
  <c r="B7" i="3"/>
  <c r="Q79" i="1"/>
  <c r="E27" i="3"/>
  <c r="Q27" i="3" s="1"/>
  <c r="H23" i="3"/>
  <c r="G15" i="3"/>
  <c r="B33" i="3"/>
  <c r="Q75" i="1"/>
  <c r="B35" i="3"/>
  <c r="C42" i="2"/>
  <c r="C10" i="2"/>
  <c r="J18" i="3"/>
  <c r="C36" i="2"/>
  <c r="D36" i="2" s="1"/>
  <c r="E36" i="2" s="1"/>
  <c r="L5" i="3"/>
  <c r="C34" i="2"/>
  <c r="H19" i="3"/>
  <c r="Q15" i="1"/>
  <c r="C32" i="2"/>
  <c r="H34" i="3"/>
  <c r="D34" i="3"/>
  <c r="G14" i="3"/>
  <c r="S14" i="3" s="1"/>
  <c r="Q78" i="1"/>
  <c r="K25" i="3"/>
  <c r="J8" i="3"/>
  <c r="Q39" i="1"/>
  <c r="F9" i="3"/>
  <c r="I23" i="3"/>
  <c r="G19" i="3"/>
  <c r="S19" i="3" s="1"/>
  <c r="D31" i="3"/>
  <c r="C16" i="3"/>
  <c r="O16" i="3" s="1"/>
  <c r="B30" i="3"/>
  <c r="D26" i="3"/>
  <c r="E38" i="3"/>
  <c r="Q38" i="1"/>
  <c r="H31" i="3"/>
  <c r="B29" i="3"/>
  <c r="H15" i="3"/>
  <c r="C43" i="2"/>
  <c r="Q28" i="1"/>
  <c r="M32" i="3"/>
  <c r="C25" i="3"/>
  <c r="O25" i="3" s="1"/>
  <c r="C37" i="3"/>
  <c r="J9" i="3"/>
  <c r="K15" i="3"/>
  <c r="M9" i="3"/>
  <c r="M16" i="3"/>
  <c r="D22" i="3"/>
  <c r="M28" i="3"/>
  <c r="C34" i="3"/>
  <c r="O34" i="3" s="1"/>
  <c r="L28" i="3"/>
  <c r="J28" i="3"/>
  <c r="Q21" i="1"/>
  <c r="E37" i="3"/>
  <c r="L20" i="3"/>
  <c r="D38" i="3"/>
  <c r="P38" i="3" s="1"/>
  <c r="K12" i="3"/>
  <c r="C36" i="3"/>
  <c r="I17" i="3"/>
  <c r="Q90" i="1"/>
  <c r="Q23" i="1"/>
  <c r="K33" i="3"/>
  <c r="H4" i="3"/>
  <c r="F35" i="3"/>
  <c r="R35" i="3" s="1"/>
  <c r="Q68" i="1"/>
  <c r="C32" i="3"/>
  <c r="B4" i="3"/>
  <c r="N4" i="3" s="1"/>
  <c r="S2" i="1" s="1"/>
  <c r="J15" i="3"/>
  <c r="G11" i="3"/>
  <c r="S11" i="3" s="1"/>
  <c r="K34" i="3"/>
  <c r="I27" i="3"/>
  <c r="Q56" i="1"/>
  <c r="Q69" i="1"/>
  <c r="G8" i="3"/>
  <c r="S8" i="3" s="1"/>
  <c r="G25" i="3"/>
  <c r="S25" i="3" s="1"/>
  <c r="K18" i="3"/>
  <c r="F34" i="3"/>
  <c r="R34" i="3" s="1"/>
  <c r="H27" i="3"/>
  <c r="C35" i="3"/>
  <c r="M25" i="3"/>
  <c r="H26" i="3"/>
  <c r="E16" i="3"/>
  <c r="Q16" i="3" s="1"/>
  <c r="B11" i="3"/>
  <c r="J37" i="3"/>
  <c r="Q53" i="1"/>
  <c r="Q82" i="1"/>
  <c r="I14" i="3"/>
  <c r="G4" i="3"/>
  <c r="S4" i="3" s="1"/>
  <c r="J35" i="3"/>
  <c r="M38" i="3"/>
  <c r="G31" i="3"/>
  <c r="S31" i="3" s="1"/>
  <c r="L26" i="3"/>
  <c r="H38" i="3"/>
  <c r="Q65" i="1"/>
  <c r="K8" i="3"/>
  <c r="F25" i="3"/>
  <c r="R25" i="3" s="1"/>
  <c r="D28" i="3"/>
  <c r="L16" i="3"/>
  <c r="M6" i="3"/>
  <c r="Q31" i="1"/>
  <c r="E7" i="3"/>
  <c r="B11" i="2"/>
  <c r="Q72" i="1"/>
  <c r="B26" i="3"/>
  <c r="Q5" i="1"/>
  <c r="Q33" i="1"/>
  <c r="J30" i="3"/>
  <c r="K35" i="3"/>
  <c r="C11" i="2"/>
  <c r="J36" i="3"/>
  <c r="K13" i="3"/>
  <c r="B15" i="3"/>
  <c r="C28" i="3"/>
  <c r="O28" i="3" s="1"/>
  <c r="C22" i="3"/>
  <c r="O22" i="3" s="1"/>
  <c r="G36" i="3"/>
  <c r="S36" i="3" s="1"/>
  <c r="C23" i="3"/>
  <c r="O23" i="3" s="1"/>
  <c r="J29" i="3"/>
  <c r="E36" i="3"/>
  <c r="Q36" i="3" s="1"/>
  <c r="M17" i="3"/>
  <c r="C20" i="2"/>
  <c r="Q6" i="1"/>
  <c r="I5" i="3"/>
  <c r="C40" i="2"/>
  <c r="I10" i="3"/>
  <c r="B14" i="3"/>
  <c r="C25" i="2"/>
  <c r="F14" i="3"/>
  <c r="R14" i="3" s="1"/>
  <c r="M30" i="3"/>
  <c r="J12" i="3"/>
  <c r="C10" i="3"/>
  <c r="E23" i="3"/>
  <c r="Q23" i="3" s="1"/>
  <c r="Q91" i="1"/>
  <c r="E32" i="3"/>
  <c r="Q32" i="3" s="1"/>
  <c r="B24" i="3"/>
  <c r="C29" i="2"/>
  <c r="F28" i="3"/>
  <c r="R28" i="3" s="1"/>
  <c r="M26" i="3"/>
  <c r="I24" i="3"/>
  <c r="C9" i="3"/>
  <c r="O9" i="3" s="1"/>
  <c r="Q37" i="1"/>
  <c r="J33" i="3"/>
  <c r="K37" i="3"/>
  <c r="M31" i="3"/>
  <c r="D12" i="3"/>
  <c r="J7" i="3"/>
  <c r="I19" i="3"/>
  <c r="M33" i="3"/>
  <c r="C15" i="2"/>
  <c r="Q3" i="1"/>
  <c r="C5" i="3"/>
  <c r="L9" i="3"/>
  <c r="L30" i="3"/>
  <c r="C14" i="2"/>
  <c r="D14" i="2" s="1"/>
  <c r="E14" i="2" s="1"/>
  <c r="D25" i="3"/>
  <c r="Q57" i="1"/>
  <c r="G10" i="3"/>
  <c r="S10" i="3" s="1"/>
  <c r="D32" i="3"/>
  <c r="I32" i="3"/>
  <c r="Q13" i="1"/>
  <c r="B16" i="3"/>
  <c r="L13" i="3"/>
  <c r="C30" i="3"/>
  <c r="O30" i="3" s="1"/>
  <c r="I13" i="3"/>
  <c r="B32" i="3"/>
  <c r="L36" i="3"/>
  <c r="D7" i="3"/>
  <c r="K16" i="3"/>
  <c r="M5" i="3"/>
  <c r="D6" i="3"/>
  <c r="H32" i="3"/>
  <c r="J24" i="3"/>
  <c r="D33" i="3"/>
  <c r="M21" i="3"/>
  <c r="I25" i="3"/>
  <c r="B31" i="3"/>
  <c r="C23" i="2"/>
  <c r="C31" i="3"/>
  <c r="O31" i="3" s="1"/>
  <c r="Q77" i="1"/>
  <c r="Q63" i="1"/>
  <c r="H29" i="3"/>
  <c r="E12" i="3"/>
  <c r="Q12" i="3" s="1"/>
  <c r="I6" i="3"/>
  <c r="E4" i="3"/>
  <c r="Q4" i="3" s="1"/>
  <c r="H14" i="3"/>
  <c r="Q7" i="1"/>
  <c r="Q76" i="1"/>
  <c r="B37" i="3"/>
  <c r="L6" i="3"/>
  <c r="I29" i="3"/>
  <c r="D18" i="2"/>
  <c r="E18" i="2" s="1"/>
  <c r="Q46" i="1"/>
  <c r="J20" i="3"/>
  <c r="E14" i="3"/>
  <c r="Q14" i="3" s="1"/>
  <c r="B6" i="3"/>
  <c r="C17" i="3"/>
  <c r="O17" i="3" s="1"/>
  <c r="L7" i="3"/>
  <c r="B36" i="3"/>
  <c r="L34" i="3"/>
  <c r="H13" i="3"/>
  <c r="N13" i="3" s="1"/>
  <c r="S25" i="1" s="1"/>
  <c r="Q45" i="1"/>
  <c r="F8" i="3"/>
  <c r="R8" i="3" s="1"/>
  <c r="G21" i="3"/>
  <c r="S21" i="3" s="1"/>
  <c r="B25" i="3"/>
  <c r="N25" i="3" s="1"/>
  <c r="S51" i="1" s="1"/>
  <c r="Q2" i="1"/>
  <c r="H35" i="3"/>
  <c r="Q55" i="1"/>
  <c r="B5" i="3"/>
  <c r="Q42" i="1"/>
  <c r="D8" i="3"/>
  <c r="Q88" i="1"/>
  <c r="L33" i="3"/>
  <c r="F27" i="3"/>
  <c r="R27" i="3" s="1"/>
  <c r="K23" i="3"/>
  <c r="J27" i="3"/>
  <c r="E17" i="3"/>
  <c r="Q17" i="3" s="1"/>
  <c r="C33" i="2"/>
  <c r="F20" i="3"/>
  <c r="R20" i="3" s="1"/>
  <c r="C41" i="2"/>
  <c r="G27" i="3"/>
  <c r="S27" i="3" s="1"/>
  <c r="D19" i="3"/>
  <c r="B10" i="2"/>
  <c r="G24" i="3"/>
  <c r="S24" i="3" s="1"/>
  <c r="Q20" i="1"/>
  <c r="I22" i="3"/>
  <c r="M10" i="3"/>
  <c r="M4" i="3"/>
  <c r="F7" i="3"/>
  <c r="R7" i="3" s="1"/>
  <c r="F26" i="3"/>
  <c r="R26" i="3" s="1"/>
  <c r="L35" i="3"/>
  <c r="Q62" i="1"/>
  <c r="D17" i="3"/>
  <c r="J32" i="3"/>
  <c r="F11" i="3"/>
  <c r="R11" i="3" s="1"/>
  <c r="G26" i="3"/>
  <c r="S26" i="3" s="1"/>
  <c r="G9" i="3"/>
  <c r="S9" i="3" s="1"/>
  <c r="G23" i="3"/>
  <c r="S23" i="3" s="1"/>
  <c r="Q74" i="1"/>
  <c r="D10" i="3"/>
  <c r="P10" i="3" s="1"/>
  <c r="C6" i="3"/>
  <c r="D23" i="3"/>
  <c r="D14" i="3"/>
  <c r="M36" i="3"/>
  <c r="L12" i="3"/>
  <c r="Q43" i="1"/>
  <c r="E11" i="3"/>
  <c r="C11" i="3"/>
  <c r="M23" i="3"/>
  <c r="D35" i="3"/>
  <c r="K29" i="3"/>
  <c r="I37" i="3"/>
  <c r="C16" i="2"/>
  <c r="Q19" i="1"/>
  <c r="Q44" i="1"/>
  <c r="D13" i="3"/>
  <c r="H7" i="3"/>
  <c r="N7" i="3" s="1"/>
  <c r="S10" i="1" s="1"/>
  <c r="K32" i="3"/>
  <c r="G34" i="3"/>
  <c r="S34" i="3" s="1"/>
  <c r="E29" i="3"/>
  <c r="Q29" i="3" s="1"/>
  <c r="Q4" i="1"/>
  <c r="C18" i="3"/>
  <c r="Q49" i="1"/>
  <c r="J31" i="3"/>
  <c r="M37" i="3"/>
  <c r="M19" i="3"/>
  <c r="L21" i="3"/>
  <c r="C39" i="2"/>
  <c r="D39" i="2" s="1"/>
  <c r="E39" i="2" s="1"/>
  <c r="F29" i="3"/>
  <c r="R29" i="3" s="1"/>
  <c r="Q41" i="1"/>
  <c r="C26" i="2"/>
  <c r="D37" i="3"/>
  <c r="H12" i="3"/>
  <c r="C22" i="2"/>
  <c r="D22" i="2" s="1"/>
  <c r="E22" i="2" s="1"/>
  <c r="L19" i="3"/>
  <c r="C35" i="2"/>
  <c r="F17" i="3"/>
  <c r="R17" i="3" s="1"/>
  <c r="M29" i="3"/>
  <c r="M14" i="3"/>
  <c r="K4" i="3"/>
  <c r="G28" i="3"/>
  <c r="S28" i="3" s="1"/>
  <c r="Q34" i="1"/>
  <c r="E8" i="3"/>
  <c r="G29" i="3"/>
  <c r="S29" i="3" s="1"/>
  <c r="Q35" i="1"/>
  <c r="Q12" i="1"/>
  <c r="K38" i="3"/>
  <c r="I34" i="3"/>
  <c r="Q47" i="1"/>
  <c r="E21" i="3"/>
  <c r="Q21" i="3" s="1"/>
  <c r="B20" i="3"/>
  <c r="Q67" i="1"/>
  <c r="B23" i="3"/>
  <c r="C28" i="2"/>
  <c r="M15" i="3"/>
  <c r="I21" i="3"/>
  <c r="E26" i="3"/>
  <c r="Q26" i="3" s="1"/>
  <c r="E31" i="3"/>
  <c r="Q31" i="3" s="1"/>
  <c r="J25" i="3"/>
  <c r="L29" i="3"/>
  <c r="Q51" i="1"/>
  <c r="Q66" i="1"/>
  <c r="Q11" i="1"/>
  <c r="M13" i="3"/>
  <c r="C26" i="3"/>
  <c r="O26" i="3" s="1"/>
  <c r="K19" i="3"/>
  <c r="H21" i="3"/>
  <c r="J5" i="3"/>
  <c r="C17" i="2"/>
  <c r="C24" i="3"/>
  <c r="O24" i="3" s="1"/>
  <c r="B22" i="3"/>
  <c r="Q8" i="1"/>
  <c r="H22" i="3"/>
  <c r="H11" i="3"/>
  <c r="J6" i="3"/>
  <c r="K20" i="3"/>
  <c r="I4" i="3"/>
  <c r="Q61" i="1"/>
  <c r="G18" i="3"/>
  <c r="S18" i="3" s="1"/>
  <c r="M22" i="3"/>
  <c r="H10" i="3"/>
  <c r="H16" i="3"/>
  <c r="B21" i="3"/>
  <c r="M20" i="3"/>
  <c r="I11" i="3"/>
  <c r="Q14" i="1"/>
  <c r="F21" i="3"/>
  <c r="R21" i="3" s="1"/>
  <c r="G13" i="3"/>
  <c r="S13" i="3" s="1"/>
  <c r="C20" i="3"/>
  <c r="L4" i="3"/>
  <c r="L11" i="3"/>
  <c r="I33" i="3"/>
  <c r="Q60" i="1"/>
  <c r="J34" i="3"/>
  <c r="D16" i="3"/>
  <c r="K22" i="3"/>
  <c r="K7" i="3"/>
  <c r="E5" i="3"/>
  <c r="Q5" i="3" s="1"/>
  <c r="C13" i="2"/>
  <c r="E18" i="3"/>
  <c r="K14" i="3"/>
  <c r="I20" i="3"/>
  <c r="Q24" i="1"/>
  <c r="K5" i="3"/>
  <c r="Q89" i="1"/>
  <c r="K9" i="3"/>
  <c r="I28" i="3"/>
  <c r="Q22" i="1"/>
  <c r="B18" i="3"/>
  <c r="C29" i="3"/>
  <c r="Q73" i="1"/>
  <c r="Q87" i="1"/>
  <c r="B9" i="3"/>
  <c r="I15" i="3"/>
  <c r="H24" i="3"/>
  <c r="Q17" i="1"/>
  <c r="G37" i="3"/>
  <c r="S37" i="3" s="1"/>
  <c r="F31" i="3"/>
  <c r="R31" i="3" s="1"/>
  <c r="Q84" i="1"/>
  <c r="I35" i="3"/>
  <c r="M27" i="3"/>
  <c r="E30" i="3"/>
  <c r="Q30" i="3" s="1"/>
  <c r="Q85" i="1"/>
  <c r="Q70" i="1"/>
  <c r="H9" i="3"/>
  <c r="B12" i="3"/>
  <c r="D20" i="3"/>
  <c r="F4" i="3"/>
  <c r="R4" i="3" s="1"/>
  <c r="E9" i="3"/>
  <c r="Q9" i="3" s="1"/>
  <c r="M8" i="3"/>
  <c r="Q58" i="1"/>
  <c r="C37" i="2"/>
  <c r="K26" i="3"/>
  <c r="C33" i="3"/>
  <c r="E22" i="3"/>
  <c r="Q22" i="3" s="1"/>
  <c r="G30" i="3"/>
  <c r="S30" i="3" s="1"/>
  <c r="Q40" i="1"/>
  <c r="L14" i="3"/>
  <c r="Q80" i="1"/>
  <c r="C4" i="3"/>
  <c r="O4" i="3" s="1"/>
  <c r="L10" i="3"/>
  <c r="I12" i="3"/>
  <c r="E25" i="3"/>
  <c r="K27" i="3"/>
  <c r="D18" i="3"/>
  <c r="L15" i="3"/>
  <c r="I7" i="3"/>
  <c r="G5" i="3"/>
  <c r="S5" i="3" s="1"/>
  <c r="Q9" i="1"/>
  <c r="J38" i="3"/>
  <c r="G33" i="3"/>
  <c r="S33" i="3" s="1"/>
  <c r="G6" i="3"/>
  <c r="S6" i="3" s="1"/>
  <c r="D4" i="3"/>
  <c r="F13" i="3"/>
  <c r="R13" i="3" s="1"/>
  <c r="F36" i="3"/>
  <c r="B38" i="3"/>
  <c r="N38" i="3" s="1"/>
  <c r="S79" i="1" s="1"/>
  <c r="F5" i="3"/>
  <c r="R5" i="3" s="1"/>
  <c r="I36" i="3"/>
  <c r="K11" i="3"/>
  <c r="I9" i="3"/>
  <c r="C13" i="3"/>
  <c r="D36" i="3"/>
  <c r="J23" i="3"/>
  <c r="H28" i="3"/>
  <c r="I38" i="3"/>
  <c r="J13" i="3"/>
  <c r="F18" i="3"/>
  <c r="R18" i="3" s="1"/>
  <c r="F30" i="3"/>
  <c r="R30" i="3" s="1"/>
  <c r="C31" i="2"/>
  <c r="B27" i="3"/>
  <c r="J4" i="3"/>
  <c r="G32" i="3"/>
  <c r="S32" i="3" s="1"/>
  <c r="L23" i="3"/>
  <c r="H6" i="3"/>
  <c r="H18" i="3"/>
  <c r="Q52" i="1"/>
  <c r="H37" i="3"/>
  <c r="D15" i="3"/>
  <c r="E6" i="3"/>
  <c r="Q6" i="3" s="1"/>
  <c r="H33" i="3"/>
  <c r="E34" i="3"/>
  <c r="D5" i="3"/>
  <c r="L37" i="3"/>
  <c r="L25" i="3"/>
  <c r="B17" i="3"/>
  <c r="M12" i="3"/>
  <c r="B8" i="3"/>
  <c r="N8" i="3" s="1"/>
  <c r="S12" i="1" s="1"/>
  <c r="C14" i="3"/>
  <c r="Q86" i="1"/>
  <c r="F15" i="3"/>
  <c r="R15" i="3" s="1"/>
  <c r="G12" i="3"/>
  <c r="S12" i="3" s="1"/>
  <c r="C21" i="2"/>
  <c r="M34" i="3"/>
  <c r="C27" i="2"/>
  <c r="C7" i="3"/>
  <c r="O7" i="3" s="1"/>
  <c r="H30" i="3"/>
  <c r="K31" i="3"/>
  <c r="F16" i="3"/>
  <c r="R16" i="3" s="1"/>
  <c r="L18" i="3"/>
  <c r="C19" i="2"/>
  <c r="D30" i="3"/>
  <c r="Q81" i="1"/>
  <c r="C21" i="3"/>
  <c r="O21" i="3" s="1"/>
  <c r="E33" i="3"/>
  <c r="Q33" i="3" s="1"/>
  <c r="Q64" i="1"/>
  <c r="G20" i="3"/>
  <c r="S20" i="3" s="1"/>
  <c r="J19" i="3"/>
  <c r="F33" i="3"/>
  <c r="R33" i="3" s="1"/>
  <c r="B19" i="3"/>
  <c r="Q30" i="1"/>
  <c r="M7" i="3"/>
  <c r="E10" i="3"/>
  <c r="E13" i="3"/>
  <c r="Q13" i="3" s="1"/>
  <c r="K21" i="3"/>
  <c r="M18" i="3"/>
  <c r="Q50" i="1"/>
  <c r="Q48" i="1"/>
  <c r="F12" i="3"/>
  <c r="R12" i="3" s="1"/>
  <c r="J16" i="3"/>
  <c r="C24" i="2"/>
  <c r="C12" i="3"/>
  <c r="M11" i="3"/>
  <c r="Q32" i="1"/>
  <c r="B10" i="3"/>
  <c r="L27" i="3"/>
  <c r="C38" i="3"/>
  <c r="Q36" i="1"/>
  <c r="E20" i="3"/>
  <c r="N20" i="3" l="1"/>
  <c r="S40" i="1" s="1"/>
  <c r="N6" i="3"/>
  <c r="S7" i="1" s="1"/>
  <c r="O6" i="3"/>
  <c r="N5" i="3"/>
  <c r="P7" i="3"/>
  <c r="S11" i="1" s="1"/>
  <c r="P25" i="3"/>
  <c r="S52" i="1" s="1"/>
  <c r="O20" i="3"/>
  <c r="S41" i="1" s="1"/>
  <c r="N31" i="3"/>
  <c r="N29" i="3"/>
  <c r="S59" i="1" s="1"/>
  <c r="D10" i="2"/>
  <c r="E10" i="2" s="1"/>
  <c r="R5" i="1" s="1"/>
  <c r="R3" i="1"/>
  <c r="R14" i="1"/>
  <c r="R15" i="1"/>
  <c r="R68" i="1"/>
  <c r="R67" i="1"/>
  <c r="R69" i="1"/>
  <c r="R70" i="1"/>
  <c r="R26" i="1"/>
  <c r="R25" i="1"/>
  <c r="R64" i="1"/>
  <c r="R63" i="1"/>
  <c r="R6" i="1"/>
  <c r="R35" i="1"/>
  <c r="R34" i="1"/>
  <c r="D35" i="2"/>
  <c r="E35" i="2" s="1"/>
  <c r="D37" i="2"/>
  <c r="E37" i="2" s="1"/>
  <c r="D12" i="2"/>
  <c r="E12" i="2" s="1"/>
  <c r="D23" i="2"/>
  <c r="E23" i="2" s="1"/>
  <c r="D25" i="2"/>
  <c r="E25" i="2" s="1"/>
  <c r="D40" i="2"/>
  <c r="E40" i="2" s="1"/>
  <c r="N28" i="3"/>
  <c r="D27" i="2"/>
  <c r="E27" i="2" s="1"/>
  <c r="D15" i="2"/>
  <c r="E15" i="2" s="1"/>
  <c r="N32" i="3"/>
  <c r="D26" i="2"/>
  <c r="E26" i="2" s="1"/>
  <c r="N33" i="3"/>
  <c r="N26" i="3"/>
  <c r="D41" i="2"/>
  <c r="E41" i="2" s="1"/>
  <c r="N17" i="3"/>
  <c r="D19" i="2"/>
  <c r="E19" i="2" s="1"/>
  <c r="N35" i="3"/>
  <c r="S71" i="1" s="1"/>
  <c r="D32" i="2"/>
  <c r="E32" i="2" s="1"/>
  <c r="D42" i="2"/>
  <c r="E42" i="2" s="1"/>
  <c r="N10" i="3"/>
  <c r="N18" i="3"/>
  <c r="N36" i="3"/>
  <c r="N34" i="3"/>
  <c r="N21" i="3"/>
  <c r="N19" i="3"/>
  <c r="D21" i="2"/>
  <c r="E21" i="2" s="1"/>
  <c r="D34" i="2"/>
  <c r="E34" i="2" s="1"/>
  <c r="D29" i="2"/>
  <c r="E29" i="2" s="1"/>
  <c r="D30" i="2"/>
  <c r="E30" i="2" s="1"/>
  <c r="N30" i="3"/>
  <c r="S61" i="1" s="1"/>
  <c r="N15" i="3"/>
  <c r="N23" i="3"/>
  <c r="D11" i="2"/>
  <c r="E11" i="2" s="1"/>
  <c r="D28" i="2"/>
  <c r="E28" i="2" s="1"/>
  <c r="D13" i="2"/>
  <c r="E13" i="2" s="1"/>
  <c r="D43" i="2"/>
  <c r="E43" i="2" s="1"/>
  <c r="P4" i="3"/>
  <c r="Q7" i="3"/>
  <c r="O29" i="3"/>
  <c r="P8" i="3"/>
  <c r="Q8" i="3" s="1"/>
  <c r="S13" i="1" s="1"/>
  <c r="N22" i="3"/>
  <c r="S45" i="1" s="1"/>
  <c r="P20" i="3"/>
  <c r="D17" i="2"/>
  <c r="E17" i="2" s="1"/>
  <c r="N37" i="3"/>
  <c r="Q25" i="3"/>
  <c r="D31" i="2"/>
  <c r="E31" i="2" s="1"/>
  <c r="N16" i="3"/>
  <c r="S32" i="1" s="1"/>
  <c r="N12" i="3"/>
  <c r="D16" i="2"/>
  <c r="E16" i="2" s="1"/>
  <c r="O38" i="3"/>
  <c r="N9" i="3"/>
  <c r="D20" i="2"/>
  <c r="E20" i="2" s="1"/>
  <c r="N14" i="3"/>
  <c r="N11" i="3"/>
  <c r="S19" i="1" s="1"/>
  <c r="D33" i="2"/>
  <c r="E33" i="2" s="1"/>
  <c r="D24" i="2"/>
  <c r="E24" i="2" s="1"/>
  <c r="O13" i="3"/>
  <c r="P13" i="3" s="1"/>
  <c r="N27" i="3"/>
  <c r="S55" i="1" s="1"/>
  <c r="N24" i="3"/>
  <c r="S49" i="1" s="1"/>
  <c r="O32" i="3" l="1"/>
  <c r="S65" i="1"/>
  <c r="T13" i="3"/>
  <c r="S26" i="1"/>
  <c r="O18" i="3"/>
  <c r="S36" i="1"/>
  <c r="P28" i="3"/>
  <c r="Q28" i="3" s="1"/>
  <c r="S57" i="1"/>
  <c r="P31" i="3"/>
  <c r="S63" i="1"/>
  <c r="P23" i="3"/>
  <c r="S47" i="1"/>
  <c r="O10" i="3"/>
  <c r="Q10" i="3" s="1"/>
  <c r="S16" i="1"/>
  <c r="S15" i="3"/>
  <c r="S30" i="1"/>
  <c r="P6" i="3"/>
  <c r="S9" i="1" s="1"/>
  <c r="S8" i="1"/>
  <c r="Q34" i="3"/>
  <c r="S69" i="1"/>
  <c r="R36" i="3"/>
  <c r="S74" i="1"/>
  <c r="P9" i="3"/>
  <c r="S15" i="1" s="1"/>
  <c r="S14" i="1"/>
  <c r="O5" i="3"/>
  <c r="S5" i="1" s="1"/>
  <c r="S4" i="1"/>
  <c r="T4" i="3"/>
  <c r="S3" i="1"/>
  <c r="P19" i="3"/>
  <c r="S39" i="1" s="1"/>
  <c r="S38" i="1"/>
  <c r="P26" i="3"/>
  <c r="S53" i="1"/>
  <c r="O37" i="3"/>
  <c r="Q37" i="3" s="1"/>
  <c r="S77" i="1"/>
  <c r="O14" i="3"/>
  <c r="S28" i="1" s="1"/>
  <c r="S27" i="1"/>
  <c r="P17" i="3"/>
  <c r="S34" i="1"/>
  <c r="T7" i="3"/>
  <c r="O12" i="3"/>
  <c r="S22" i="1"/>
  <c r="P21" i="3"/>
  <c r="S43" i="1"/>
  <c r="O33" i="3"/>
  <c r="P33" i="3" s="1"/>
  <c r="S67" i="1"/>
  <c r="P29" i="3"/>
  <c r="S60" i="1" s="1"/>
  <c r="P34" i="3"/>
  <c r="S70" i="1" s="1"/>
  <c r="O36" i="3"/>
  <c r="P5" i="3"/>
  <c r="Q20" i="3"/>
  <c r="T25" i="3"/>
  <c r="R4" i="1"/>
  <c r="T17" i="3"/>
  <c r="Q38" i="3"/>
  <c r="O35" i="3"/>
  <c r="P15" i="3"/>
  <c r="T8" i="3"/>
  <c r="S17" i="3"/>
  <c r="S35" i="1" s="1"/>
  <c r="R10" i="3"/>
  <c r="R78" i="1"/>
  <c r="R77" i="1"/>
  <c r="R31" i="1"/>
  <c r="R30" i="1"/>
  <c r="R52" i="1"/>
  <c r="R51" i="1"/>
  <c r="R56" i="1"/>
  <c r="R55" i="1"/>
  <c r="R72" i="1"/>
  <c r="R71" i="1"/>
  <c r="R73" i="1"/>
  <c r="R49" i="1"/>
  <c r="R50" i="1"/>
  <c r="R40" i="1"/>
  <c r="R41" i="1"/>
  <c r="R42" i="1"/>
  <c r="R59" i="1"/>
  <c r="R60" i="1"/>
  <c r="R28" i="1"/>
  <c r="R29" i="1"/>
  <c r="R27" i="1"/>
  <c r="R36" i="1"/>
  <c r="R37" i="1"/>
  <c r="R21" i="1"/>
  <c r="R20" i="1"/>
  <c r="R19" i="1"/>
  <c r="R74" i="1"/>
  <c r="R76" i="1"/>
  <c r="R75" i="1"/>
  <c r="R62" i="1"/>
  <c r="R61" i="1"/>
  <c r="R39" i="1"/>
  <c r="R38" i="1"/>
  <c r="R65" i="1"/>
  <c r="R66" i="1"/>
  <c r="R80" i="1"/>
  <c r="R79" i="1"/>
  <c r="R12" i="1"/>
  <c r="R13" i="1"/>
  <c r="R44" i="1"/>
  <c r="R43" i="1"/>
  <c r="R9" i="1"/>
  <c r="R8" i="1"/>
  <c r="R7" i="1"/>
  <c r="R57" i="1"/>
  <c r="R58" i="1"/>
  <c r="R33" i="1"/>
  <c r="R32" i="1"/>
  <c r="R54" i="1"/>
  <c r="R53" i="1"/>
  <c r="R48" i="1"/>
  <c r="R47" i="1"/>
  <c r="R16" i="1"/>
  <c r="R18" i="1"/>
  <c r="R17" i="1"/>
  <c r="R23" i="1"/>
  <c r="R24" i="1"/>
  <c r="R22" i="1"/>
  <c r="R46" i="1"/>
  <c r="R45" i="1"/>
  <c r="R11" i="1"/>
  <c r="R10" i="1"/>
  <c r="P18" i="3"/>
  <c r="S37" i="1" s="1"/>
  <c r="T19" i="3"/>
  <c r="P30" i="3"/>
  <c r="P24" i="3"/>
  <c r="P14" i="3"/>
  <c r="T6" i="3"/>
  <c r="P16" i="3"/>
  <c r="P22" i="3"/>
  <c r="O11" i="3"/>
  <c r="S20" i="1" s="1"/>
  <c r="P27" i="3"/>
  <c r="R9" i="3"/>
  <c r="P12" i="3"/>
  <c r="T12" i="3" s="1"/>
  <c r="T28" i="3" l="1"/>
  <c r="S58" i="1"/>
  <c r="T24" i="3"/>
  <c r="S50" i="1"/>
  <c r="P35" i="3"/>
  <c r="S72" i="1"/>
  <c r="T29" i="3"/>
  <c r="T21" i="3"/>
  <c r="S44" i="1"/>
  <c r="P36" i="3"/>
  <c r="S75" i="1"/>
  <c r="T33" i="3"/>
  <c r="S68" i="1"/>
  <c r="T34" i="3"/>
  <c r="S24" i="1"/>
  <c r="S23" i="1"/>
  <c r="T14" i="3"/>
  <c r="S29" i="1"/>
  <c r="T27" i="3"/>
  <c r="S56" i="1"/>
  <c r="P37" i="3"/>
  <c r="T26" i="3"/>
  <c r="S54" i="1"/>
  <c r="T22" i="3"/>
  <c r="S46" i="1"/>
  <c r="T10" i="3"/>
  <c r="S18" i="1"/>
  <c r="S17" i="1"/>
  <c r="T20" i="3"/>
  <c r="S42" i="1"/>
  <c r="T15" i="3"/>
  <c r="S31" i="1"/>
  <c r="T23" i="3"/>
  <c r="S48" i="1"/>
  <c r="T30" i="3"/>
  <c r="S62" i="1"/>
  <c r="T38" i="3"/>
  <c r="S80" i="1"/>
  <c r="T31" i="3"/>
  <c r="S64" i="1"/>
  <c r="T9" i="3"/>
  <c r="T16" i="3"/>
  <c r="S33" i="1"/>
  <c r="T5" i="3"/>
  <c r="S6" i="1"/>
  <c r="P32" i="3"/>
  <c r="T32" i="3" s="1"/>
  <c r="S66" i="1"/>
  <c r="Q11" i="3"/>
  <c r="Q18" i="3"/>
  <c r="T18" i="3" s="1"/>
  <c r="T37" i="3" l="1"/>
  <c r="S78" i="1"/>
  <c r="T11" i="3"/>
  <c r="S21" i="1"/>
  <c r="T35" i="3"/>
  <c r="S73" i="1"/>
  <c r="T36" i="3"/>
  <c r="S76" i="1"/>
</calcChain>
</file>

<file path=xl/sharedStrings.xml><?xml version="1.0" encoding="utf-8"?>
<sst xmlns="http://schemas.openxmlformats.org/spreadsheetml/2006/main" count="878" uniqueCount="205">
  <si>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</si>
  <si>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</si>
  <si>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</si>
  <si>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</si>
  <si>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</si>
  <si>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</si>
  <si>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</si>
  <si>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</si>
  <si>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</si>
  <si>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</si>
  <si>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</si>
  <si>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</si>
  <si>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 xml:space="preserve">ACME ONE CORP. </t>
  </si>
  <si>
    <t>ACME PRIVATE.</t>
  </si>
  <si>
    <t>ACME TRADE.</t>
  </si>
  <si>
    <t>ACME TRUST.</t>
  </si>
  <si>
    <t>ACME TWO SCRL</t>
  </si>
  <si>
    <t xml:space="preserve">ALT INC </t>
  </si>
  <si>
    <t xml:space="preserve">ALT-2 INC </t>
  </si>
  <si>
    <t>Beta Corp</t>
  </si>
  <si>
    <t xml:space="preserve">CARGO INC </t>
  </si>
  <si>
    <t>BETA NV.</t>
  </si>
  <si>
    <t>Beta NV.</t>
  </si>
  <si>
    <t>BRITA SUPPORT</t>
  </si>
  <si>
    <t xml:space="preserve">CANONIC </t>
  </si>
  <si>
    <t>CRETA SUPPORT</t>
  </si>
  <si>
    <t>CROCTUS NY</t>
  </si>
  <si>
    <t>CROSSSUPPORT SA</t>
  </si>
  <si>
    <t xml:space="preserve">DELTA INC </t>
  </si>
  <si>
    <t>HAMILTON LTD.</t>
  </si>
  <si>
    <t>ICRETA NV.</t>
  </si>
  <si>
    <t>IntellectEU NV.</t>
  </si>
  <si>
    <t>ISUPPLIER1 US.</t>
  </si>
  <si>
    <t>ISUPPLIER2 PL.</t>
  </si>
  <si>
    <t xml:space="preserve">QUATRO INC </t>
  </si>
  <si>
    <t xml:space="preserve">SIGMA INC </t>
  </si>
  <si>
    <t>SOCIETE GEN SA</t>
  </si>
  <si>
    <t xml:space="preserve">TRADE INC </t>
  </si>
  <si>
    <t>ZERO LTD.</t>
  </si>
  <si>
    <t>REF211</t>
  </si>
  <si>
    <t>REFTEST01</t>
  </si>
  <si>
    <t>REF21</t>
  </si>
  <si>
    <t>REF111</t>
  </si>
  <si>
    <t>REFD202102</t>
  </si>
  <si>
    <t>REFD202103</t>
  </si>
  <si>
    <t>REF001</t>
  </si>
  <si>
    <t>REF001DEMO</t>
  </si>
  <si>
    <t>REFD543105</t>
  </si>
  <si>
    <t>REFDEMO01</t>
  </si>
  <si>
    <t>REFDEM012</t>
  </si>
  <si>
    <t>REFDEM9992</t>
  </si>
  <si>
    <t>REFDEM0091</t>
  </si>
  <si>
    <t>REFDEM5591</t>
  </si>
  <si>
    <t>REFD10092</t>
  </si>
  <si>
    <t>REF201</t>
  </si>
  <si>
    <t>REFDEMO02</t>
  </si>
  <si>
    <t>REFDEMO901</t>
  </si>
  <si>
    <t>REFD543104</t>
  </si>
  <si>
    <t>REFD543103</t>
  </si>
  <si>
    <t>REFDEM1591</t>
  </si>
  <si>
    <t>REFD10192</t>
  </si>
  <si>
    <t>REFZ999</t>
  </si>
  <si>
    <t>USD</t>
  </si>
  <si>
    <t>EUR</t>
  </si>
  <si>
    <t>CHASUS3AXXX</t>
  </si>
  <si>
    <t>BINAADADXXX</t>
  </si>
  <si>
    <t>BSJUARBJXXX</t>
  </si>
  <si>
    <t>AGRIFRPPXXX</t>
  </si>
  <si>
    <t>REDJBY22XXX</t>
  </si>
  <si>
    <t>FNROCNBQXXX</t>
  </si>
  <si>
    <t>FINVALTRXXX</t>
  </si>
  <si>
    <t>TSIBAU44XXX</t>
  </si>
  <si>
    <t>08:15:00</t>
  </si>
  <si>
    <t>15:45:00</t>
  </si>
  <si>
    <t>00:00:00</t>
  </si>
  <si>
    <t>12:45:00</t>
  </si>
  <si>
    <t>14:15:00</t>
  </si>
  <si>
    <t>08:34:00</t>
  </si>
  <si>
    <t>12:40:00</t>
  </si>
  <si>
    <t>17:34:00</t>
  </si>
  <si>
    <t>09:16:00</t>
  </si>
  <si>
    <t>12:32:00</t>
  </si>
  <si>
    <t>10:11:00</t>
  </si>
  <si>
    <t>13:14:00</t>
  </si>
  <si>
    <t>12:34:00</t>
  </si>
  <si>
    <t>10:23:00</t>
  </si>
  <si>
    <t>11:43:00</t>
  </si>
  <si>
    <t>17:02:00</t>
  </si>
  <si>
    <t>12:43:00</t>
  </si>
  <si>
    <t>15:41:00</t>
  </si>
  <si>
    <t>18:10:00</t>
  </si>
  <si>
    <t>14:32:00</t>
  </si>
  <si>
    <t>18:21:00</t>
  </si>
  <si>
    <t>15:43:00</t>
  </si>
  <si>
    <t>17:21:00</t>
  </si>
  <si>
    <t>12:12:00</t>
  </si>
  <si>
    <t>13:43:00</t>
  </si>
  <si>
    <t>11:12:00</t>
  </si>
  <si>
    <t>14:44:00</t>
  </si>
  <si>
    <t>11:32:00</t>
  </si>
  <si>
    <t>12:19:00</t>
  </si>
  <si>
    <t>17:20:00</t>
  </si>
  <si>
    <t>13:23:00</t>
  </si>
  <si>
    <t>19:10:00</t>
  </si>
  <si>
    <t>11:23:00</t>
  </si>
  <si>
    <t>14:12:00</t>
  </si>
  <si>
    <t>17:10:00</t>
  </si>
  <si>
    <t>09:12:00</t>
  </si>
  <si>
    <t>11:19:00</t>
  </si>
  <si>
    <t>21:10:00</t>
  </si>
  <si>
    <t>09:45:00</t>
  </si>
  <si>
    <t>18:20:00</t>
  </si>
  <si>
    <t>14:23:00</t>
  </si>
  <si>
    <t>19:12:00</t>
  </si>
  <si>
    <t>12:39:00</t>
  </si>
  <si>
    <t>09:54:00</t>
  </si>
  <si>
    <t>17:32:00</t>
  </si>
  <si>
    <t>15:34:00</t>
  </si>
  <si>
    <t>08:12:00</t>
  </si>
  <si>
    <t>12:48:00</t>
  </si>
  <si>
    <t>10:12:00</t>
  </si>
  <si>
    <t>13:29:00</t>
  </si>
  <si>
    <t>17:12:00</t>
  </si>
  <si>
    <t>NEW</t>
  </si>
  <si>
    <t>COMPLETED</t>
  </si>
  <si>
    <t>PENDING</t>
  </si>
  <si>
    <t>DELIVERED</t>
  </si>
  <si>
    <t>PROCESSING</t>
  </si>
  <si>
    <t>CANCELLED</t>
  </si>
  <si>
    <t>Country</t>
  </si>
  <si>
    <t>BankName</t>
  </si>
  <si>
    <t>Index</t>
  </si>
  <si>
    <t>TransactionID</t>
  </si>
  <si>
    <t>DateTime</t>
  </si>
  <si>
    <t>REFTEST0145373</t>
  </si>
  <si>
    <t>REF21110000006</t>
  </si>
  <si>
    <t>REF212390011</t>
  </si>
  <si>
    <t>REF111564313</t>
  </si>
  <si>
    <t>REFD202102456915</t>
  </si>
  <si>
    <t>REFD20210345618</t>
  </si>
  <si>
    <t>REF001332621</t>
  </si>
  <si>
    <t>REF001DEMO110024</t>
  </si>
  <si>
    <t>REFD543105110026</t>
  </si>
  <si>
    <t>REFDEMO0190029</t>
  </si>
  <si>
    <t>REFDEM01223833</t>
  </si>
  <si>
    <t>REFDEM9992670935</t>
  </si>
  <si>
    <t>REFDEM0091518837</t>
  </si>
  <si>
    <t>REFDEM559112039</t>
  </si>
  <si>
    <t>REFD100926756944</t>
  </si>
  <si>
    <t>REF201210046</t>
  </si>
  <si>
    <t>REFDEMO0180048</t>
  </si>
  <si>
    <t>REFDEMO02102550</t>
  </si>
  <si>
    <t>REFDEMO018760052</t>
  </si>
  <si>
    <t>REFDEMO901160054</t>
  </si>
  <si>
    <t>REFD543104310056</t>
  </si>
  <si>
    <t>REFD54310345658</t>
  </si>
  <si>
    <t>REFDEM159134860</t>
  </si>
  <si>
    <t>REFD101926756962</t>
  </si>
  <si>
    <t>REFD543105110064</t>
  </si>
  <si>
    <t>REFZ9991210066</t>
  </si>
  <si>
    <t>REF2111000068</t>
  </si>
  <si>
    <t>REFTEST01234570</t>
  </si>
  <si>
    <t>REF211789073</t>
  </si>
  <si>
    <t>REF211200078</t>
  </si>
  <si>
    <t>REF1113000080</t>
  </si>
  <si>
    <t>REFD2021021240082</t>
  </si>
  <si>
    <t>REFD2021031743085</t>
  </si>
  <si>
    <t>REF0011200088</t>
  </si>
  <si>
    <t>Max</t>
  </si>
  <si>
    <t>MIN</t>
  </si>
  <si>
    <t>Issue</t>
  </si>
  <si>
    <t>REF211110009</t>
  </si>
  <si>
    <t>REFDEMO01102531</t>
  </si>
  <si>
    <t>REFDEM5591672042</t>
  </si>
  <si>
    <t>REF2111200076</t>
  </si>
  <si>
    <t>REF111300081</t>
  </si>
  <si>
    <t>Normal</t>
  </si>
  <si>
    <t>Delay</t>
  </si>
  <si>
    <t>Type</t>
  </si>
  <si>
    <t>Charges total</t>
  </si>
  <si>
    <t>US</t>
  </si>
  <si>
    <t>AD</t>
  </si>
  <si>
    <t>AR</t>
  </si>
  <si>
    <t>FR</t>
  </si>
  <si>
    <t>BY</t>
  </si>
  <si>
    <t>CN</t>
  </si>
  <si>
    <t>AL</t>
  </si>
  <si>
    <t>AU</t>
  </si>
  <si>
    <t>USA</t>
  </si>
  <si>
    <t>ANDORA</t>
  </si>
  <si>
    <t>France</t>
  </si>
  <si>
    <t>ALBANIE</t>
  </si>
  <si>
    <t>AUSTRALIE</t>
  </si>
  <si>
    <t>ARGENTINE</t>
  </si>
  <si>
    <t>BELORUS</t>
  </si>
  <si>
    <t>CHINA</t>
  </si>
  <si>
    <t>Nombre</t>
  </si>
  <si>
    <t>Month</t>
  </si>
  <si>
    <t>Chronologie</t>
  </si>
  <si>
    <t>Valeurs</t>
  </si>
  <si>
    <t>Prévision</t>
  </si>
  <si>
    <t>Limite de confiance inférieure</t>
  </si>
  <si>
    <t>Limite de confiance supérieure</t>
  </si>
  <si>
    <t>Last_Status</t>
  </si>
  <si>
    <t>LastStatus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</si>
</sst>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1D1C1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4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4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985056215799111E-2"/>
          <c:y val="1.5851427662451286E-2"/>
          <c:w val="0.9479307477869614"/>
          <c:h val="0.83528604378998084"/>
        </c:manualLayout>
      </c:layout>
      <c:lineChart>
        <c:grouping val="standard"/>
        <c:varyColors val="0"/>
        <c:ser>
          <c:idx val="0"/>
          <c:order val="0"/>
          <c:tx>
            <c:strRef>
              <c:f>Feuil6!$B$1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Feuil6!$B$2:$B$16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0-45C2-B298-AB0E0AD1B674}"/>
            </c:ext>
          </c:extLst>
        </c:ser>
        <c:ser>
          <c:idx val="1"/>
          <c:order val="1"/>
          <c:tx>
            <c:strRef>
              <c:f>Feuil6!$C$1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1.8395623696816583</c:v>
                </c:pt>
                <c:pt idx="13" formatCode="#,##0.00">
                  <c:v>0.70834050745482691</c:v>
                </c:pt>
                <c:pt idx="14" formatCode="#,##0.00">
                  <c:v>-0.42288135477198546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0-45C2-B298-AB0E0AD1B674}"/>
            </c:ext>
          </c:extLst>
        </c:ser>
        <c:ser>
          <c:idx val="2"/>
          <c:order val="2"/>
          <c:tx>
            <c:strRef>
              <c:f>Feuil6!$D$1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-14.369873597055449</c:v>
                </c:pt>
                <c:pt idx="13" formatCode="0.00">
                  <c:v>-16.003902412339901</c:v>
                </c:pt>
                <c:pt idx="14" formatCode="0.00">
                  <c:v>-17.62708065626029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0-45C2-B298-AB0E0AD1B674}"/>
            </c:ext>
          </c:extLst>
        </c:ser>
        <c:ser>
          <c:idx val="3"/>
          <c:order val="3"/>
          <c:tx>
            <c:strRef>
              <c:f>Feuil6!$E$1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18.048998336418766</c:v>
                </c:pt>
                <c:pt idx="13" formatCode="0.00">
                  <c:v>17.420583427249557</c:v>
                </c:pt>
                <c:pt idx="14" formatCode="0.00">
                  <c:v>16.781317946716321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0-45C2-B298-AB0E0AD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41983"/>
        <c:axId val="690444063"/>
      </c:lineChart>
      <c:catAx>
        <c:axId val="690441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4063"/>
        <c:crosses val="autoZero"/>
        <c:auto val="1"/>
        <c:lblAlgn val="ctr"/>
        <c:lblOffset val="100"/>
        <c:noMultiLvlLbl val="0"/>
      </c:catAx>
      <c:valAx>
        <c:axId val="690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Feuil7!$B$1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Feuil7!$B$2:$B$16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BE9-A202-0B4CE8963098}"/>
            </c:ext>
          </c:extLst>
        </c:ser>
        <c:ser>
          <c:idx val="1"/>
          <c:order val="1"/>
          <c:tx>
            <c:strRef>
              <c:f>Feuil7!$C$1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2.4570648510623787</c:v>
                </c:pt>
                <c:pt idx="13" formatCode="#,##0.00">
                  <c:v>1.3014765978674556</c:v>
                </c:pt>
                <c:pt idx="14" formatCode="#,##0.00">
                  <c:v>0.14588834467255021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B-4BE9-A202-0B4CE8963098}"/>
            </c:ext>
          </c:extLst>
        </c:ser>
        <c:ser>
          <c:idx val="2"/>
          <c:order val="2"/>
          <c:tx>
            <c:strRef>
              <c:f>Feuil7!$D$1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-11.544513219241729</c:v>
                </c:pt>
                <c:pt idx="13" formatCode="0.00">
                  <c:v>-13.134422001662642</c:v>
                </c:pt>
                <c:pt idx="14" formatCode="0.00">
                  <c:v>-14.71495814938034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B-4BE9-A202-0B4CE8963098}"/>
            </c:ext>
          </c:extLst>
        </c:ser>
        <c:ser>
          <c:idx val="3"/>
          <c:order val="3"/>
          <c:tx>
            <c:strRef>
              <c:f>Feuil7!$E$1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16.458642921366486</c:v>
                </c:pt>
                <c:pt idx="13" formatCode="0.00">
                  <c:v>15.737375197397554</c:v>
                </c:pt>
                <c:pt idx="14" formatCode="0.00">
                  <c:v>15.006734838725439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BE9-A202-0B4CE896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37151"/>
        <c:axId val="1843537567"/>
      </c:lineChart>
      <c:catAx>
        <c:axId val="18435371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567"/>
        <c:crosses val="autoZero"/>
        <c:auto val="1"/>
        <c:lblAlgn val="ctr"/>
        <c:lblOffset val="100"/>
        <c:noMultiLvlLbl val="0"/>
      </c:catAx>
      <c:valAx>
        <c:axId val="1843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1</xdr:row>
      <xdr:rowOff>41275</xdr:rowOff>
    </xdr:from>
    <xdr:to>
      <xdr:col>12</xdr:col>
      <xdr:colOff>206375</xdr:colOff>
      <xdr:row>25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3E5764-E8C0-426A-BE60-C06F9F1A9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1920875</xdr:colOff>
      <xdr:row>6</xdr:row>
      <xdr:rowOff>155575</xdr:rowOff>
    </xdr:from>
    <xdr:to>
      <xdr:col>14</xdr:col>
      <xdr:colOff>358775</xdr:colOff>
      <xdr:row>30</xdr:row>
      <xdr:rowOff>136525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FE8764-2963-492E-9155-BF5437CA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1690A-D42E-486E-80DE-5E17201841F3}" name="Tableau1" displayName="Tableau1" ref="A1:E16" totalsRowShown="0">
  <autoFilter ref="A1:E16" xr:uid="{A411690A-D42E-486E-80DE-5E17201841F3}"/>
  <tableColumns count="5">
    <tableColumn id="1" xr3:uid="{56E5A617-38F9-434F-B4F6-A9F5FF7BA045}" name="Chronologie"/>
    <tableColumn id="2" xr3:uid="{32884F1E-86B6-4341-A472-086B862A05F3}" name="Valeurs"/>
    <tableColumn id="3" xr3:uid="{DCCA77B2-AFE3-4FFB-88E6-2708ABB89D82}" name="Prévision"/>
    <tableColumn id="4" xr3:uid="{A5CA521B-6C2B-4900-ADA1-47E45E25419C}" name="Limite de confiance inférieure" dataDxfId="3"/>
    <tableColumn id="5" xr3:uid="{52F9C379-890D-43D3-A00D-92A8DE0ECDEB}" name="Limite de confiance supérieur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AC75D9-6F56-4407-BBEC-940400D4EB40}" name="Tableau2" displayName="Tableau2" ref="A1:E16" totalsRowShown="0">
  <autoFilter ref="A1:E16" xr:uid="{C6AC75D9-6F56-4407-BBEC-940400D4EB40}"/>
  <tableColumns count="5">
    <tableColumn id="1" xr3:uid="{CE7378B2-5D58-471D-8250-B1C96F8EF9A6}" name="Chronologie"/>
    <tableColumn id="2" xr3:uid="{AC832109-0C74-4AFB-B999-754415F91734}" name="Valeurs"/>
    <tableColumn id="3" xr3:uid="{CEF40E6A-DE17-40EF-B470-043418AB1FA9}" name="Prévision"/>
    <tableColumn id="4" xr3:uid="{E2FC514F-870C-49C5-A078-5993FCE36904}" name="Limite de confiance inférieure" dataDxfId="1"/>
    <tableColumn id="5" xr3:uid="{F6E115A2-3F7E-4680-B4D1-1FF0FA92130D}" name="Limite de confiance supérie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G1" workbookViewId="0">
      <selection activeCell="U2" sqref="U2"/>
    </sheetView>
  </sheetViews>
  <sheetFormatPr baseColWidth="10" defaultColWidth="8.7265625" defaultRowHeight="14.5" x14ac:dyDescent="0.35"/>
  <cols>
    <col min="3" max="3" width="13.81640625" customWidth="1"/>
    <col min="4" max="4" width="11.26953125" bestFit="1" customWidth="1"/>
    <col min="6" max="6" width="13.26953125" bestFit="1" customWidth="1"/>
    <col min="8" max="8" width="21.90625" customWidth="1"/>
    <col min="10" max="10" width="12.1796875" customWidth="1"/>
    <col min="11" max="11" width="10" customWidth="1"/>
    <col min="14" max="14" width="18.26953125" bestFit="1" customWidth="1"/>
    <col min="15" max="15" width="24" customWidth="1"/>
    <col min="18" max="18" width="12.90625" bestFit="1" customWidth="1"/>
    <col min="19" max="19" width="8.7265625" style="4"/>
  </cols>
  <sheetData>
    <row r="1" spans="1:21" s="11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130</v>
      </c>
      <c r="L1" s="10" t="s">
        <v>129</v>
      </c>
      <c r="M1" s="10" t="s">
        <v>131</v>
      </c>
      <c r="N1" s="10" t="s">
        <v>132</v>
      </c>
      <c r="O1" s="10" t="s">
        <v>133</v>
      </c>
      <c r="R1" s="12" t="s">
        <v>178</v>
      </c>
      <c r="S1" s="13" t="s">
        <v>6</v>
      </c>
      <c r="T1" s="11" t="s">
        <v>197</v>
      </c>
      <c r="U1" s="11" t="s">
        <v>204</v>
      </c>
    </row>
    <row r="2" spans="1:21" x14ac:dyDescent="0.35">
      <c r="A2" t="s">
        <v>10</v>
      </c>
      <c r="B2" t="s">
        <v>11</v>
      </c>
      <c r="C2" t="s">
        <v>39</v>
      </c>
      <c r="D2">
        <v>10000</v>
      </c>
      <c r="E2" t="s">
        <v>62</v>
      </c>
      <c r="F2" t="s">
        <v>64</v>
      </c>
      <c r="G2">
        <v>0.02</v>
      </c>
      <c r="H2" s="2">
        <v>44271</v>
      </c>
      <c r="I2" t="s">
        <v>72</v>
      </c>
      <c r="J2" t="s">
        <v>123</v>
      </c>
      <c r="K2" t="str">
        <f>MID(F2&amp;" ",1,4)</f>
        <v>CHAS</v>
      </c>
      <c r="L2" t="str">
        <f>MID(F2&amp;" ",5,2)</f>
        <v>US</v>
      </c>
      <c r="M2">
        <v>1</v>
      </c>
      <c r="N2" t="str">
        <f>C2</f>
        <v>REF211</v>
      </c>
      <c r="O2" s="3">
        <f>H2+I2</f>
        <v>44271.34375</v>
      </c>
      <c r="P2">
        <f>COUNTIF($C$2:$C$91,$C2)</f>
        <v>14</v>
      </c>
      <c r="Q2">
        <f>COUNTIF($N$2:$N$91,$N2)</f>
        <v>2</v>
      </c>
      <c r="R2" t="str">
        <f>VLOOKUP($N2,AvgTime!$A:$E,5,FALSE)</f>
        <v>Delay</v>
      </c>
      <c r="S2" s="7">
        <f>INDEX(Charges!$A$3:$S$48,MATCH('Sheet OS'!$N2,Charges!$A$3:$A$48,0),MATCH('Sheet OS'!$J2,Charges!$A$3:$S$3,0))</f>
        <v>200</v>
      </c>
      <c r="T2">
        <f>MONTH(O2)</f>
        <v>3</v>
      </c>
      <c r="U2" t="str">
        <f>VLOOKUP(N2,'Last Status'!A:C,3,FALSE)</f>
        <v>COMPLETED</v>
      </c>
    </row>
    <row r="3" spans="1:21" x14ac:dyDescent="0.35">
      <c r="A3" t="s">
        <v>10</v>
      </c>
      <c r="B3" t="s">
        <v>11</v>
      </c>
      <c r="C3" t="s">
        <v>39</v>
      </c>
      <c r="D3">
        <v>10000</v>
      </c>
      <c r="E3" t="s">
        <v>62</v>
      </c>
      <c r="F3" t="s">
        <v>65</v>
      </c>
      <c r="G3">
        <v>1.4999999999999999E-2</v>
      </c>
      <c r="H3" s="1">
        <v>44272</v>
      </c>
      <c r="I3" t="s">
        <v>73</v>
      </c>
      <c r="J3" t="s">
        <v>124</v>
      </c>
      <c r="K3" t="str">
        <f t="shared" ref="K3:K66" si="0">MID(F3&amp;" ",1,4)</f>
        <v>BINA</v>
      </c>
      <c r="L3" t="str">
        <f t="shared" ref="L3:L66" si="1">MID(F3&amp;" ",5,2)</f>
        <v>AD</v>
      </c>
      <c r="M3">
        <v>2</v>
      </c>
      <c r="N3" t="str">
        <f>IF(AND(C3=C2,D3=D2),N2,C3&amp;D3&amp;M3)</f>
        <v>REF211</v>
      </c>
      <c r="O3" s="3">
        <f>H3+I3</f>
        <v>44272.65625</v>
      </c>
      <c r="P3">
        <f t="shared" ref="P3:Q66" si="2">COUNTIF($C$2:$C$91,$C3)</f>
        <v>14</v>
      </c>
      <c r="Q3">
        <f>COUNTIF($N$2:$N$91,$N3)</f>
        <v>2</v>
      </c>
      <c r="R3" t="str">
        <f>VLOOKUP(N3,AvgTime!$A:$E,5,FALSE)</f>
        <v>Delay</v>
      </c>
      <c r="S3" s="7">
        <f>INDEX(Charges!$A$3:$S$48,MATCH('Sheet OS'!$N3,Charges!$A$3:$A$48,0),MATCH('Sheet OS'!$J3,Charges!$A$3:$S$3,0))</f>
        <v>147</v>
      </c>
      <c r="T3">
        <f t="shared" ref="T3:T66" si="3">MONTH(O3)</f>
        <v>3</v>
      </c>
      <c r="U3" t="str">
        <f>VLOOKUP(N3,'Last Status'!A:C,3,FALSE)</f>
        <v>COMPLETED</v>
      </c>
    </row>
    <row r="4" spans="1:21" x14ac:dyDescent="0.35">
      <c r="A4" t="s">
        <v>10</v>
      </c>
      <c r="B4" t="s">
        <v>12</v>
      </c>
      <c r="C4" t="s">
        <v>40</v>
      </c>
      <c r="D4">
        <v>4537</v>
      </c>
      <c r="E4" t="s">
        <v>62</v>
      </c>
      <c r="F4" t="s">
        <v>64</v>
      </c>
      <c r="G4">
        <v>0.02</v>
      </c>
      <c r="H4" s="1">
        <v>44271</v>
      </c>
      <c r="I4" t="s">
        <v>74</v>
      </c>
      <c r="J4" t="s">
        <v>123</v>
      </c>
      <c r="K4" t="str">
        <f t="shared" si="0"/>
        <v>CHAS</v>
      </c>
      <c r="L4" t="str">
        <f t="shared" si="1"/>
        <v>US</v>
      </c>
      <c r="M4">
        <v>3</v>
      </c>
      <c r="N4" t="str">
        <f t="shared" ref="N4:N67" si="4">IF(AND(C4=C3,D4=D3),N3,C4&amp;D4&amp;M4)</f>
        <v>REFTEST0145373</v>
      </c>
      <c r="O4" s="3">
        <f t="shared" ref="O4:O67" si="5">H4+I4</f>
        <v>44271</v>
      </c>
      <c r="P4">
        <f t="shared" si="2"/>
        <v>6</v>
      </c>
      <c r="Q4">
        <f>COUNTIF($N$2:$N$91,$N4)</f>
        <v>3</v>
      </c>
      <c r="R4" t="str">
        <f>VLOOKUP(N4,AvgTime!$A:$E,5,FALSE)</f>
        <v>Delay</v>
      </c>
      <c r="S4" s="7">
        <f>INDEX(Charges!$A$3:$S$48,MATCH('Sheet OS'!$N4,Charges!$A$3:$A$48,0),MATCH('Sheet OS'!$J4,Charges!$A$3:$S$3,0))</f>
        <v>90.74</v>
      </c>
      <c r="T4">
        <f t="shared" si="3"/>
        <v>3</v>
      </c>
      <c r="U4" t="str">
        <f>VLOOKUP(N4,'Last Status'!A:C,3,FALSE)</f>
        <v>COMPLETED</v>
      </c>
    </row>
    <row r="5" spans="1:21" x14ac:dyDescent="0.35">
      <c r="A5" t="s">
        <v>10</v>
      </c>
      <c r="B5" t="s">
        <v>12</v>
      </c>
      <c r="C5" t="s">
        <v>40</v>
      </c>
      <c r="D5">
        <v>4537</v>
      </c>
      <c r="E5" t="s">
        <v>62</v>
      </c>
      <c r="F5" t="s">
        <v>65</v>
      </c>
      <c r="G5">
        <v>0.01</v>
      </c>
      <c r="H5" s="1">
        <v>44271</v>
      </c>
      <c r="I5" t="s">
        <v>75</v>
      </c>
      <c r="J5" t="s">
        <v>125</v>
      </c>
      <c r="K5" t="str">
        <f t="shared" si="0"/>
        <v>BINA</v>
      </c>
      <c r="L5" t="str">
        <f t="shared" si="1"/>
        <v>AD</v>
      </c>
      <c r="M5">
        <v>4</v>
      </c>
      <c r="N5" t="str">
        <f t="shared" si="4"/>
        <v>REFTEST0145373</v>
      </c>
      <c r="O5" s="3">
        <f t="shared" si="5"/>
        <v>44271.53125</v>
      </c>
      <c r="P5">
        <f t="shared" si="2"/>
        <v>6</v>
      </c>
      <c r="Q5">
        <f>COUNTIF($N$2:$N$91,$N5)</f>
        <v>3</v>
      </c>
      <c r="R5" t="str">
        <f>VLOOKUP(N5,AvgTime!$A:$E,5,FALSE)</f>
        <v>Delay</v>
      </c>
      <c r="S5" s="7">
        <f>INDEX(Charges!$A$3:$S$48,MATCH('Sheet OS'!$N5,Charges!$A$3:$A$48,0),MATCH('Sheet OS'!$J5,Charges!$A$3:$S$3,0))</f>
        <v>44.462600000000002</v>
      </c>
      <c r="T5">
        <f t="shared" si="3"/>
        <v>3</v>
      </c>
      <c r="U5" t="str">
        <f>VLOOKUP(N5,'Last Status'!A:C,3,FALSE)</f>
        <v>COMPLETED</v>
      </c>
    </row>
    <row r="6" spans="1:21" x14ac:dyDescent="0.35">
      <c r="A6" t="s">
        <v>10</v>
      </c>
      <c r="B6" t="s">
        <v>12</v>
      </c>
      <c r="C6" t="s">
        <v>40</v>
      </c>
      <c r="D6">
        <v>4537</v>
      </c>
      <c r="E6" t="s">
        <v>62</v>
      </c>
      <c r="F6" t="s">
        <v>66</v>
      </c>
      <c r="G6">
        <v>0.02</v>
      </c>
      <c r="H6" s="1">
        <v>44273</v>
      </c>
      <c r="I6" t="s">
        <v>76</v>
      </c>
      <c r="J6" t="s">
        <v>124</v>
      </c>
      <c r="K6" t="str">
        <f t="shared" si="0"/>
        <v>BSJU</v>
      </c>
      <c r="L6" t="str">
        <f t="shared" si="1"/>
        <v>AR</v>
      </c>
      <c r="M6">
        <v>5</v>
      </c>
      <c r="N6" t="str">
        <f t="shared" si="4"/>
        <v>REFTEST0145373</v>
      </c>
      <c r="O6" s="3">
        <f t="shared" si="5"/>
        <v>44273.59375</v>
      </c>
      <c r="P6">
        <f t="shared" si="2"/>
        <v>6</v>
      </c>
      <c r="Q6">
        <f>COUNTIF($N$2:$N$91,$N6)</f>
        <v>3</v>
      </c>
      <c r="R6" t="str">
        <f>VLOOKUP(N6,AvgTime!$A:$E,5,FALSE)</f>
        <v>Delay</v>
      </c>
      <c r="S6" s="7">
        <f>INDEX(Charges!$A$3:$S$48,MATCH('Sheet OS'!$N6,Charges!$A$3:$A$48,0),MATCH('Sheet OS'!$J6,Charges!$A$3:$S$3,0))</f>
        <v>88.035948000000005</v>
      </c>
      <c r="T6">
        <f t="shared" si="3"/>
        <v>3</v>
      </c>
      <c r="U6" t="str">
        <f>VLOOKUP(N6,'Last Status'!A:C,3,FALSE)</f>
        <v>COMPLETED</v>
      </c>
    </row>
    <row r="7" spans="1:21" x14ac:dyDescent="0.35">
      <c r="A7" t="s">
        <v>10</v>
      </c>
      <c r="B7" t="s">
        <v>13</v>
      </c>
      <c r="C7" t="s">
        <v>39</v>
      </c>
      <c r="D7" s="4">
        <v>1000000</v>
      </c>
      <c r="E7" t="s">
        <v>62</v>
      </c>
      <c r="F7" t="s">
        <v>64</v>
      </c>
      <c r="G7">
        <v>0.01</v>
      </c>
      <c r="H7" s="1">
        <v>44502</v>
      </c>
      <c r="I7" t="s">
        <v>77</v>
      </c>
      <c r="J7" t="s">
        <v>123</v>
      </c>
      <c r="K7" t="str">
        <f t="shared" si="0"/>
        <v>CHAS</v>
      </c>
      <c r="L7" t="str">
        <f t="shared" si="1"/>
        <v>US</v>
      </c>
      <c r="M7">
        <v>6</v>
      </c>
      <c r="N7" t="str">
        <f t="shared" si="4"/>
        <v>REF21110000006</v>
      </c>
      <c r="O7" s="3">
        <f t="shared" si="5"/>
        <v>44502.356944444444</v>
      </c>
      <c r="P7">
        <f t="shared" si="2"/>
        <v>14</v>
      </c>
      <c r="Q7">
        <f>COUNTIF($N$2:$N$91,$N7)</f>
        <v>3</v>
      </c>
      <c r="R7" t="str">
        <f>VLOOKUP(N7,AvgTime!$A:$E,5,FALSE)</f>
        <v>Delay</v>
      </c>
      <c r="S7" s="7">
        <f>INDEX(Charges!$A$3:$S$48,MATCH('Sheet OS'!$N7,Charges!$A$3:$A$48,0),MATCH('Sheet OS'!$J7,Charges!$A$3:$S$3,0))</f>
        <v>10000</v>
      </c>
      <c r="T7">
        <f t="shared" si="3"/>
        <v>11</v>
      </c>
      <c r="U7" t="str">
        <f>VLOOKUP(N7,'Last Status'!A:C,3,FALSE)</f>
        <v>COMPLETED</v>
      </c>
    </row>
    <row r="8" spans="1:21" x14ac:dyDescent="0.35">
      <c r="A8" t="s">
        <v>10</v>
      </c>
      <c r="B8" t="s">
        <v>13</v>
      </c>
      <c r="C8" t="s">
        <v>39</v>
      </c>
      <c r="D8" s="4">
        <v>1000000</v>
      </c>
      <c r="E8" t="s">
        <v>63</v>
      </c>
      <c r="F8" t="s">
        <v>67</v>
      </c>
      <c r="G8">
        <v>1.4999999999999999E-2</v>
      </c>
      <c r="H8" s="1">
        <v>44503</v>
      </c>
      <c r="I8" t="s">
        <v>78</v>
      </c>
      <c r="J8" t="s">
        <v>125</v>
      </c>
      <c r="K8" t="str">
        <f t="shared" si="0"/>
        <v>AGRI</v>
      </c>
      <c r="L8" t="str">
        <f t="shared" si="1"/>
        <v>FR</v>
      </c>
      <c r="M8">
        <v>7</v>
      </c>
      <c r="N8" t="str">
        <f t="shared" si="4"/>
        <v>REF21110000006</v>
      </c>
      <c r="O8" s="3">
        <f t="shared" si="5"/>
        <v>44503.527777777781</v>
      </c>
      <c r="P8">
        <f t="shared" si="2"/>
        <v>14</v>
      </c>
      <c r="Q8">
        <f>COUNTIF($N$2:$N$91,$N8)</f>
        <v>3</v>
      </c>
      <c r="R8" t="str">
        <f>VLOOKUP(N8,AvgTime!$A:$E,5,FALSE)</f>
        <v>Delay</v>
      </c>
      <c r="S8" s="7">
        <f>INDEX(Charges!$A$3:$S$48,MATCH('Sheet OS'!$N8,Charges!$A$3:$A$48,0),MATCH('Sheet OS'!$J8,Charges!$A$3:$S$3,0))</f>
        <v>14850</v>
      </c>
      <c r="T8">
        <f t="shared" si="3"/>
        <v>11</v>
      </c>
      <c r="U8" t="str">
        <f>VLOOKUP(N8,'Last Status'!A:C,3,FALSE)</f>
        <v>COMPLETED</v>
      </c>
    </row>
    <row r="9" spans="1:21" x14ac:dyDescent="0.35">
      <c r="A9" t="s">
        <v>10</v>
      </c>
      <c r="B9" t="s">
        <v>13</v>
      </c>
      <c r="C9" t="s">
        <v>39</v>
      </c>
      <c r="D9" s="4">
        <v>1000000</v>
      </c>
      <c r="E9" t="s">
        <v>63</v>
      </c>
      <c r="F9" t="s">
        <v>68</v>
      </c>
      <c r="G9">
        <v>1.4999999999999999E-2</v>
      </c>
      <c r="H9" s="1">
        <v>44503</v>
      </c>
      <c r="I9" t="s">
        <v>79</v>
      </c>
      <c r="J9" t="s">
        <v>124</v>
      </c>
      <c r="K9" t="str">
        <f t="shared" si="0"/>
        <v>REDJ</v>
      </c>
      <c r="L9" t="str">
        <f t="shared" si="1"/>
        <v>BY</v>
      </c>
      <c r="M9">
        <v>8</v>
      </c>
      <c r="N9" t="str">
        <f t="shared" si="4"/>
        <v>REF21110000006</v>
      </c>
      <c r="O9" s="3">
        <f t="shared" si="5"/>
        <v>44503.731944444444</v>
      </c>
      <c r="P9">
        <f t="shared" si="2"/>
        <v>14</v>
      </c>
      <c r="Q9">
        <f>COUNTIF($N$2:$N$91,$N9)</f>
        <v>3</v>
      </c>
      <c r="R9" t="str">
        <f>VLOOKUP(N9,AvgTime!$A:$E,5,FALSE)</f>
        <v>Delay</v>
      </c>
      <c r="S9" s="7">
        <f>INDEX(Charges!$A$3:$S$48,MATCH('Sheet OS'!$N9,Charges!$A$3:$A$48,0),MATCH('Sheet OS'!$J9,Charges!$A$3:$S$3,0))</f>
        <v>14627.25</v>
      </c>
      <c r="T9">
        <f t="shared" si="3"/>
        <v>11</v>
      </c>
      <c r="U9" t="str">
        <f>VLOOKUP(N9,'Last Status'!A:C,3,FALSE)</f>
        <v>COMPLETED</v>
      </c>
    </row>
    <row r="10" spans="1:21" x14ac:dyDescent="0.35">
      <c r="A10" t="s">
        <v>10</v>
      </c>
      <c r="B10" t="s">
        <v>14</v>
      </c>
      <c r="C10" t="s">
        <v>39</v>
      </c>
      <c r="D10" s="4">
        <v>11000</v>
      </c>
      <c r="E10" t="s">
        <v>62</v>
      </c>
      <c r="F10" t="s">
        <v>64</v>
      </c>
      <c r="G10">
        <v>0.02</v>
      </c>
      <c r="H10" s="1">
        <v>44271</v>
      </c>
      <c r="I10" t="s">
        <v>80</v>
      </c>
      <c r="J10" t="s">
        <v>123</v>
      </c>
      <c r="K10" t="str">
        <f t="shared" si="0"/>
        <v>CHAS</v>
      </c>
      <c r="L10" t="str">
        <f t="shared" si="1"/>
        <v>US</v>
      </c>
      <c r="M10">
        <v>9</v>
      </c>
      <c r="N10" t="str">
        <f t="shared" si="4"/>
        <v>REF211110009</v>
      </c>
      <c r="O10" s="3">
        <f t="shared" si="5"/>
        <v>44271.386111111111</v>
      </c>
      <c r="P10">
        <f t="shared" si="2"/>
        <v>14</v>
      </c>
      <c r="Q10">
        <f>COUNTIF($N$2:$N$91,$N10)</f>
        <v>2</v>
      </c>
      <c r="R10" t="str">
        <f>VLOOKUP(N10,AvgTime!$A:$E,5,FALSE)</f>
        <v>Less than 24h</v>
      </c>
      <c r="S10" s="7">
        <f>INDEX(Charges!$A$3:$S$48,MATCH('Sheet OS'!$N10,Charges!$A$3:$A$48,0),MATCH('Sheet OS'!$J10,Charges!$A$3:$S$3,0))</f>
        <v>220</v>
      </c>
      <c r="T10">
        <f t="shared" si="3"/>
        <v>3</v>
      </c>
      <c r="U10" t="str">
        <f>VLOOKUP(N10,'Last Status'!A:C,3,FALSE)</f>
        <v>COMPLETED</v>
      </c>
    </row>
    <row r="11" spans="1:21" x14ac:dyDescent="0.35">
      <c r="A11" t="s">
        <v>10</v>
      </c>
      <c r="B11" t="s">
        <v>14</v>
      </c>
      <c r="C11" t="s">
        <v>39</v>
      </c>
      <c r="D11" s="4">
        <v>11000</v>
      </c>
      <c r="E11" t="s">
        <v>62</v>
      </c>
      <c r="F11" t="s">
        <v>67</v>
      </c>
      <c r="G11">
        <v>0.01</v>
      </c>
      <c r="H11" s="1">
        <v>44271</v>
      </c>
      <c r="I11" t="s">
        <v>81</v>
      </c>
      <c r="J11" t="s">
        <v>124</v>
      </c>
      <c r="K11" t="str">
        <f t="shared" si="0"/>
        <v>AGRI</v>
      </c>
      <c r="L11" t="str">
        <f t="shared" si="1"/>
        <v>FR</v>
      </c>
      <c r="M11">
        <v>10</v>
      </c>
      <c r="N11" t="str">
        <f t="shared" si="4"/>
        <v>REF211110009</v>
      </c>
      <c r="O11" s="3">
        <f t="shared" si="5"/>
        <v>44271.522222222222</v>
      </c>
      <c r="P11">
        <f t="shared" si="2"/>
        <v>14</v>
      </c>
      <c r="Q11">
        <f>COUNTIF($N$2:$N$91,$N11)</f>
        <v>2</v>
      </c>
      <c r="R11" t="str">
        <f>VLOOKUP(N11,AvgTime!$A:$E,5,FALSE)</f>
        <v>Less than 24h</v>
      </c>
      <c r="S11" s="7">
        <f>INDEX(Charges!$A$3:$S$48,MATCH('Sheet OS'!$N11,Charges!$A$3:$A$48,0),MATCH('Sheet OS'!$J11,Charges!$A$3:$S$3,0))</f>
        <v>107.8</v>
      </c>
      <c r="T11">
        <f t="shared" si="3"/>
        <v>3</v>
      </c>
      <c r="U11" t="str">
        <f>VLOOKUP(N11,'Last Status'!A:C,3,FALSE)</f>
        <v>COMPLETED</v>
      </c>
    </row>
    <row r="12" spans="1:21" x14ac:dyDescent="0.35">
      <c r="A12" t="s">
        <v>10</v>
      </c>
      <c r="B12" t="s">
        <v>15</v>
      </c>
      <c r="C12" t="s">
        <v>41</v>
      </c>
      <c r="D12">
        <v>23900</v>
      </c>
      <c r="E12" t="s">
        <v>62</v>
      </c>
      <c r="F12" t="s">
        <v>64</v>
      </c>
      <c r="G12">
        <v>0.02</v>
      </c>
      <c r="H12" s="1">
        <v>44271</v>
      </c>
      <c r="I12" t="s">
        <v>82</v>
      </c>
      <c r="J12" t="s">
        <v>123</v>
      </c>
      <c r="K12" t="str">
        <f t="shared" si="0"/>
        <v>CHAS</v>
      </c>
      <c r="L12" t="str">
        <f t="shared" si="1"/>
        <v>US</v>
      </c>
      <c r="M12">
        <v>11</v>
      </c>
      <c r="N12" t="str">
        <f t="shared" si="4"/>
        <v>REF212390011</v>
      </c>
      <c r="O12" s="3">
        <f t="shared" si="5"/>
        <v>44271.424305555556</v>
      </c>
      <c r="P12">
        <f t="shared" si="2"/>
        <v>4</v>
      </c>
      <c r="Q12">
        <f>COUNTIF($N$2:$N$91,$N12)</f>
        <v>2</v>
      </c>
      <c r="R12" t="str">
        <f>VLOOKUP(N12,AvgTime!$A:$E,5,FALSE)</f>
        <v>Less than 24h</v>
      </c>
      <c r="S12" s="7">
        <f>INDEX(Charges!$A$3:$S$48,MATCH('Sheet OS'!$N12,Charges!$A$3:$A$48,0),MATCH('Sheet OS'!$J12,Charges!$A$3:$S$3,0))</f>
        <v>478</v>
      </c>
      <c r="T12">
        <f t="shared" si="3"/>
        <v>3</v>
      </c>
      <c r="U12" t="str">
        <f>VLOOKUP(N12,'Last Status'!A:C,3,FALSE)</f>
        <v>DELIVERED</v>
      </c>
    </row>
    <row r="13" spans="1:21" x14ac:dyDescent="0.35">
      <c r="A13" t="s">
        <v>10</v>
      </c>
      <c r="B13" t="s">
        <v>15</v>
      </c>
      <c r="C13" t="s">
        <v>41</v>
      </c>
      <c r="D13">
        <v>23900</v>
      </c>
      <c r="E13" t="s">
        <v>63</v>
      </c>
      <c r="F13" t="s">
        <v>67</v>
      </c>
      <c r="G13">
        <v>0.03</v>
      </c>
      <c r="H13" s="1">
        <v>44271</v>
      </c>
      <c r="I13" t="s">
        <v>79</v>
      </c>
      <c r="J13" t="s">
        <v>126</v>
      </c>
      <c r="K13" t="str">
        <f t="shared" si="0"/>
        <v>AGRI</v>
      </c>
      <c r="L13" t="str">
        <f t="shared" si="1"/>
        <v>FR</v>
      </c>
      <c r="M13">
        <v>12</v>
      </c>
      <c r="N13" t="str">
        <f t="shared" si="4"/>
        <v>REF212390011</v>
      </c>
      <c r="O13" s="3">
        <f t="shared" si="5"/>
        <v>44271.731944444444</v>
      </c>
      <c r="P13">
        <f t="shared" si="2"/>
        <v>4</v>
      </c>
      <c r="Q13">
        <f>COUNTIF($N$2:$N$91,$N13)</f>
        <v>2</v>
      </c>
      <c r="R13" t="str">
        <f>VLOOKUP(N13,AvgTime!$A:$E,5,FALSE)</f>
        <v>Less than 24h</v>
      </c>
      <c r="S13" s="7">
        <f>INDEX(Charges!$A$3:$S$48,MATCH('Sheet OS'!$N13,Charges!$A$3:$A$48,0),MATCH('Sheet OS'!$J13,Charges!$A$3:$S$3,0))</f>
        <v>702.66</v>
      </c>
      <c r="T13">
        <f t="shared" si="3"/>
        <v>3</v>
      </c>
      <c r="U13" t="str">
        <f>VLOOKUP(N13,'Last Status'!A:C,3,FALSE)</f>
        <v>DELIVERED</v>
      </c>
    </row>
    <row r="14" spans="1:21" x14ac:dyDescent="0.35">
      <c r="A14" t="s">
        <v>10</v>
      </c>
      <c r="B14" t="s">
        <v>16</v>
      </c>
      <c r="C14" t="s">
        <v>42</v>
      </c>
      <c r="D14">
        <v>5643</v>
      </c>
      <c r="E14" t="s">
        <v>62</v>
      </c>
      <c r="F14" t="s">
        <v>64</v>
      </c>
      <c r="G14">
        <v>0.02</v>
      </c>
      <c r="H14" s="1">
        <v>44275</v>
      </c>
      <c r="I14" t="s">
        <v>83</v>
      </c>
      <c r="J14" t="s">
        <v>123</v>
      </c>
      <c r="K14" t="str">
        <f t="shared" si="0"/>
        <v>CHAS</v>
      </c>
      <c r="L14" t="str">
        <f t="shared" si="1"/>
        <v>US</v>
      </c>
      <c r="M14">
        <v>13</v>
      </c>
      <c r="N14" t="str">
        <f t="shared" si="4"/>
        <v>REF111564313</v>
      </c>
      <c r="O14" s="3">
        <f t="shared" si="5"/>
        <v>44275.551388888889</v>
      </c>
      <c r="P14">
        <f t="shared" si="2"/>
        <v>4</v>
      </c>
      <c r="Q14">
        <f>COUNTIF($N$2:$N$91,$N14)</f>
        <v>2</v>
      </c>
      <c r="R14" t="str">
        <f>VLOOKUP(N14,AvgTime!$A:$E,5,FALSE)</f>
        <v>Less than 24h</v>
      </c>
      <c r="S14" s="7">
        <f>INDEX(Charges!$A$3:$S$48,MATCH('Sheet OS'!$N14,Charges!$A$3:$A$48,0),MATCH('Sheet OS'!$J14,Charges!$A$3:$S$3,0))</f>
        <v>112.86</v>
      </c>
      <c r="T14">
        <f t="shared" si="3"/>
        <v>3</v>
      </c>
      <c r="U14" t="str">
        <f>VLOOKUP(N14,'Last Status'!A:C,3,FALSE)</f>
        <v>COMPLETED</v>
      </c>
    </row>
    <row r="15" spans="1:21" x14ac:dyDescent="0.35">
      <c r="A15" t="s">
        <v>10</v>
      </c>
      <c r="B15" t="s">
        <v>16</v>
      </c>
      <c r="C15" t="s">
        <v>42</v>
      </c>
      <c r="D15">
        <v>5643</v>
      </c>
      <c r="E15" t="s">
        <v>62</v>
      </c>
      <c r="F15" t="s">
        <v>65</v>
      </c>
      <c r="G15">
        <v>0.01</v>
      </c>
      <c r="H15" s="1">
        <v>44276</v>
      </c>
      <c r="I15" t="s">
        <v>84</v>
      </c>
      <c r="J15" t="s">
        <v>124</v>
      </c>
      <c r="K15" t="str">
        <f t="shared" si="0"/>
        <v>BINA</v>
      </c>
      <c r="L15" t="str">
        <f t="shared" si="1"/>
        <v>AD</v>
      </c>
      <c r="M15">
        <v>14</v>
      </c>
      <c r="N15" t="str">
        <f t="shared" si="4"/>
        <v>REF111564313</v>
      </c>
      <c r="O15" s="3">
        <f t="shared" si="5"/>
        <v>44276.523611111108</v>
      </c>
      <c r="P15">
        <f t="shared" si="2"/>
        <v>4</v>
      </c>
      <c r="Q15">
        <f>COUNTIF($N$2:$N$91,$N15)</f>
        <v>2</v>
      </c>
      <c r="R15" t="str">
        <f>VLOOKUP(N15,AvgTime!$A:$E,5,FALSE)</f>
        <v>Less than 24h</v>
      </c>
      <c r="S15" s="7">
        <f>INDEX(Charges!$A$3:$S$48,MATCH('Sheet OS'!$N15,Charges!$A$3:$A$48,0),MATCH('Sheet OS'!$J15,Charges!$A$3:$S$3,0))</f>
        <v>55.301400000000001</v>
      </c>
      <c r="T15">
        <f t="shared" si="3"/>
        <v>3</v>
      </c>
      <c r="U15" t="str">
        <f>VLOOKUP(N15,'Last Status'!A:C,3,FALSE)</f>
        <v>COMPLETED</v>
      </c>
    </row>
    <row r="16" spans="1:21" x14ac:dyDescent="0.35">
      <c r="A16" t="s">
        <v>10</v>
      </c>
      <c r="B16" t="s">
        <v>17</v>
      </c>
      <c r="C16" t="s">
        <v>43</v>
      </c>
      <c r="D16">
        <v>4569</v>
      </c>
      <c r="E16" t="s">
        <v>62</v>
      </c>
      <c r="F16" t="s">
        <v>64</v>
      </c>
      <c r="G16">
        <v>0.02</v>
      </c>
      <c r="H16" s="1">
        <v>44248</v>
      </c>
      <c r="I16" t="s">
        <v>85</v>
      </c>
      <c r="J16" t="s">
        <v>123</v>
      </c>
      <c r="K16" t="str">
        <f t="shared" si="0"/>
        <v>CHAS</v>
      </c>
      <c r="L16" t="str">
        <f t="shared" si="1"/>
        <v>US</v>
      </c>
      <c r="M16">
        <v>15</v>
      </c>
      <c r="N16" t="str">
        <f t="shared" si="4"/>
        <v>REFD202102456915</v>
      </c>
      <c r="O16" s="3">
        <f t="shared" si="5"/>
        <v>44248.432638888888</v>
      </c>
      <c r="P16">
        <f t="shared" si="2"/>
        <v>6</v>
      </c>
      <c r="Q16">
        <f>COUNTIF($N$2:$N$91,$N16)</f>
        <v>3</v>
      </c>
      <c r="R16" t="str">
        <f>VLOOKUP(N16,AvgTime!$A:$E,5,FALSE)</f>
        <v>NotCompleted</v>
      </c>
      <c r="S16" s="7">
        <f>INDEX(Charges!$A$3:$S$48,MATCH('Sheet OS'!$N16,Charges!$A$3:$A$48,0),MATCH('Sheet OS'!$J16,Charges!$A$3:$S$3,0))</f>
        <v>91.38</v>
      </c>
      <c r="T16">
        <f t="shared" si="3"/>
        <v>2</v>
      </c>
      <c r="U16" t="str">
        <f>VLOOKUP(N16,'Last Status'!A:C,3,FALSE)</f>
        <v>PROCESSING</v>
      </c>
    </row>
    <row r="17" spans="1:21" x14ac:dyDescent="0.35">
      <c r="A17" t="s">
        <v>10</v>
      </c>
      <c r="B17" t="s">
        <v>17</v>
      </c>
      <c r="C17" t="s">
        <v>43</v>
      </c>
      <c r="D17">
        <v>4569</v>
      </c>
      <c r="E17" t="s">
        <v>62</v>
      </c>
      <c r="F17" t="s">
        <v>67</v>
      </c>
      <c r="G17">
        <v>0.01</v>
      </c>
      <c r="H17" s="1">
        <v>44248</v>
      </c>
      <c r="I17" t="s">
        <v>86</v>
      </c>
      <c r="J17" t="s">
        <v>127</v>
      </c>
      <c r="K17" t="str">
        <f t="shared" si="0"/>
        <v>AGRI</v>
      </c>
      <c r="L17" t="str">
        <f t="shared" si="1"/>
        <v>FR</v>
      </c>
      <c r="M17">
        <v>16</v>
      </c>
      <c r="N17" t="str">
        <f t="shared" si="4"/>
        <v>REFD202102456915</v>
      </c>
      <c r="O17" s="3">
        <f t="shared" si="5"/>
        <v>44248.488194444442</v>
      </c>
      <c r="P17">
        <f t="shared" si="2"/>
        <v>6</v>
      </c>
      <c r="Q17">
        <f>COUNTIF($N$2:$N$91,$N17)</f>
        <v>3</v>
      </c>
      <c r="R17" t="str">
        <f>VLOOKUP(N17,AvgTime!$A:$E,5,FALSE)</f>
        <v>NotCompleted</v>
      </c>
      <c r="S17" s="7">
        <f>INDEX(Charges!$A$3:$S$48,MATCH('Sheet OS'!$N17,Charges!$A$3:$A$48,0),MATCH('Sheet OS'!$J17,Charges!$A$3:$S$3,0))</f>
        <v>814.19580000000008</v>
      </c>
      <c r="T17">
        <f t="shared" si="3"/>
        <v>2</v>
      </c>
      <c r="U17" t="str">
        <f>VLOOKUP(N17,'Last Status'!A:C,3,FALSE)</f>
        <v>PROCESSING</v>
      </c>
    </row>
    <row r="18" spans="1:21" x14ac:dyDescent="0.35">
      <c r="A18" t="s">
        <v>10</v>
      </c>
      <c r="B18" t="s">
        <v>17</v>
      </c>
      <c r="C18" t="s">
        <v>43</v>
      </c>
      <c r="D18">
        <v>4569</v>
      </c>
      <c r="E18" t="s">
        <v>62</v>
      </c>
      <c r="F18" t="s">
        <v>68</v>
      </c>
      <c r="G18">
        <v>0.08</v>
      </c>
      <c r="H18" s="1">
        <v>44248</v>
      </c>
      <c r="I18" t="s">
        <v>87</v>
      </c>
      <c r="J18" t="s">
        <v>127</v>
      </c>
      <c r="K18" t="str">
        <f t="shared" si="0"/>
        <v>REDJ</v>
      </c>
      <c r="L18" t="str">
        <f t="shared" si="1"/>
        <v>BY</v>
      </c>
      <c r="M18">
        <v>17</v>
      </c>
      <c r="N18" t="str">
        <f t="shared" si="4"/>
        <v>REFD202102456915</v>
      </c>
      <c r="O18" s="3">
        <f t="shared" si="5"/>
        <v>44248.709722222222</v>
      </c>
      <c r="P18">
        <f t="shared" si="2"/>
        <v>6</v>
      </c>
      <c r="Q18">
        <f>COUNTIF($N$2:$N$91,$N18)</f>
        <v>3</v>
      </c>
      <c r="R18" t="str">
        <f>VLOOKUP(N18,AvgTime!$A:$E,5,FALSE)</f>
        <v>NotCompleted</v>
      </c>
      <c r="S18" s="7">
        <f>INDEX(Charges!$A$3:$S$48,MATCH('Sheet OS'!$N18,Charges!$A$3:$A$48,0),MATCH('Sheet OS'!$J18,Charges!$A$3:$S$3,0))</f>
        <v>814.19580000000008</v>
      </c>
      <c r="T18">
        <f t="shared" si="3"/>
        <v>2</v>
      </c>
      <c r="U18" t="str">
        <f>VLOOKUP(N18,'Last Status'!A:C,3,FALSE)</f>
        <v>PROCESSING</v>
      </c>
    </row>
    <row r="19" spans="1:21" x14ac:dyDescent="0.35">
      <c r="A19" t="s">
        <v>10</v>
      </c>
      <c r="B19" t="s">
        <v>18</v>
      </c>
      <c r="C19" t="s">
        <v>44</v>
      </c>
      <c r="D19">
        <v>456</v>
      </c>
      <c r="E19" t="s">
        <v>62</v>
      </c>
      <c r="F19" t="s">
        <v>64</v>
      </c>
      <c r="G19">
        <v>0.01</v>
      </c>
      <c r="H19" s="1">
        <v>44253</v>
      </c>
      <c r="I19" t="s">
        <v>88</v>
      </c>
      <c r="J19" t="s">
        <v>123</v>
      </c>
      <c r="K19" t="str">
        <f t="shared" si="0"/>
        <v>CHAS</v>
      </c>
      <c r="L19" t="str">
        <f t="shared" si="1"/>
        <v>US</v>
      </c>
      <c r="M19">
        <v>18</v>
      </c>
      <c r="N19" t="str">
        <f t="shared" si="4"/>
        <v>REFD20210345618</v>
      </c>
      <c r="O19" s="3">
        <f t="shared" si="5"/>
        <v>44253.529861111114</v>
      </c>
      <c r="P19">
        <f t="shared" si="2"/>
        <v>6</v>
      </c>
      <c r="Q19">
        <f>COUNTIF($N$2:$N$91,$N19)</f>
        <v>3</v>
      </c>
      <c r="R19" t="str">
        <f>VLOOKUP(N19,AvgTime!$A:$E,5,FALSE)</f>
        <v>Less than 24h</v>
      </c>
      <c r="S19" s="7">
        <f>INDEX(Charges!$A$3:$S$48,MATCH('Sheet OS'!$N19,Charges!$A$3:$A$48,0),MATCH('Sheet OS'!$J19,Charges!$A$3:$S$3,0))</f>
        <v>4.5600000000000005</v>
      </c>
      <c r="T19">
        <f t="shared" si="3"/>
        <v>2</v>
      </c>
      <c r="U19" t="str">
        <f>VLOOKUP(N19,'Last Status'!A:C,3,FALSE)</f>
        <v>DELIVERED</v>
      </c>
    </row>
    <row r="20" spans="1:21" x14ac:dyDescent="0.35">
      <c r="A20" t="s">
        <v>10</v>
      </c>
      <c r="B20" t="s">
        <v>18</v>
      </c>
      <c r="C20" t="s">
        <v>44</v>
      </c>
      <c r="D20">
        <v>456</v>
      </c>
      <c r="E20" t="s">
        <v>62</v>
      </c>
      <c r="F20" t="s">
        <v>64</v>
      </c>
      <c r="G20">
        <v>0.02</v>
      </c>
      <c r="H20" s="1">
        <v>44253</v>
      </c>
      <c r="I20" t="s">
        <v>89</v>
      </c>
      <c r="J20" t="s">
        <v>125</v>
      </c>
      <c r="K20" t="str">
        <f t="shared" si="0"/>
        <v>CHAS</v>
      </c>
      <c r="L20" t="str">
        <f t="shared" si="1"/>
        <v>US</v>
      </c>
      <c r="M20">
        <v>19</v>
      </c>
      <c r="N20" t="str">
        <f t="shared" si="4"/>
        <v>REFD20210345618</v>
      </c>
      <c r="O20" s="3">
        <f t="shared" si="5"/>
        <v>44253.65347222222</v>
      </c>
      <c r="P20">
        <f t="shared" si="2"/>
        <v>6</v>
      </c>
      <c r="Q20">
        <f>COUNTIF($N$2:$N$91,$N20)</f>
        <v>3</v>
      </c>
      <c r="R20" t="str">
        <f>VLOOKUP(N20,AvgTime!$A:$E,5,FALSE)</f>
        <v>Less than 24h</v>
      </c>
      <c r="S20" s="7">
        <f>INDEX(Charges!$A$3:$S$48,MATCH('Sheet OS'!$N20,Charges!$A$3:$A$48,0),MATCH('Sheet OS'!$J20,Charges!$A$3:$S$3,0))</f>
        <v>9.0288000000000004</v>
      </c>
      <c r="T20">
        <f t="shared" si="3"/>
        <v>2</v>
      </c>
      <c r="U20" t="str">
        <f>VLOOKUP(N20,'Last Status'!A:C,3,FALSE)</f>
        <v>DELIVERED</v>
      </c>
    </row>
    <row r="21" spans="1:21" x14ac:dyDescent="0.35">
      <c r="A21" t="s">
        <v>10</v>
      </c>
      <c r="B21" t="s">
        <v>18</v>
      </c>
      <c r="C21" t="s">
        <v>44</v>
      </c>
      <c r="D21">
        <v>456</v>
      </c>
      <c r="E21" t="s">
        <v>62</v>
      </c>
      <c r="F21" t="s">
        <v>64</v>
      </c>
      <c r="G21">
        <v>0.01</v>
      </c>
      <c r="H21" s="1">
        <v>44253</v>
      </c>
      <c r="I21" t="s">
        <v>90</v>
      </c>
      <c r="J21" t="s">
        <v>126</v>
      </c>
      <c r="K21" t="str">
        <f t="shared" si="0"/>
        <v>CHAS</v>
      </c>
      <c r="L21" t="str">
        <f t="shared" si="1"/>
        <v>US</v>
      </c>
      <c r="M21">
        <v>20</v>
      </c>
      <c r="N21" t="str">
        <f t="shared" si="4"/>
        <v>REFD20210345618</v>
      </c>
      <c r="O21" s="3">
        <f t="shared" si="5"/>
        <v>44253.756944444445</v>
      </c>
      <c r="P21">
        <f t="shared" si="2"/>
        <v>6</v>
      </c>
      <c r="Q21">
        <f>COUNTIF($N$2:$N$91,$N21)</f>
        <v>3</v>
      </c>
      <c r="R21" t="str">
        <f>VLOOKUP(N21,AvgTime!$A:$E,5,FALSE)</f>
        <v>Less than 24h</v>
      </c>
      <c r="S21" s="7">
        <f>INDEX(Charges!$A$3:$S$48,MATCH('Sheet OS'!$N21,Charges!$A$3:$A$48,0),MATCH('Sheet OS'!$J21,Charges!$A$3:$S$3,0))</f>
        <v>4.424112</v>
      </c>
      <c r="T21">
        <f t="shared" si="3"/>
        <v>2</v>
      </c>
      <c r="U21" t="str">
        <f>VLOOKUP(N21,'Last Status'!A:C,3,FALSE)</f>
        <v>DELIVERED</v>
      </c>
    </row>
    <row r="22" spans="1:21" x14ac:dyDescent="0.35">
      <c r="A22" t="s">
        <v>10</v>
      </c>
      <c r="B22" t="s">
        <v>19</v>
      </c>
      <c r="C22" t="s">
        <v>45</v>
      </c>
      <c r="D22">
        <v>3326</v>
      </c>
      <c r="E22" t="s">
        <v>62</v>
      </c>
      <c r="F22" t="s">
        <v>64</v>
      </c>
      <c r="G22">
        <v>0.01</v>
      </c>
      <c r="H22" s="1">
        <v>44571</v>
      </c>
      <c r="I22" t="s">
        <v>88</v>
      </c>
      <c r="J22" t="s">
        <v>123</v>
      </c>
      <c r="K22" t="str">
        <f t="shared" si="0"/>
        <v>CHAS</v>
      </c>
      <c r="L22" t="str">
        <f t="shared" si="1"/>
        <v>US</v>
      </c>
      <c r="M22">
        <v>21</v>
      </c>
      <c r="N22" t="str">
        <f t="shared" si="4"/>
        <v>REF001332621</v>
      </c>
      <c r="O22" s="3">
        <f t="shared" si="5"/>
        <v>44571.529861111114</v>
      </c>
      <c r="P22">
        <f t="shared" si="2"/>
        <v>6</v>
      </c>
      <c r="Q22">
        <f>COUNTIF($N$2:$N$91,$N22)</f>
        <v>3</v>
      </c>
      <c r="R22" t="str">
        <f>VLOOKUP(N22,AvgTime!$A:$E,5,FALSE)</f>
        <v>NotCompleted</v>
      </c>
      <c r="S22" s="7">
        <f>INDEX(Charges!$A$3:$S$48,MATCH('Sheet OS'!$N22,Charges!$A$3:$A$48,0),MATCH('Sheet OS'!$J22,Charges!$A$3:$S$3,0))</f>
        <v>33.26</v>
      </c>
      <c r="T22">
        <f t="shared" si="3"/>
        <v>1</v>
      </c>
      <c r="U22" t="str">
        <f>VLOOKUP(N22,'Last Status'!A:C,3,FALSE)</f>
        <v>PENDING</v>
      </c>
    </row>
    <row r="23" spans="1:21" x14ac:dyDescent="0.35">
      <c r="A23" t="s">
        <v>10</v>
      </c>
      <c r="B23" t="s">
        <v>19</v>
      </c>
      <c r="C23" t="s">
        <v>45</v>
      </c>
      <c r="D23">
        <v>3326</v>
      </c>
      <c r="E23" t="s">
        <v>62</v>
      </c>
      <c r="F23" t="s">
        <v>64</v>
      </c>
      <c r="G23">
        <v>0.02</v>
      </c>
      <c r="H23" s="1">
        <v>44572</v>
      </c>
      <c r="I23" t="s">
        <v>91</v>
      </c>
      <c r="J23" t="s">
        <v>125</v>
      </c>
      <c r="K23" t="str">
        <f t="shared" si="0"/>
        <v>CHAS</v>
      </c>
      <c r="L23" t="str">
        <f t="shared" si="1"/>
        <v>US</v>
      </c>
      <c r="M23">
        <v>22</v>
      </c>
      <c r="N23" t="str">
        <f t="shared" si="4"/>
        <v>REF001332621</v>
      </c>
      <c r="O23" s="3">
        <f t="shared" si="5"/>
        <v>44572.605555555558</v>
      </c>
      <c r="P23">
        <f t="shared" si="2"/>
        <v>6</v>
      </c>
      <c r="Q23">
        <f>COUNTIF($N$2:$N$91,$N23)</f>
        <v>3</v>
      </c>
      <c r="R23" t="str">
        <f>VLOOKUP(N23,AvgTime!$A:$E,5,FALSE)</f>
        <v>NotCompleted</v>
      </c>
      <c r="S23" s="7">
        <f>INDEX(Charges!$A$3:$S$48,MATCH('Sheet OS'!$N23,Charges!$A$3:$A$48,0),MATCH('Sheet OS'!$J23,Charges!$A$3:$S$3,0))</f>
        <v>198.56219999999999</v>
      </c>
      <c r="T23">
        <f t="shared" si="3"/>
        <v>1</v>
      </c>
      <c r="U23" t="str">
        <f>VLOOKUP(N23,'Last Status'!A:C,3,FALSE)</f>
        <v>PENDING</v>
      </c>
    </row>
    <row r="24" spans="1:21" x14ac:dyDescent="0.35">
      <c r="A24" t="s">
        <v>10</v>
      </c>
      <c r="B24" t="s">
        <v>19</v>
      </c>
      <c r="C24" t="s">
        <v>45</v>
      </c>
      <c r="D24">
        <v>3326</v>
      </c>
      <c r="E24" t="s">
        <v>63</v>
      </c>
      <c r="F24" t="s">
        <v>65</v>
      </c>
      <c r="G24">
        <v>0.01</v>
      </c>
      <c r="H24" s="1">
        <v>44572</v>
      </c>
      <c r="I24" t="s">
        <v>92</v>
      </c>
      <c r="J24" t="s">
        <v>125</v>
      </c>
      <c r="K24" t="str">
        <f t="shared" si="0"/>
        <v>BINA</v>
      </c>
      <c r="L24" t="str">
        <f t="shared" si="1"/>
        <v>AD</v>
      </c>
      <c r="M24">
        <v>23</v>
      </c>
      <c r="N24" t="str">
        <f t="shared" si="4"/>
        <v>REF001332621</v>
      </c>
      <c r="O24" s="3">
        <f t="shared" si="5"/>
        <v>44572.76458333333</v>
      </c>
      <c r="P24">
        <f t="shared" si="2"/>
        <v>6</v>
      </c>
      <c r="Q24">
        <f>COUNTIF($N$2:$N$91,$N24)</f>
        <v>3</v>
      </c>
      <c r="R24" t="str">
        <f>VLOOKUP(N24,AvgTime!$A:$E,5,FALSE)</f>
        <v>NotCompleted</v>
      </c>
      <c r="S24" s="7">
        <f>INDEX(Charges!$A$3:$S$48,MATCH('Sheet OS'!$N24,Charges!$A$3:$A$48,0),MATCH('Sheet OS'!$J24,Charges!$A$3:$S$3,0))</f>
        <v>198.56219999999999</v>
      </c>
      <c r="T24">
        <f t="shared" si="3"/>
        <v>1</v>
      </c>
      <c r="U24" t="str">
        <f>VLOOKUP(N24,'Last Status'!A:C,3,FALSE)</f>
        <v>PENDING</v>
      </c>
    </row>
    <row r="25" spans="1:21" x14ac:dyDescent="0.35">
      <c r="A25" t="s">
        <v>10</v>
      </c>
      <c r="B25" t="s">
        <v>19</v>
      </c>
      <c r="C25" t="s">
        <v>46</v>
      </c>
      <c r="D25">
        <v>1100</v>
      </c>
      <c r="E25" t="s">
        <v>62</v>
      </c>
      <c r="F25" t="s">
        <v>64</v>
      </c>
      <c r="G25">
        <v>0.02</v>
      </c>
      <c r="H25" s="1">
        <v>44234</v>
      </c>
      <c r="I25" t="s">
        <v>93</v>
      </c>
      <c r="J25" t="s">
        <v>123</v>
      </c>
      <c r="K25" t="str">
        <f t="shared" si="0"/>
        <v>CHAS</v>
      </c>
      <c r="L25" t="str">
        <f t="shared" si="1"/>
        <v>US</v>
      </c>
      <c r="M25">
        <v>24</v>
      </c>
      <c r="N25" t="str">
        <f t="shared" si="4"/>
        <v>REF001DEMO110024</v>
      </c>
      <c r="O25" s="3">
        <f t="shared" si="5"/>
        <v>44234.654861111114</v>
      </c>
      <c r="P25">
        <f t="shared" si="2"/>
        <v>2</v>
      </c>
      <c r="Q25">
        <f>COUNTIF($N$2:$N$91,$N25)</f>
        <v>2</v>
      </c>
      <c r="R25" t="str">
        <f>VLOOKUP(N25,AvgTime!$A:$E,5,FALSE)</f>
        <v>Delay</v>
      </c>
      <c r="S25" s="7">
        <f>INDEX(Charges!$A$3:$S$48,MATCH('Sheet OS'!$N25,Charges!$A$3:$A$48,0),MATCH('Sheet OS'!$J25,Charges!$A$3:$S$3,0))</f>
        <v>22</v>
      </c>
      <c r="T25">
        <f t="shared" si="3"/>
        <v>2</v>
      </c>
      <c r="U25" t="str">
        <f>VLOOKUP(N25,'Last Status'!A:C,3,FALSE)</f>
        <v>COMPLETED</v>
      </c>
    </row>
    <row r="26" spans="1:21" x14ac:dyDescent="0.35">
      <c r="A26" t="s">
        <v>10</v>
      </c>
      <c r="B26" t="s">
        <v>19</v>
      </c>
      <c r="C26" t="s">
        <v>46</v>
      </c>
      <c r="D26">
        <v>1100</v>
      </c>
      <c r="E26" t="s">
        <v>62</v>
      </c>
      <c r="F26" t="s">
        <v>69</v>
      </c>
      <c r="G26">
        <v>0.01</v>
      </c>
      <c r="H26" s="1">
        <v>44235</v>
      </c>
      <c r="I26" t="s">
        <v>94</v>
      </c>
      <c r="J26" t="s">
        <v>124</v>
      </c>
      <c r="K26" t="str">
        <f t="shared" si="0"/>
        <v>FNRO</v>
      </c>
      <c r="L26" t="str">
        <f t="shared" si="1"/>
        <v>CN</v>
      </c>
      <c r="M26">
        <v>25</v>
      </c>
      <c r="N26" t="str">
        <f t="shared" si="4"/>
        <v>REF001DEMO110024</v>
      </c>
      <c r="O26" s="3">
        <f t="shared" si="5"/>
        <v>44235.722916666666</v>
      </c>
      <c r="P26">
        <f t="shared" si="2"/>
        <v>2</v>
      </c>
      <c r="Q26">
        <f>COUNTIF($N$2:$N$91,$N26)</f>
        <v>2</v>
      </c>
      <c r="R26" t="str">
        <f>VLOOKUP(N26,AvgTime!$A:$E,5,FALSE)</f>
        <v>Delay</v>
      </c>
      <c r="S26" s="7">
        <f>INDEX(Charges!$A$3:$S$48,MATCH('Sheet OS'!$N26,Charges!$A$3:$A$48,0),MATCH('Sheet OS'!$J26,Charges!$A$3:$S$3,0))</f>
        <v>10.78</v>
      </c>
      <c r="T26">
        <f t="shared" si="3"/>
        <v>2</v>
      </c>
      <c r="U26" t="str">
        <f>VLOOKUP(N26,'Last Status'!A:C,3,FALSE)</f>
        <v>COMPLETED</v>
      </c>
    </row>
    <row r="27" spans="1:21" x14ac:dyDescent="0.35">
      <c r="A27" t="s">
        <v>10</v>
      </c>
      <c r="B27" t="s">
        <v>20</v>
      </c>
      <c r="C27" t="s">
        <v>47</v>
      </c>
      <c r="D27">
        <v>1100</v>
      </c>
      <c r="E27" t="s">
        <v>62</v>
      </c>
      <c r="F27" t="s">
        <v>64</v>
      </c>
      <c r="G27">
        <v>0.08</v>
      </c>
      <c r="H27" s="1">
        <v>44257</v>
      </c>
      <c r="I27" t="s">
        <v>95</v>
      </c>
      <c r="J27" t="s">
        <v>123</v>
      </c>
      <c r="K27" t="str">
        <f t="shared" si="0"/>
        <v>CHAS</v>
      </c>
      <c r="L27" t="str">
        <f t="shared" si="1"/>
        <v>US</v>
      </c>
      <c r="M27">
        <v>26</v>
      </c>
      <c r="N27" t="str">
        <f t="shared" si="4"/>
        <v>REFD543105110026</v>
      </c>
      <c r="O27" s="3">
        <f t="shared" si="5"/>
        <v>44257.508333333331</v>
      </c>
      <c r="P27">
        <f t="shared" si="2"/>
        <v>5</v>
      </c>
      <c r="Q27">
        <f>COUNTIF($N$2:$N$91,$N27)</f>
        <v>3</v>
      </c>
      <c r="R27" t="str">
        <f>VLOOKUP(N27,AvgTime!$A:$E,5,FALSE)</f>
        <v>Delay</v>
      </c>
      <c r="S27" s="7">
        <f>INDEX(Charges!$A$3:$S$48,MATCH('Sheet OS'!$N27,Charges!$A$3:$A$48,0),MATCH('Sheet OS'!$J27,Charges!$A$3:$S$3,0))</f>
        <v>88</v>
      </c>
      <c r="T27">
        <f t="shared" si="3"/>
        <v>3</v>
      </c>
      <c r="U27" t="str">
        <f>VLOOKUP(N27,'Last Status'!A:C,3,FALSE)</f>
        <v>COMPLETED</v>
      </c>
    </row>
    <row r="28" spans="1:21" x14ac:dyDescent="0.35">
      <c r="A28" t="s">
        <v>10</v>
      </c>
      <c r="B28" t="s">
        <v>20</v>
      </c>
      <c r="C28" t="s">
        <v>47</v>
      </c>
      <c r="D28">
        <v>1100</v>
      </c>
      <c r="E28" t="s">
        <v>62</v>
      </c>
      <c r="F28" t="s">
        <v>69</v>
      </c>
      <c r="G28">
        <v>0.01</v>
      </c>
      <c r="H28" s="1">
        <v>44257</v>
      </c>
      <c r="I28" t="s">
        <v>96</v>
      </c>
      <c r="J28" t="s">
        <v>125</v>
      </c>
      <c r="K28" t="str">
        <f t="shared" si="0"/>
        <v>FNRO</v>
      </c>
      <c r="L28" t="str">
        <f t="shared" si="1"/>
        <v>CN</v>
      </c>
      <c r="M28">
        <v>27</v>
      </c>
      <c r="N28" t="str">
        <f t="shared" si="4"/>
        <v>REFD543105110026</v>
      </c>
      <c r="O28" s="3">
        <f t="shared" si="5"/>
        <v>44257.571527777778</v>
      </c>
      <c r="P28">
        <f t="shared" si="2"/>
        <v>5</v>
      </c>
      <c r="Q28">
        <f>COUNTIF($N$2:$N$91,$N28)</f>
        <v>3</v>
      </c>
      <c r="R28" t="str">
        <f>VLOOKUP(N28,AvgTime!$A:$E,5,FALSE)</f>
        <v>Delay</v>
      </c>
      <c r="S28" s="7">
        <f>INDEX(Charges!$A$3:$S$48,MATCH('Sheet OS'!$N28,Charges!$A$3:$A$48,0),MATCH('Sheet OS'!$J28,Charges!$A$3:$S$3,0))</f>
        <v>10.120000000000001</v>
      </c>
      <c r="T28">
        <f t="shared" si="3"/>
        <v>3</v>
      </c>
      <c r="U28" t="str">
        <f>VLOOKUP(N28,'Last Status'!A:C,3,FALSE)</f>
        <v>COMPLETED</v>
      </c>
    </row>
    <row r="29" spans="1:21" x14ac:dyDescent="0.35">
      <c r="A29" t="s">
        <v>10</v>
      </c>
      <c r="B29" t="s">
        <v>20</v>
      </c>
      <c r="C29" t="s">
        <v>47</v>
      </c>
      <c r="D29">
        <v>1100</v>
      </c>
      <c r="E29" t="s">
        <v>62</v>
      </c>
      <c r="F29" t="s">
        <v>69</v>
      </c>
      <c r="G29">
        <v>0.02</v>
      </c>
      <c r="H29" s="1">
        <v>44258</v>
      </c>
      <c r="I29" t="s">
        <v>90</v>
      </c>
      <c r="J29" t="s">
        <v>124</v>
      </c>
      <c r="K29" t="str">
        <f t="shared" si="0"/>
        <v>FNRO</v>
      </c>
      <c r="L29" t="str">
        <f t="shared" si="1"/>
        <v>CN</v>
      </c>
      <c r="M29">
        <v>28</v>
      </c>
      <c r="N29" t="str">
        <f t="shared" si="4"/>
        <v>REFD543105110026</v>
      </c>
      <c r="O29" s="3">
        <f t="shared" si="5"/>
        <v>44258.756944444445</v>
      </c>
      <c r="P29">
        <f t="shared" si="2"/>
        <v>5</v>
      </c>
      <c r="Q29">
        <f>COUNTIF($N$2:$N$91,$N29)</f>
        <v>3</v>
      </c>
      <c r="R29" t="str">
        <f>VLOOKUP(N29,AvgTime!$A:$E,5,FALSE)</f>
        <v>Delay</v>
      </c>
      <c r="S29" s="7">
        <f>INDEX(Charges!$A$3:$S$48,MATCH('Sheet OS'!$N29,Charges!$A$3:$A$48,0),MATCH('Sheet OS'!$J29,Charges!$A$3:$S$3,0))</f>
        <v>20.037600000000001</v>
      </c>
      <c r="T29">
        <f t="shared" si="3"/>
        <v>3</v>
      </c>
      <c r="U29" t="str">
        <f>VLOOKUP(N29,'Last Status'!A:C,3,FALSE)</f>
        <v>COMPLETED</v>
      </c>
    </row>
    <row r="30" spans="1:21" x14ac:dyDescent="0.35">
      <c r="A30" t="s">
        <v>10</v>
      </c>
      <c r="B30" t="s">
        <v>21</v>
      </c>
      <c r="C30" t="s">
        <v>48</v>
      </c>
      <c r="D30">
        <v>900</v>
      </c>
      <c r="E30" t="s">
        <v>62</v>
      </c>
      <c r="F30" t="s">
        <v>64</v>
      </c>
      <c r="G30">
        <v>0.01</v>
      </c>
      <c r="H30" s="1">
        <v>44522</v>
      </c>
      <c r="I30" t="s">
        <v>97</v>
      </c>
      <c r="J30" t="s">
        <v>123</v>
      </c>
      <c r="K30" t="str">
        <f t="shared" si="0"/>
        <v>CHAS</v>
      </c>
      <c r="L30" t="str">
        <f t="shared" si="1"/>
        <v>US</v>
      </c>
      <c r="M30">
        <v>29</v>
      </c>
      <c r="N30" t="str">
        <f t="shared" si="4"/>
        <v>REFDEMO0190029</v>
      </c>
      <c r="O30" s="3">
        <f t="shared" si="5"/>
        <v>44522.466666666667</v>
      </c>
      <c r="P30">
        <f t="shared" si="2"/>
        <v>8</v>
      </c>
      <c r="Q30">
        <f>COUNTIF($N$2:$N$91,$N30)</f>
        <v>2</v>
      </c>
      <c r="R30" t="str">
        <f>VLOOKUP(N30,AvgTime!$A:$E,5,FALSE)</f>
        <v>Delay</v>
      </c>
      <c r="S30" s="7">
        <f>INDEX(Charges!$A$3:$S$48,MATCH('Sheet OS'!$N30,Charges!$A$3:$A$48,0),MATCH('Sheet OS'!$J30,Charges!$A$3:$S$3,0))</f>
        <v>9</v>
      </c>
      <c r="T30">
        <f t="shared" si="3"/>
        <v>11</v>
      </c>
      <c r="U30" t="str">
        <f>VLOOKUP(N30,'Last Status'!A:C,3,FALSE)</f>
        <v>COMPLETED</v>
      </c>
    </row>
    <row r="31" spans="1:21" x14ac:dyDescent="0.35">
      <c r="A31" t="s">
        <v>10</v>
      </c>
      <c r="B31" t="s">
        <v>21</v>
      </c>
      <c r="C31" t="s">
        <v>48</v>
      </c>
      <c r="D31">
        <v>900</v>
      </c>
      <c r="E31" t="s">
        <v>62</v>
      </c>
      <c r="F31" t="s">
        <v>68</v>
      </c>
      <c r="G31">
        <v>0.01</v>
      </c>
      <c r="H31" s="1">
        <v>44524</v>
      </c>
      <c r="I31" t="s">
        <v>98</v>
      </c>
      <c r="J31" t="s">
        <v>124</v>
      </c>
      <c r="K31" t="str">
        <f t="shared" si="0"/>
        <v>REDJ</v>
      </c>
      <c r="L31" t="str">
        <f t="shared" si="1"/>
        <v>BY</v>
      </c>
      <c r="M31">
        <v>30</v>
      </c>
      <c r="N31" t="str">
        <f t="shared" si="4"/>
        <v>REFDEMO0190029</v>
      </c>
      <c r="O31" s="3">
        <f t="shared" si="5"/>
        <v>44524.613888888889</v>
      </c>
      <c r="P31">
        <f t="shared" si="2"/>
        <v>8</v>
      </c>
      <c r="Q31">
        <f>COUNTIF($N$2:$N$91,$N31)</f>
        <v>2</v>
      </c>
      <c r="R31" t="str">
        <f>VLOOKUP(N31,AvgTime!$A:$E,5,FALSE)</f>
        <v>Delay</v>
      </c>
      <c r="S31" s="7">
        <f>INDEX(Charges!$A$3:$S$48,MATCH('Sheet OS'!$N31,Charges!$A$3:$A$48,0),MATCH('Sheet OS'!$J31,Charges!$A$3:$S$3,0))</f>
        <v>8.91</v>
      </c>
      <c r="T31">
        <f t="shared" si="3"/>
        <v>11</v>
      </c>
      <c r="U31" t="str">
        <f>VLOOKUP(N31,'Last Status'!A:C,3,FALSE)</f>
        <v>COMPLETED</v>
      </c>
    </row>
    <row r="32" spans="1:21" x14ac:dyDescent="0.35">
      <c r="A32" t="s">
        <v>10</v>
      </c>
      <c r="B32" t="s">
        <v>22</v>
      </c>
      <c r="C32" t="s">
        <v>48</v>
      </c>
      <c r="D32">
        <v>1025</v>
      </c>
      <c r="E32" t="s">
        <v>62</v>
      </c>
      <c r="F32" t="s">
        <v>64</v>
      </c>
      <c r="G32">
        <v>0.02</v>
      </c>
      <c r="H32" s="1">
        <v>44520</v>
      </c>
      <c r="I32" t="s">
        <v>85</v>
      </c>
      <c r="J32" t="s">
        <v>123</v>
      </c>
      <c r="K32" t="str">
        <f t="shared" si="0"/>
        <v>CHAS</v>
      </c>
      <c r="L32" t="str">
        <f t="shared" si="1"/>
        <v>US</v>
      </c>
      <c r="M32">
        <v>31</v>
      </c>
      <c r="N32" t="str">
        <f t="shared" si="4"/>
        <v>REFDEMO01102531</v>
      </c>
      <c r="O32" s="3">
        <f t="shared" si="5"/>
        <v>44520.432638888888</v>
      </c>
      <c r="P32">
        <f t="shared" si="2"/>
        <v>8</v>
      </c>
      <c r="Q32">
        <f>COUNTIF($N$2:$N$91,$N32)</f>
        <v>2</v>
      </c>
      <c r="R32" t="str">
        <f>VLOOKUP(N32,AvgTime!$A:$E,5,FALSE)</f>
        <v>Delay</v>
      </c>
      <c r="S32" s="7">
        <f>INDEX(Charges!$A$3:$S$48,MATCH('Sheet OS'!$N32,Charges!$A$3:$A$48,0),MATCH('Sheet OS'!$J32,Charges!$A$3:$S$3,0))</f>
        <v>20.5</v>
      </c>
      <c r="T32">
        <f t="shared" si="3"/>
        <v>11</v>
      </c>
      <c r="U32" t="str">
        <f>VLOOKUP(N32,'Last Status'!A:C,3,FALSE)</f>
        <v>COMPLETED</v>
      </c>
    </row>
    <row r="33" spans="1:21" x14ac:dyDescent="0.35">
      <c r="A33" t="s">
        <v>10</v>
      </c>
      <c r="B33" t="s">
        <v>22</v>
      </c>
      <c r="C33" t="s">
        <v>48</v>
      </c>
      <c r="D33">
        <v>1025</v>
      </c>
      <c r="E33" t="s">
        <v>62</v>
      </c>
      <c r="F33" t="s">
        <v>68</v>
      </c>
      <c r="G33">
        <v>0.01</v>
      </c>
      <c r="H33" s="1">
        <v>44521</v>
      </c>
      <c r="I33" t="s">
        <v>99</v>
      </c>
      <c r="J33" t="s">
        <v>124</v>
      </c>
      <c r="K33" t="str">
        <f t="shared" si="0"/>
        <v>REDJ</v>
      </c>
      <c r="L33" t="str">
        <f t="shared" si="1"/>
        <v>BY</v>
      </c>
      <c r="M33">
        <v>32</v>
      </c>
      <c r="N33" t="str">
        <f t="shared" si="4"/>
        <v>REFDEMO01102531</v>
      </c>
      <c r="O33" s="3">
        <f t="shared" si="5"/>
        <v>44521.480555555558</v>
      </c>
      <c r="P33">
        <f t="shared" si="2"/>
        <v>8</v>
      </c>
      <c r="Q33">
        <f>COUNTIF($N$2:$N$91,$N33)</f>
        <v>2</v>
      </c>
      <c r="R33" t="str">
        <f>VLOOKUP(N33,AvgTime!$A:$E,5,FALSE)</f>
        <v>Delay</v>
      </c>
      <c r="S33" s="7">
        <f>INDEX(Charges!$A$3:$S$48,MATCH('Sheet OS'!$N33,Charges!$A$3:$A$48,0),MATCH('Sheet OS'!$J33,Charges!$A$3:$S$3,0))</f>
        <v>10.045</v>
      </c>
      <c r="T33">
        <f t="shared" si="3"/>
        <v>11</v>
      </c>
      <c r="U33" t="str">
        <f>VLOOKUP(N33,'Last Status'!A:C,3,FALSE)</f>
        <v>COMPLETED</v>
      </c>
    </row>
    <row r="34" spans="1:21" x14ac:dyDescent="0.35">
      <c r="A34" t="s">
        <v>10</v>
      </c>
      <c r="B34" t="s">
        <v>23</v>
      </c>
      <c r="C34" t="s">
        <v>49</v>
      </c>
      <c r="D34">
        <v>238</v>
      </c>
      <c r="E34" t="s">
        <v>62</v>
      </c>
      <c r="F34" t="s">
        <v>64</v>
      </c>
      <c r="G34">
        <v>0.08</v>
      </c>
      <c r="H34" s="1">
        <v>44211</v>
      </c>
      <c r="I34" t="s">
        <v>90</v>
      </c>
      <c r="J34" t="s">
        <v>123</v>
      </c>
      <c r="K34" t="str">
        <f t="shared" si="0"/>
        <v>CHAS</v>
      </c>
      <c r="L34" t="str">
        <f t="shared" si="1"/>
        <v>US</v>
      </c>
      <c r="M34">
        <v>33</v>
      </c>
      <c r="N34" t="str">
        <f t="shared" si="4"/>
        <v>REFDEM01223833</v>
      </c>
      <c r="O34" s="3">
        <f t="shared" si="5"/>
        <v>44211.756944444445</v>
      </c>
      <c r="P34">
        <f t="shared" si="2"/>
        <v>2</v>
      </c>
      <c r="Q34">
        <f>COUNTIF($N$2:$N$91,$N34)</f>
        <v>2</v>
      </c>
      <c r="R34" t="str">
        <f>VLOOKUP(N34,AvgTime!$A:$E,5,FALSE)</f>
        <v>NotCompleted</v>
      </c>
      <c r="S34" s="7">
        <f>INDEX(Charges!$A$3:$S$48,MATCH('Sheet OS'!$N34,Charges!$A$3:$A$48,0),MATCH('Sheet OS'!$J34,Charges!$A$3:$S$3,0))</f>
        <v>19.04</v>
      </c>
      <c r="T34">
        <f t="shared" si="3"/>
        <v>1</v>
      </c>
      <c r="U34" t="str">
        <f>VLOOKUP(N34,'Last Status'!A:C,3,FALSE)</f>
        <v>NEW</v>
      </c>
    </row>
    <row r="35" spans="1:21" x14ac:dyDescent="0.35">
      <c r="A35" t="s">
        <v>10</v>
      </c>
      <c r="B35" t="s">
        <v>23</v>
      </c>
      <c r="C35" t="s">
        <v>49</v>
      </c>
      <c r="D35">
        <v>238</v>
      </c>
      <c r="E35" t="s">
        <v>62</v>
      </c>
      <c r="F35" t="s">
        <v>64</v>
      </c>
      <c r="G35">
        <v>0.08</v>
      </c>
      <c r="H35" s="1">
        <v>44211</v>
      </c>
      <c r="I35" t="s">
        <v>88</v>
      </c>
      <c r="J35" t="s">
        <v>128</v>
      </c>
      <c r="K35" t="str">
        <f t="shared" si="0"/>
        <v>CHAS</v>
      </c>
      <c r="L35" t="str">
        <f t="shared" si="1"/>
        <v>US</v>
      </c>
      <c r="M35">
        <v>34</v>
      </c>
      <c r="N35" t="str">
        <f t="shared" si="4"/>
        <v>REFDEM01223833</v>
      </c>
      <c r="O35" s="3">
        <f t="shared" si="5"/>
        <v>44211.529861111114</v>
      </c>
      <c r="P35">
        <f t="shared" si="2"/>
        <v>2</v>
      </c>
      <c r="Q35">
        <f>COUNTIF($N$2:$N$91,$N35)</f>
        <v>2</v>
      </c>
      <c r="R35" t="str">
        <f>VLOOKUP(N35,AvgTime!$A:$E,5,FALSE)</f>
        <v>NotCompleted</v>
      </c>
      <c r="S35" s="7">
        <f>INDEX(Charges!$A$3:$S$48,MATCH('Sheet OS'!$N35,Charges!$A$3:$A$48,0),MATCH('Sheet OS'!$J35,Charges!$A$3:$S$3,0))</f>
        <v>17.5168</v>
      </c>
      <c r="T35">
        <f t="shared" si="3"/>
        <v>1</v>
      </c>
      <c r="U35" t="str">
        <f>VLOOKUP(N35,'Last Status'!A:C,3,FALSE)</f>
        <v>NEW</v>
      </c>
    </row>
    <row r="36" spans="1:21" x14ac:dyDescent="0.35">
      <c r="A36" t="s">
        <v>10</v>
      </c>
      <c r="B36" t="s">
        <v>24</v>
      </c>
      <c r="C36" t="s">
        <v>50</v>
      </c>
      <c r="D36">
        <v>6709</v>
      </c>
      <c r="E36" t="s">
        <v>62</v>
      </c>
      <c r="F36" t="s">
        <v>64</v>
      </c>
      <c r="G36">
        <v>0.01</v>
      </c>
      <c r="H36" s="1">
        <v>44209</v>
      </c>
      <c r="I36" t="s">
        <v>91</v>
      </c>
      <c r="J36" t="s">
        <v>123</v>
      </c>
      <c r="K36" t="str">
        <f t="shared" si="0"/>
        <v>CHAS</v>
      </c>
      <c r="L36" t="str">
        <f t="shared" si="1"/>
        <v>US</v>
      </c>
      <c r="M36">
        <v>35</v>
      </c>
      <c r="N36" t="str">
        <f t="shared" si="4"/>
        <v>REFDEM9992670935</v>
      </c>
      <c r="O36" s="3">
        <f t="shared" si="5"/>
        <v>44209.605555555558</v>
      </c>
      <c r="P36">
        <f t="shared" si="2"/>
        <v>2</v>
      </c>
      <c r="Q36">
        <f>COUNTIF($N$2:$N$91,$N36)</f>
        <v>2</v>
      </c>
      <c r="R36" t="str">
        <f>VLOOKUP(N36,AvgTime!$A:$E,5,FALSE)</f>
        <v>Less than 24h</v>
      </c>
      <c r="S36" s="7">
        <f>INDEX(Charges!$A$3:$S$48,MATCH('Sheet OS'!$N36,Charges!$A$3:$A$48,0),MATCH('Sheet OS'!$J36,Charges!$A$3:$S$3,0))</f>
        <v>67.09</v>
      </c>
      <c r="T36">
        <f t="shared" si="3"/>
        <v>1</v>
      </c>
      <c r="U36" t="str">
        <f>VLOOKUP(N36,'Last Status'!A:C,3,FALSE)</f>
        <v>NEW</v>
      </c>
    </row>
    <row r="37" spans="1:21" x14ac:dyDescent="0.35">
      <c r="A37" t="s">
        <v>10</v>
      </c>
      <c r="B37" t="s">
        <v>24</v>
      </c>
      <c r="C37" t="s">
        <v>50</v>
      </c>
      <c r="D37">
        <v>6709</v>
      </c>
      <c r="E37" t="s">
        <v>63</v>
      </c>
      <c r="F37" t="s">
        <v>70</v>
      </c>
      <c r="G37">
        <v>0.03</v>
      </c>
      <c r="H37" s="1">
        <v>44209</v>
      </c>
      <c r="I37" t="s">
        <v>91</v>
      </c>
      <c r="J37" t="s">
        <v>124</v>
      </c>
      <c r="K37" t="str">
        <f t="shared" si="0"/>
        <v>FINV</v>
      </c>
      <c r="L37" t="str">
        <f t="shared" si="1"/>
        <v>AL</v>
      </c>
      <c r="M37">
        <v>36</v>
      </c>
      <c r="N37" t="str">
        <f t="shared" si="4"/>
        <v>REFDEM9992670935</v>
      </c>
      <c r="O37" s="3">
        <f t="shared" si="5"/>
        <v>44209.605555555558</v>
      </c>
      <c r="P37">
        <f t="shared" si="2"/>
        <v>2</v>
      </c>
      <c r="Q37">
        <f>COUNTIF($N$2:$N$91,$N37)</f>
        <v>2</v>
      </c>
      <c r="R37" t="str">
        <f>VLOOKUP(N37,AvgTime!$A:$E,5,FALSE)</f>
        <v>Less than 24h</v>
      </c>
      <c r="S37" s="7">
        <f>INDEX(Charges!$A$3:$S$48,MATCH('Sheet OS'!$N37,Charges!$A$3:$A$48,0),MATCH('Sheet OS'!$J37,Charges!$A$3:$S$3,0))</f>
        <v>199.25729999999999</v>
      </c>
      <c r="T37">
        <f t="shared" si="3"/>
        <v>1</v>
      </c>
      <c r="U37" t="str">
        <f>VLOOKUP(N37,'Last Status'!A:C,3,FALSE)</f>
        <v>NEW</v>
      </c>
    </row>
    <row r="38" spans="1:21" x14ac:dyDescent="0.35">
      <c r="A38" t="s">
        <v>10</v>
      </c>
      <c r="B38" t="s">
        <v>25</v>
      </c>
      <c r="C38" t="s">
        <v>51</v>
      </c>
      <c r="D38">
        <v>5188</v>
      </c>
      <c r="E38" t="s">
        <v>63</v>
      </c>
      <c r="F38" t="s">
        <v>64</v>
      </c>
      <c r="G38">
        <v>0.01</v>
      </c>
      <c r="H38" s="1">
        <v>44210</v>
      </c>
      <c r="I38" t="s">
        <v>93</v>
      </c>
      <c r="J38" t="s">
        <v>123</v>
      </c>
      <c r="K38" t="str">
        <f t="shared" si="0"/>
        <v>CHAS</v>
      </c>
      <c r="L38" t="str">
        <f t="shared" si="1"/>
        <v>US</v>
      </c>
      <c r="M38">
        <v>37</v>
      </c>
      <c r="N38" t="str">
        <f t="shared" si="4"/>
        <v>REFDEM0091518837</v>
      </c>
      <c r="O38" s="3">
        <f t="shared" si="5"/>
        <v>44210.654861111114</v>
      </c>
      <c r="P38">
        <f t="shared" si="2"/>
        <v>2</v>
      </c>
      <c r="Q38">
        <f>COUNTIF($N$2:$N$91,$N38)</f>
        <v>2</v>
      </c>
      <c r="R38" t="str">
        <f>VLOOKUP(N38,AvgTime!$A:$E,5,FALSE)</f>
        <v>Less than 24h</v>
      </c>
      <c r="S38" s="7">
        <f>INDEX(Charges!$A$3:$S$48,MATCH('Sheet OS'!$N38,Charges!$A$3:$A$48,0),MATCH('Sheet OS'!$J38,Charges!$A$3:$S$3,0))</f>
        <v>51.88</v>
      </c>
      <c r="T38">
        <f t="shared" si="3"/>
        <v>1</v>
      </c>
      <c r="U38" t="str">
        <f>VLOOKUP(N38,'Last Status'!A:C,3,FALSE)</f>
        <v>NEW</v>
      </c>
    </row>
    <row r="39" spans="1:21" x14ac:dyDescent="0.35">
      <c r="A39" t="s">
        <v>10</v>
      </c>
      <c r="B39" t="s">
        <v>25</v>
      </c>
      <c r="C39" t="s">
        <v>51</v>
      </c>
      <c r="D39">
        <v>5188</v>
      </c>
      <c r="E39" t="s">
        <v>63</v>
      </c>
      <c r="F39" t="s">
        <v>71</v>
      </c>
      <c r="G39">
        <v>0.01</v>
      </c>
      <c r="H39" s="1">
        <v>44210</v>
      </c>
      <c r="I39" t="s">
        <v>93</v>
      </c>
      <c r="J39" t="s">
        <v>124</v>
      </c>
      <c r="K39" t="str">
        <f t="shared" si="0"/>
        <v>TSIB</v>
      </c>
      <c r="L39" t="str">
        <f t="shared" si="1"/>
        <v>AU</v>
      </c>
      <c r="M39">
        <v>38</v>
      </c>
      <c r="N39" t="str">
        <f t="shared" si="4"/>
        <v>REFDEM0091518837</v>
      </c>
      <c r="O39" s="3">
        <f t="shared" si="5"/>
        <v>44210.654861111114</v>
      </c>
      <c r="P39">
        <f t="shared" si="2"/>
        <v>2</v>
      </c>
      <c r="Q39">
        <f>COUNTIF($N$2:$N$91,$N39)</f>
        <v>2</v>
      </c>
      <c r="R39" t="str">
        <f>VLOOKUP(N39,AvgTime!$A:$E,5,FALSE)</f>
        <v>Less than 24h</v>
      </c>
      <c r="S39" s="7">
        <f>INDEX(Charges!$A$3:$S$48,MATCH('Sheet OS'!$N39,Charges!$A$3:$A$48,0),MATCH('Sheet OS'!$J39,Charges!$A$3:$S$3,0))</f>
        <v>51.361199999999997</v>
      </c>
      <c r="T39">
        <f t="shared" si="3"/>
        <v>1</v>
      </c>
      <c r="U39" t="str">
        <f>VLOOKUP(N39,'Last Status'!A:C,3,FALSE)</f>
        <v>NEW</v>
      </c>
    </row>
    <row r="40" spans="1:21" x14ac:dyDescent="0.35">
      <c r="A40" t="s">
        <v>10</v>
      </c>
      <c r="B40" t="s">
        <v>26</v>
      </c>
      <c r="C40" t="s">
        <v>52</v>
      </c>
      <c r="D40">
        <v>120</v>
      </c>
      <c r="E40" t="s">
        <v>62</v>
      </c>
      <c r="F40" t="s">
        <v>64</v>
      </c>
      <c r="G40">
        <v>0.01</v>
      </c>
      <c r="H40" s="1">
        <v>44201</v>
      </c>
      <c r="I40" t="s">
        <v>95</v>
      </c>
      <c r="J40" t="s">
        <v>123</v>
      </c>
      <c r="K40" t="str">
        <f t="shared" si="0"/>
        <v>CHAS</v>
      </c>
      <c r="L40" t="str">
        <f t="shared" si="1"/>
        <v>US</v>
      </c>
      <c r="M40">
        <v>39</v>
      </c>
      <c r="N40" t="str">
        <f t="shared" si="4"/>
        <v>REFDEM559112039</v>
      </c>
      <c r="O40" s="3">
        <f t="shared" si="5"/>
        <v>44201.508333333331</v>
      </c>
      <c r="P40">
        <f t="shared" si="2"/>
        <v>5</v>
      </c>
      <c r="Q40">
        <f>COUNTIF($N$2:$N$91,$N40)</f>
        <v>3</v>
      </c>
      <c r="R40" t="str">
        <f>VLOOKUP(N40,AvgTime!$A:$E,5,FALSE)</f>
        <v>Less than 24h</v>
      </c>
      <c r="S40" s="7">
        <f>INDEX(Charges!$A$3:$S$48,MATCH('Sheet OS'!$N40,Charges!$A$3:$A$48,0),MATCH('Sheet OS'!$J40,Charges!$A$3:$S$3,0))</f>
        <v>1.2</v>
      </c>
      <c r="T40">
        <f t="shared" si="3"/>
        <v>1</v>
      </c>
      <c r="U40" t="str">
        <f>VLOOKUP(N40,'Last Status'!A:C,3,FALSE)</f>
        <v>DELIVERED</v>
      </c>
    </row>
    <row r="41" spans="1:21" x14ac:dyDescent="0.35">
      <c r="A41" t="s">
        <v>10</v>
      </c>
      <c r="B41" t="s">
        <v>26</v>
      </c>
      <c r="C41" t="s">
        <v>52</v>
      </c>
      <c r="D41">
        <v>120</v>
      </c>
      <c r="E41" t="s">
        <v>62</v>
      </c>
      <c r="F41" t="s">
        <v>70</v>
      </c>
      <c r="G41">
        <v>0.01</v>
      </c>
      <c r="H41" s="1">
        <v>44201</v>
      </c>
      <c r="I41" t="s">
        <v>100</v>
      </c>
      <c r="J41" t="s">
        <v>125</v>
      </c>
      <c r="K41" t="str">
        <f t="shared" si="0"/>
        <v>FINV</v>
      </c>
      <c r="L41" t="str">
        <f t="shared" si="1"/>
        <v>AL</v>
      </c>
      <c r="M41">
        <v>40</v>
      </c>
      <c r="N41" t="str">
        <f t="shared" si="4"/>
        <v>REFDEM559112039</v>
      </c>
      <c r="O41" s="3">
        <f t="shared" si="5"/>
        <v>44201.513194444444</v>
      </c>
      <c r="P41">
        <f t="shared" si="2"/>
        <v>5</v>
      </c>
      <c r="Q41">
        <f>COUNTIF($N$2:$N$91,$N41)</f>
        <v>3</v>
      </c>
      <c r="R41" t="str">
        <f>VLOOKUP(N41,AvgTime!$A:$E,5,FALSE)</f>
        <v>Less than 24h</v>
      </c>
      <c r="S41" s="7">
        <f>INDEX(Charges!$A$3:$S$48,MATCH('Sheet OS'!$N41,Charges!$A$3:$A$48,0),MATCH('Sheet OS'!$J41,Charges!$A$3:$S$3,0))</f>
        <v>1.1879999999999999</v>
      </c>
      <c r="T41">
        <f t="shared" si="3"/>
        <v>1</v>
      </c>
      <c r="U41" t="str">
        <f>VLOOKUP(N41,'Last Status'!A:C,3,FALSE)</f>
        <v>DELIVERED</v>
      </c>
    </row>
    <row r="42" spans="1:21" x14ac:dyDescent="0.35">
      <c r="A42" t="s">
        <v>10</v>
      </c>
      <c r="B42" t="s">
        <v>26</v>
      </c>
      <c r="C42" t="s">
        <v>52</v>
      </c>
      <c r="D42">
        <v>120</v>
      </c>
      <c r="E42" t="s">
        <v>62</v>
      </c>
      <c r="F42" t="s">
        <v>71</v>
      </c>
      <c r="G42">
        <v>0.01</v>
      </c>
      <c r="H42" s="1">
        <v>44201</v>
      </c>
      <c r="I42" t="s">
        <v>101</v>
      </c>
      <c r="J42" t="s">
        <v>126</v>
      </c>
      <c r="K42" t="str">
        <f t="shared" si="0"/>
        <v>TSIB</v>
      </c>
      <c r="L42" t="str">
        <f t="shared" si="1"/>
        <v>AU</v>
      </c>
      <c r="M42">
        <v>41</v>
      </c>
      <c r="N42" t="str">
        <f t="shared" si="4"/>
        <v>REFDEM559112039</v>
      </c>
      <c r="O42" s="3">
        <f t="shared" si="5"/>
        <v>44201.722222222219</v>
      </c>
      <c r="P42">
        <f t="shared" si="2"/>
        <v>5</v>
      </c>
      <c r="Q42">
        <f>COUNTIF($N$2:$N$91,$N42)</f>
        <v>3</v>
      </c>
      <c r="R42" t="str">
        <f>VLOOKUP(N42,AvgTime!$A:$E,5,FALSE)</f>
        <v>Less than 24h</v>
      </c>
      <c r="S42" s="7">
        <f>INDEX(Charges!$A$3:$S$48,MATCH('Sheet OS'!$N42,Charges!$A$3:$A$48,0),MATCH('Sheet OS'!$J42,Charges!$A$3:$S$3,0))</f>
        <v>1.1761200000000001</v>
      </c>
      <c r="T42">
        <f t="shared" si="3"/>
        <v>1</v>
      </c>
      <c r="U42" t="str">
        <f>VLOOKUP(N42,'Last Status'!A:C,3,FALSE)</f>
        <v>DELIVERED</v>
      </c>
    </row>
    <row r="43" spans="1:21" x14ac:dyDescent="0.35">
      <c r="A43" t="s">
        <v>10</v>
      </c>
      <c r="B43" t="s">
        <v>27</v>
      </c>
      <c r="C43" t="s">
        <v>52</v>
      </c>
      <c r="D43">
        <v>6720</v>
      </c>
      <c r="E43" t="s">
        <v>63</v>
      </c>
      <c r="F43" t="s">
        <v>64</v>
      </c>
      <c r="G43">
        <v>0.02</v>
      </c>
      <c r="H43" s="1">
        <v>44224</v>
      </c>
      <c r="I43" t="s">
        <v>102</v>
      </c>
      <c r="J43" t="s">
        <v>123</v>
      </c>
      <c r="K43" t="str">
        <f t="shared" si="0"/>
        <v>CHAS</v>
      </c>
      <c r="L43" t="str">
        <f t="shared" si="1"/>
        <v>US</v>
      </c>
      <c r="M43">
        <v>42</v>
      </c>
      <c r="N43" t="str">
        <f t="shared" si="4"/>
        <v>REFDEM5591672042</v>
      </c>
      <c r="O43" s="3">
        <f t="shared" si="5"/>
        <v>44224.557638888888</v>
      </c>
      <c r="P43">
        <f t="shared" si="2"/>
        <v>5</v>
      </c>
      <c r="Q43">
        <f>COUNTIF($N$2:$N$91,$N43)</f>
        <v>2</v>
      </c>
      <c r="R43" t="str">
        <f>VLOOKUP(N43,AvgTime!$A:$E,5,FALSE)</f>
        <v>Less than 24h</v>
      </c>
      <c r="S43" s="7">
        <f>INDEX(Charges!$A$3:$S$48,MATCH('Sheet OS'!$N43,Charges!$A$3:$A$48,0),MATCH('Sheet OS'!$J43,Charges!$A$3:$S$3,0))</f>
        <v>134.4</v>
      </c>
      <c r="T43">
        <f t="shared" si="3"/>
        <v>1</v>
      </c>
      <c r="U43" t="str">
        <f>VLOOKUP(N43,'Last Status'!A:C,3,FALSE)</f>
        <v>COMPLETED</v>
      </c>
    </row>
    <row r="44" spans="1:21" x14ac:dyDescent="0.35">
      <c r="A44" t="s">
        <v>10</v>
      </c>
      <c r="B44" t="s">
        <v>27</v>
      </c>
      <c r="C44" t="s">
        <v>52</v>
      </c>
      <c r="D44">
        <v>6720</v>
      </c>
      <c r="E44" t="s">
        <v>63</v>
      </c>
      <c r="F44" t="s">
        <v>69</v>
      </c>
      <c r="G44">
        <v>0.02</v>
      </c>
      <c r="H44" s="1">
        <v>44224</v>
      </c>
      <c r="I44" t="s">
        <v>103</v>
      </c>
      <c r="J44" t="s">
        <v>124</v>
      </c>
      <c r="K44" t="str">
        <f t="shared" si="0"/>
        <v>FNRO</v>
      </c>
      <c r="L44" t="str">
        <f t="shared" si="1"/>
        <v>CN</v>
      </c>
      <c r="M44">
        <v>43</v>
      </c>
      <c r="N44" t="str">
        <f t="shared" si="4"/>
        <v>REFDEM5591672042</v>
      </c>
      <c r="O44" s="3">
        <f t="shared" si="5"/>
        <v>44224.798611111109</v>
      </c>
      <c r="P44">
        <f t="shared" si="2"/>
        <v>5</v>
      </c>
      <c r="Q44">
        <f>COUNTIF($N$2:$N$91,$N44)</f>
        <v>2</v>
      </c>
      <c r="R44" t="str">
        <f>VLOOKUP(N44,AvgTime!$A:$E,5,FALSE)</f>
        <v>Less than 24h</v>
      </c>
      <c r="S44" s="7">
        <f>INDEX(Charges!$A$3:$S$48,MATCH('Sheet OS'!$N44,Charges!$A$3:$A$48,0),MATCH('Sheet OS'!$J44,Charges!$A$3:$S$3,0))</f>
        <v>131.71200000000002</v>
      </c>
      <c r="T44">
        <f t="shared" si="3"/>
        <v>1</v>
      </c>
      <c r="U44" t="str">
        <f>VLOOKUP(N44,'Last Status'!A:C,3,FALSE)</f>
        <v>COMPLETED</v>
      </c>
    </row>
    <row r="45" spans="1:21" x14ac:dyDescent="0.35">
      <c r="A45" t="s">
        <v>10</v>
      </c>
      <c r="B45" t="s">
        <v>28</v>
      </c>
      <c r="C45" t="s">
        <v>53</v>
      </c>
      <c r="D45">
        <v>67569</v>
      </c>
      <c r="E45" t="s">
        <v>63</v>
      </c>
      <c r="F45" t="s">
        <v>64</v>
      </c>
      <c r="G45">
        <v>0.01</v>
      </c>
      <c r="H45" s="1">
        <v>44209</v>
      </c>
      <c r="I45" t="s">
        <v>104</v>
      </c>
      <c r="J45" t="s">
        <v>123</v>
      </c>
      <c r="K45" t="str">
        <f t="shared" si="0"/>
        <v>CHAS</v>
      </c>
      <c r="L45" t="str">
        <f t="shared" si="1"/>
        <v>US</v>
      </c>
      <c r="M45">
        <v>44</v>
      </c>
      <c r="N45" t="str">
        <f t="shared" si="4"/>
        <v>REFD100926756944</v>
      </c>
      <c r="O45" s="3">
        <f t="shared" si="5"/>
        <v>44209.474305555559</v>
      </c>
      <c r="P45">
        <f t="shared" si="2"/>
        <v>2</v>
      </c>
      <c r="Q45">
        <f>COUNTIF($N$2:$N$91,$N45)</f>
        <v>2</v>
      </c>
      <c r="R45" t="str">
        <f>VLOOKUP(N45,AvgTime!$A:$E,5,FALSE)</f>
        <v>Less than 24h</v>
      </c>
      <c r="S45" s="7">
        <f>INDEX(Charges!$A$3:$S$48,MATCH('Sheet OS'!$N45,Charges!$A$3:$A$48,0),MATCH('Sheet OS'!$J45,Charges!$A$3:$S$3,0))</f>
        <v>675.69</v>
      </c>
      <c r="T45">
        <f t="shared" si="3"/>
        <v>1</v>
      </c>
      <c r="U45" t="str">
        <f>VLOOKUP(N45,'Last Status'!A:C,3,FALSE)</f>
        <v>COMPLETED</v>
      </c>
    </row>
    <row r="46" spans="1:21" x14ac:dyDescent="0.35">
      <c r="A46" t="s">
        <v>10</v>
      </c>
      <c r="B46" t="s">
        <v>28</v>
      </c>
      <c r="C46" t="s">
        <v>53</v>
      </c>
      <c r="D46">
        <v>67569</v>
      </c>
      <c r="E46" t="s">
        <v>63</v>
      </c>
      <c r="F46" t="s">
        <v>68</v>
      </c>
      <c r="G46">
        <v>0.01</v>
      </c>
      <c r="H46" s="1">
        <v>44209</v>
      </c>
      <c r="I46" t="s">
        <v>75</v>
      </c>
      <c r="J46" t="s">
        <v>124</v>
      </c>
      <c r="K46" t="str">
        <f t="shared" si="0"/>
        <v>REDJ</v>
      </c>
      <c r="L46" t="str">
        <f t="shared" si="1"/>
        <v>BY</v>
      </c>
      <c r="M46">
        <v>45</v>
      </c>
      <c r="N46" t="str">
        <f t="shared" si="4"/>
        <v>REFD100926756944</v>
      </c>
      <c r="O46" s="3">
        <f t="shared" si="5"/>
        <v>44209.53125</v>
      </c>
      <c r="P46">
        <f t="shared" si="2"/>
        <v>2</v>
      </c>
      <c r="Q46">
        <f>COUNTIF($N$2:$N$91,$N46)</f>
        <v>2</v>
      </c>
      <c r="R46" t="str">
        <f>VLOOKUP(N46,AvgTime!$A:$E,5,FALSE)</f>
        <v>Less than 24h</v>
      </c>
      <c r="S46" s="7">
        <f>INDEX(Charges!$A$3:$S$48,MATCH('Sheet OS'!$N46,Charges!$A$3:$A$48,0),MATCH('Sheet OS'!$J46,Charges!$A$3:$S$3,0))</f>
        <v>668.93309999999997</v>
      </c>
      <c r="T46">
        <f t="shared" si="3"/>
        <v>1</v>
      </c>
      <c r="U46" t="str">
        <f>VLOOKUP(N46,'Last Status'!A:C,3,FALSE)</f>
        <v>COMPLETED</v>
      </c>
    </row>
    <row r="47" spans="1:21" x14ac:dyDescent="0.35">
      <c r="A47" t="s">
        <v>10</v>
      </c>
      <c r="B47" t="s">
        <v>29</v>
      </c>
      <c r="C47" t="s">
        <v>54</v>
      </c>
      <c r="D47">
        <v>2100</v>
      </c>
      <c r="E47" t="s">
        <v>62</v>
      </c>
      <c r="F47" t="s">
        <v>64</v>
      </c>
      <c r="G47">
        <v>0.02</v>
      </c>
      <c r="H47" s="1">
        <v>44277</v>
      </c>
      <c r="I47" t="s">
        <v>105</v>
      </c>
      <c r="J47" t="s">
        <v>123</v>
      </c>
      <c r="K47" t="str">
        <f t="shared" si="0"/>
        <v>CHAS</v>
      </c>
      <c r="L47" t="str">
        <f t="shared" si="1"/>
        <v>US</v>
      </c>
      <c r="M47">
        <v>46</v>
      </c>
      <c r="N47" t="str">
        <f t="shared" si="4"/>
        <v>REF201210046</v>
      </c>
      <c r="O47" s="3">
        <f t="shared" si="5"/>
        <v>44277.591666666667</v>
      </c>
      <c r="P47">
        <f t="shared" si="2"/>
        <v>2</v>
      </c>
      <c r="Q47">
        <f>COUNTIF($N$2:$N$91,$N47)</f>
        <v>2</v>
      </c>
      <c r="R47" t="str">
        <f>VLOOKUP(N47,AvgTime!$A:$E,5,FALSE)</f>
        <v>Less than 24h</v>
      </c>
      <c r="S47" s="7">
        <f>INDEX(Charges!$A$3:$S$48,MATCH('Sheet OS'!$N47,Charges!$A$3:$A$48,0),MATCH('Sheet OS'!$J47,Charges!$A$3:$S$3,0))</f>
        <v>42</v>
      </c>
      <c r="T47">
        <f t="shared" si="3"/>
        <v>3</v>
      </c>
      <c r="U47" t="str">
        <f>VLOOKUP(N47,'Last Status'!A:C,3,FALSE)</f>
        <v>COMPLETED</v>
      </c>
    </row>
    <row r="48" spans="1:21" x14ac:dyDescent="0.35">
      <c r="A48" t="s">
        <v>10</v>
      </c>
      <c r="B48" t="s">
        <v>29</v>
      </c>
      <c r="C48" t="s">
        <v>54</v>
      </c>
      <c r="D48">
        <v>2100</v>
      </c>
      <c r="E48" t="s">
        <v>62</v>
      </c>
      <c r="F48" t="s">
        <v>69</v>
      </c>
      <c r="G48">
        <v>0.02</v>
      </c>
      <c r="H48" s="1">
        <v>44277</v>
      </c>
      <c r="I48" t="s">
        <v>106</v>
      </c>
      <c r="J48" t="s">
        <v>124</v>
      </c>
      <c r="K48" t="str">
        <f t="shared" si="0"/>
        <v>FNRO</v>
      </c>
      <c r="L48" t="str">
        <f t="shared" si="1"/>
        <v>CN</v>
      </c>
      <c r="M48">
        <v>47</v>
      </c>
      <c r="N48" t="str">
        <f t="shared" si="4"/>
        <v>REF201210046</v>
      </c>
      <c r="O48" s="3">
        <f t="shared" si="5"/>
        <v>44277.715277777781</v>
      </c>
      <c r="P48">
        <f t="shared" si="2"/>
        <v>2</v>
      </c>
      <c r="Q48">
        <f>COUNTIF($N$2:$N$91,$N48)</f>
        <v>2</v>
      </c>
      <c r="R48" t="str">
        <f>VLOOKUP(N48,AvgTime!$A:$E,5,FALSE)</f>
        <v>Less than 24h</v>
      </c>
      <c r="S48" s="7">
        <f>INDEX(Charges!$A$3:$S$48,MATCH('Sheet OS'!$N48,Charges!$A$3:$A$48,0),MATCH('Sheet OS'!$J48,Charges!$A$3:$S$3,0))</f>
        <v>41.160000000000004</v>
      </c>
      <c r="T48">
        <f t="shared" si="3"/>
        <v>3</v>
      </c>
      <c r="U48" t="str">
        <f>VLOOKUP(N48,'Last Status'!A:C,3,FALSE)</f>
        <v>COMPLETED</v>
      </c>
    </row>
    <row r="49" spans="1:21" x14ac:dyDescent="0.35">
      <c r="A49" t="s">
        <v>10</v>
      </c>
      <c r="B49" t="s">
        <v>30</v>
      </c>
      <c r="C49" t="s">
        <v>48</v>
      </c>
      <c r="D49">
        <v>800</v>
      </c>
      <c r="E49" t="s">
        <v>62</v>
      </c>
      <c r="F49" t="s">
        <v>64</v>
      </c>
      <c r="G49">
        <v>0.01</v>
      </c>
      <c r="H49" s="1">
        <v>44155</v>
      </c>
      <c r="I49" t="s">
        <v>107</v>
      </c>
      <c r="J49" t="s">
        <v>123</v>
      </c>
      <c r="K49" t="str">
        <f t="shared" si="0"/>
        <v>CHAS</v>
      </c>
      <c r="L49" t="str">
        <f t="shared" si="1"/>
        <v>US</v>
      </c>
      <c r="M49">
        <v>48</v>
      </c>
      <c r="N49" t="str">
        <f t="shared" si="4"/>
        <v>REFDEMO0180048</v>
      </c>
      <c r="O49" s="3">
        <f t="shared" si="5"/>
        <v>44155.383333333331</v>
      </c>
      <c r="P49">
        <f t="shared" si="2"/>
        <v>8</v>
      </c>
      <c r="Q49">
        <f>COUNTIF($N$2:$N$91,$N49)</f>
        <v>2</v>
      </c>
      <c r="R49" t="str">
        <f>VLOOKUP(N49,AvgTime!$A:$E,5,FALSE)</f>
        <v>Delay</v>
      </c>
      <c r="S49" s="7">
        <f>INDEX(Charges!$A$3:$S$48,MATCH('Sheet OS'!$N49,Charges!$A$3:$A$48,0),MATCH('Sheet OS'!$J49,Charges!$A$3:$S$3,0))</f>
        <v>8</v>
      </c>
      <c r="T49">
        <f t="shared" si="3"/>
        <v>11</v>
      </c>
      <c r="U49" t="str">
        <f>VLOOKUP(N49,'Last Status'!A:C,3,FALSE)</f>
        <v>COMPLETED</v>
      </c>
    </row>
    <row r="50" spans="1:21" x14ac:dyDescent="0.35">
      <c r="A50" t="s">
        <v>10</v>
      </c>
      <c r="B50" t="s">
        <v>30</v>
      </c>
      <c r="C50" t="s">
        <v>48</v>
      </c>
      <c r="D50">
        <v>800</v>
      </c>
      <c r="E50" t="s">
        <v>62</v>
      </c>
      <c r="F50" t="s">
        <v>71</v>
      </c>
      <c r="G50">
        <v>0.01</v>
      </c>
      <c r="H50" s="1">
        <v>44157</v>
      </c>
      <c r="I50" t="s">
        <v>106</v>
      </c>
      <c r="J50" t="s">
        <v>124</v>
      </c>
      <c r="K50" t="str">
        <f t="shared" si="0"/>
        <v>TSIB</v>
      </c>
      <c r="L50" t="str">
        <f t="shared" si="1"/>
        <v>AU</v>
      </c>
      <c r="M50">
        <v>49</v>
      </c>
      <c r="N50" t="str">
        <f t="shared" si="4"/>
        <v>REFDEMO0180048</v>
      </c>
      <c r="O50" s="3">
        <f t="shared" si="5"/>
        <v>44157.715277777781</v>
      </c>
      <c r="P50">
        <f t="shared" si="2"/>
        <v>8</v>
      </c>
      <c r="Q50">
        <f>COUNTIF($N$2:$N$91,$N50)</f>
        <v>2</v>
      </c>
      <c r="R50" t="str">
        <f>VLOOKUP(N50,AvgTime!$A:$E,5,FALSE)</f>
        <v>Delay</v>
      </c>
      <c r="S50" s="7">
        <f>INDEX(Charges!$A$3:$S$48,MATCH('Sheet OS'!$N50,Charges!$A$3:$A$48,0),MATCH('Sheet OS'!$J50,Charges!$A$3:$S$3,0))</f>
        <v>7.92</v>
      </c>
      <c r="T50">
        <f t="shared" si="3"/>
        <v>11</v>
      </c>
      <c r="U50" t="str">
        <f>VLOOKUP(N50,'Last Status'!A:C,3,FALSE)</f>
        <v>COMPLETED</v>
      </c>
    </row>
    <row r="51" spans="1:21" x14ac:dyDescent="0.35">
      <c r="A51" t="s">
        <v>10</v>
      </c>
      <c r="B51" t="s">
        <v>31</v>
      </c>
      <c r="C51" t="s">
        <v>55</v>
      </c>
      <c r="D51">
        <v>1025</v>
      </c>
      <c r="E51" t="s">
        <v>62</v>
      </c>
      <c r="F51" t="s">
        <v>64</v>
      </c>
      <c r="G51">
        <v>0.08</v>
      </c>
      <c r="H51" s="1">
        <v>44155</v>
      </c>
      <c r="I51" t="s">
        <v>108</v>
      </c>
      <c r="J51" t="s">
        <v>123</v>
      </c>
      <c r="K51" t="str">
        <f t="shared" si="0"/>
        <v>CHAS</v>
      </c>
      <c r="L51" t="str">
        <f t="shared" si="1"/>
        <v>US</v>
      </c>
      <c r="M51">
        <v>50</v>
      </c>
      <c r="N51" t="str">
        <f t="shared" si="4"/>
        <v>REFDEMO02102550</v>
      </c>
      <c r="O51" s="3">
        <f t="shared" si="5"/>
        <v>44155.47152777778</v>
      </c>
      <c r="P51">
        <f t="shared" si="2"/>
        <v>2</v>
      </c>
      <c r="Q51">
        <f>COUNTIF($N$2:$N$91,$N51)</f>
        <v>2</v>
      </c>
      <c r="R51" t="str">
        <f>VLOOKUP(N51,AvgTime!$A:$E,5,FALSE)</f>
        <v>Less than 24h</v>
      </c>
      <c r="S51" s="7">
        <f>INDEX(Charges!$A$3:$S$48,MATCH('Sheet OS'!$N51,Charges!$A$3:$A$48,0),MATCH('Sheet OS'!$J51,Charges!$A$3:$S$3,0))</f>
        <v>82</v>
      </c>
      <c r="T51">
        <f t="shared" si="3"/>
        <v>11</v>
      </c>
      <c r="U51" t="str">
        <f>VLOOKUP(N51,'Last Status'!A:C,3,FALSE)</f>
        <v>COMPLETED</v>
      </c>
    </row>
    <row r="52" spans="1:21" x14ac:dyDescent="0.35">
      <c r="A52" t="s">
        <v>10</v>
      </c>
      <c r="B52" t="s">
        <v>31</v>
      </c>
      <c r="C52" t="s">
        <v>55</v>
      </c>
      <c r="D52">
        <v>1025</v>
      </c>
      <c r="E52" t="s">
        <v>62</v>
      </c>
      <c r="F52" t="s">
        <v>68</v>
      </c>
      <c r="G52">
        <v>0.08</v>
      </c>
      <c r="H52" s="1">
        <v>44155</v>
      </c>
      <c r="I52" t="s">
        <v>109</v>
      </c>
      <c r="J52" t="s">
        <v>124</v>
      </c>
      <c r="K52" t="str">
        <f t="shared" si="0"/>
        <v>REDJ</v>
      </c>
      <c r="L52" t="str">
        <f t="shared" si="1"/>
        <v>BY</v>
      </c>
      <c r="M52">
        <v>51</v>
      </c>
      <c r="N52" t="str">
        <f t="shared" si="4"/>
        <v>REFDEMO02102550</v>
      </c>
      <c r="O52" s="3">
        <f t="shared" si="5"/>
        <v>44155.881944444445</v>
      </c>
      <c r="P52">
        <f t="shared" si="2"/>
        <v>2</v>
      </c>
      <c r="Q52">
        <f>COUNTIF($N$2:$N$91,$N52)</f>
        <v>2</v>
      </c>
      <c r="R52" t="str">
        <f>VLOOKUP(N52,AvgTime!$A:$E,5,FALSE)</f>
        <v>Less than 24h</v>
      </c>
      <c r="S52" s="7">
        <f>INDEX(Charges!$A$3:$S$48,MATCH('Sheet OS'!$N52,Charges!$A$3:$A$48,0),MATCH('Sheet OS'!$J52,Charges!$A$3:$S$3,0))</f>
        <v>75.44</v>
      </c>
      <c r="T52">
        <f t="shared" si="3"/>
        <v>11</v>
      </c>
      <c r="U52" t="str">
        <f>VLOOKUP(N52,'Last Status'!A:C,3,FALSE)</f>
        <v>COMPLETED</v>
      </c>
    </row>
    <row r="53" spans="1:21" x14ac:dyDescent="0.35">
      <c r="A53" t="s">
        <v>10</v>
      </c>
      <c r="B53" t="s">
        <v>32</v>
      </c>
      <c r="C53" t="s">
        <v>48</v>
      </c>
      <c r="D53">
        <v>87600</v>
      </c>
      <c r="E53" t="s">
        <v>62</v>
      </c>
      <c r="F53" t="s">
        <v>64</v>
      </c>
      <c r="G53">
        <v>0.01</v>
      </c>
      <c r="H53" s="1">
        <v>44156</v>
      </c>
      <c r="I53" t="s">
        <v>104</v>
      </c>
      <c r="J53" t="s">
        <v>123</v>
      </c>
      <c r="K53" t="str">
        <f t="shared" si="0"/>
        <v>CHAS</v>
      </c>
      <c r="L53" t="str">
        <f t="shared" si="1"/>
        <v>US</v>
      </c>
      <c r="M53">
        <v>52</v>
      </c>
      <c r="N53" t="str">
        <f t="shared" si="4"/>
        <v>REFDEMO018760052</v>
      </c>
      <c r="O53" s="3">
        <f t="shared" si="5"/>
        <v>44156.474305555559</v>
      </c>
      <c r="P53">
        <f t="shared" si="2"/>
        <v>8</v>
      </c>
      <c r="Q53">
        <f>COUNTIF($N$2:$N$91,$N53)</f>
        <v>2</v>
      </c>
      <c r="R53" t="str">
        <f>VLOOKUP(N53,AvgTime!$A:$E,5,FALSE)</f>
        <v>Less than 24h</v>
      </c>
      <c r="S53" s="7">
        <f>INDEX(Charges!$A$3:$S$48,MATCH('Sheet OS'!$N53,Charges!$A$3:$A$48,0),MATCH('Sheet OS'!$J53,Charges!$A$3:$S$3,0))</f>
        <v>876</v>
      </c>
      <c r="T53">
        <f t="shared" si="3"/>
        <v>11</v>
      </c>
      <c r="U53" t="str">
        <f>VLOOKUP(N53,'Last Status'!A:C,3,FALSE)</f>
        <v>COMPLETED</v>
      </c>
    </row>
    <row r="54" spans="1:21" x14ac:dyDescent="0.35">
      <c r="A54" t="s">
        <v>10</v>
      </c>
      <c r="B54" t="s">
        <v>32</v>
      </c>
      <c r="C54" t="s">
        <v>48</v>
      </c>
      <c r="D54">
        <v>87600</v>
      </c>
      <c r="E54" t="s">
        <v>62</v>
      </c>
      <c r="F54" t="s">
        <v>69</v>
      </c>
      <c r="G54">
        <v>0.01</v>
      </c>
      <c r="H54" s="1">
        <v>44156</v>
      </c>
      <c r="I54" t="s">
        <v>105</v>
      </c>
      <c r="J54" t="s">
        <v>124</v>
      </c>
      <c r="K54" t="str">
        <f t="shared" si="0"/>
        <v>FNRO</v>
      </c>
      <c r="L54" t="str">
        <f t="shared" si="1"/>
        <v>CN</v>
      </c>
      <c r="M54">
        <v>53</v>
      </c>
      <c r="N54" t="str">
        <f t="shared" si="4"/>
        <v>REFDEMO018760052</v>
      </c>
      <c r="O54" s="3">
        <f t="shared" si="5"/>
        <v>44156.591666666667</v>
      </c>
      <c r="P54">
        <f t="shared" si="2"/>
        <v>8</v>
      </c>
      <c r="Q54">
        <f>COUNTIF($N$2:$N$91,$N54)</f>
        <v>2</v>
      </c>
      <c r="R54" t="str">
        <f>VLOOKUP(N54,AvgTime!$A:$E,5,FALSE)</f>
        <v>Less than 24h</v>
      </c>
      <c r="S54" s="7">
        <f>INDEX(Charges!$A$3:$S$48,MATCH('Sheet OS'!$N54,Charges!$A$3:$A$48,0),MATCH('Sheet OS'!$J54,Charges!$A$3:$S$3,0))</f>
        <v>867.24</v>
      </c>
      <c r="T54">
        <f t="shared" si="3"/>
        <v>11</v>
      </c>
      <c r="U54" t="str">
        <f>VLOOKUP(N54,'Last Status'!A:C,3,FALSE)</f>
        <v>COMPLETED</v>
      </c>
    </row>
    <row r="55" spans="1:21" x14ac:dyDescent="0.35">
      <c r="A55" t="s">
        <v>10</v>
      </c>
      <c r="B55" t="s">
        <v>33</v>
      </c>
      <c r="C55" t="s">
        <v>56</v>
      </c>
      <c r="D55">
        <v>1600</v>
      </c>
      <c r="E55" t="s">
        <v>62</v>
      </c>
      <c r="F55" t="s">
        <v>64</v>
      </c>
      <c r="G55">
        <v>0.04</v>
      </c>
      <c r="H55" s="1">
        <v>44162</v>
      </c>
      <c r="I55" t="s">
        <v>110</v>
      </c>
      <c r="J55" t="s">
        <v>123</v>
      </c>
      <c r="K55" t="str">
        <f t="shared" si="0"/>
        <v>CHAS</v>
      </c>
      <c r="L55" t="str">
        <f t="shared" si="1"/>
        <v>US</v>
      </c>
      <c r="M55">
        <v>54</v>
      </c>
      <c r="N55" t="str">
        <f t="shared" si="4"/>
        <v>REFDEMO901160054</v>
      </c>
      <c r="O55" s="3">
        <f t="shared" si="5"/>
        <v>44162.40625</v>
      </c>
      <c r="P55">
        <f t="shared" si="2"/>
        <v>2</v>
      </c>
      <c r="Q55">
        <f>COUNTIF($N$2:$N$91,$N55)</f>
        <v>2</v>
      </c>
      <c r="R55" t="str">
        <f>VLOOKUP(N55,AvgTime!$A:$E,5,FALSE)</f>
        <v>Less than 24h</v>
      </c>
      <c r="S55" s="7">
        <f>INDEX(Charges!$A$3:$S$48,MATCH('Sheet OS'!$N55,Charges!$A$3:$A$48,0),MATCH('Sheet OS'!$J55,Charges!$A$3:$S$3,0))</f>
        <v>64</v>
      </c>
      <c r="T55">
        <f t="shared" si="3"/>
        <v>11</v>
      </c>
      <c r="U55" t="str">
        <f>VLOOKUP(N55,'Last Status'!A:C,3,FALSE)</f>
        <v>COMPLETED</v>
      </c>
    </row>
    <row r="56" spans="1:21" x14ac:dyDescent="0.35">
      <c r="A56" t="s">
        <v>10</v>
      </c>
      <c r="B56" t="s">
        <v>33</v>
      </c>
      <c r="C56" t="s">
        <v>56</v>
      </c>
      <c r="D56">
        <v>1600</v>
      </c>
      <c r="E56" t="s">
        <v>62</v>
      </c>
      <c r="F56" t="s">
        <v>71</v>
      </c>
      <c r="G56">
        <v>0.01</v>
      </c>
      <c r="H56" s="1">
        <v>44162</v>
      </c>
      <c r="I56" t="s">
        <v>111</v>
      </c>
      <c r="J56" t="s">
        <v>124</v>
      </c>
      <c r="K56" t="str">
        <f t="shared" si="0"/>
        <v>TSIB</v>
      </c>
      <c r="L56" t="str">
        <f t="shared" si="1"/>
        <v>AU</v>
      </c>
      <c r="M56">
        <v>55</v>
      </c>
      <c r="N56" t="str">
        <f t="shared" si="4"/>
        <v>REFDEMO901160054</v>
      </c>
      <c r="O56" s="3">
        <f t="shared" si="5"/>
        <v>44162.763888888891</v>
      </c>
      <c r="P56">
        <f t="shared" si="2"/>
        <v>2</v>
      </c>
      <c r="Q56">
        <f>COUNTIF($N$2:$N$91,$N56)</f>
        <v>2</v>
      </c>
      <c r="R56" t="str">
        <f>VLOOKUP(N56,AvgTime!$A:$E,5,FALSE)</f>
        <v>Less than 24h</v>
      </c>
      <c r="S56" s="7">
        <f>INDEX(Charges!$A$3:$S$48,MATCH('Sheet OS'!$N56,Charges!$A$3:$A$48,0),MATCH('Sheet OS'!$J56,Charges!$A$3:$S$3,0))</f>
        <v>15.36</v>
      </c>
      <c r="T56">
        <f t="shared" si="3"/>
        <v>11</v>
      </c>
      <c r="U56" t="str">
        <f>VLOOKUP(N56,'Last Status'!A:C,3,FALSE)</f>
        <v>COMPLETED</v>
      </c>
    </row>
    <row r="57" spans="1:21" x14ac:dyDescent="0.35">
      <c r="A57" t="s">
        <v>10</v>
      </c>
      <c r="B57" t="s">
        <v>34</v>
      </c>
      <c r="C57" t="s">
        <v>57</v>
      </c>
      <c r="D57">
        <v>3100</v>
      </c>
      <c r="E57" t="s">
        <v>62</v>
      </c>
      <c r="F57" t="s">
        <v>64</v>
      </c>
      <c r="G57">
        <v>0.01</v>
      </c>
      <c r="H57" s="1">
        <v>44256</v>
      </c>
      <c r="I57" t="s">
        <v>104</v>
      </c>
      <c r="J57" t="s">
        <v>123</v>
      </c>
      <c r="K57" t="str">
        <f t="shared" si="0"/>
        <v>CHAS</v>
      </c>
      <c r="L57" t="str">
        <f t="shared" si="1"/>
        <v>US</v>
      </c>
      <c r="M57">
        <v>56</v>
      </c>
      <c r="N57" t="str">
        <f t="shared" si="4"/>
        <v>REFD543104310056</v>
      </c>
      <c r="O57" s="3">
        <f t="shared" si="5"/>
        <v>44256.474305555559</v>
      </c>
      <c r="P57">
        <f t="shared" si="2"/>
        <v>2</v>
      </c>
      <c r="Q57">
        <f>COUNTIF($N$2:$N$91,$N57)</f>
        <v>2</v>
      </c>
      <c r="R57" t="str">
        <f>VLOOKUP(N57,AvgTime!$A:$E,5,FALSE)</f>
        <v>Less than 24h</v>
      </c>
      <c r="S57" s="7">
        <f>INDEX(Charges!$A$3:$S$48,MATCH('Sheet OS'!$N57,Charges!$A$3:$A$48,0),MATCH('Sheet OS'!$J57,Charges!$A$3:$S$3,0))</f>
        <v>31</v>
      </c>
      <c r="T57">
        <f t="shared" si="3"/>
        <v>3</v>
      </c>
      <c r="U57" t="str">
        <f>VLOOKUP(N57,'Last Status'!A:C,3,FALSE)</f>
        <v>DELIVERED</v>
      </c>
    </row>
    <row r="58" spans="1:21" x14ac:dyDescent="0.35">
      <c r="A58" t="s">
        <v>10</v>
      </c>
      <c r="B58" t="s">
        <v>34</v>
      </c>
      <c r="C58" t="s">
        <v>57</v>
      </c>
      <c r="D58">
        <v>3100</v>
      </c>
      <c r="E58" t="s">
        <v>62</v>
      </c>
      <c r="F58" t="s">
        <v>71</v>
      </c>
      <c r="G58">
        <v>0.08</v>
      </c>
      <c r="H58" s="1">
        <v>44256</v>
      </c>
      <c r="I58" t="s">
        <v>90</v>
      </c>
      <c r="J58" t="s">
        <v>126</v>
      </c>
      <c r="K58" t="str">
        <f t="shared" si="0"/>
        <v>TSIB</v>
      </c>
      <c r="L58" t="str">
        <f t="shared" si="1"/>
        <v>AU</v>
      </c>
      <c r="M58">
        <v>57</v>
      </c>
      <c r="N58" t="str">
        <f t="shared" si="4"/>
        <v>REFD543104310056</v>
      </c>
      <c r="O58" s="3">
        <f t="shared" si="5"/>
        <v>44256.756944444445</v>
      </c>
      <c r="P58">
        <f t="shared" si="2"/>
        <v>2</v>
      </c>
      <c r="Q58">
        <f>COUNTIF($N$2:$N$91,$N58)</f>
        <v>2</v>
      </c>
      <c r="R58" t="str">
        <f>VLOOKUP(N58,AvgTime!$A:$E,5,FALSE)</f>
        <v>Less than 24h</v>
      </c>
      <c r="S58" s="7">
        <f>INDEX(Charges!$A$3:$S$48,MATCH('Sheet OS'!$N58,Charges!$A$3:$A$48,0),MATCH('Sheet OS'!$J58,Charges!$A$3:$S$3,0))</f>
        <v>245.52</v>
      </c>
      <c r="T58">
        <f t="shared" si="3"/>
        <v>3</v>
      </c>
      <c r="U58" t="str">
        <f>VLOOKUP(N58,'Last Status'!A:C,3,FALSE)</f>
        <v>DELIVERED</v>
      </c>
    </row>
    <row r="59" spans="1:21" x14ac:dyDescent="0.35">
      <c r="A59" t="s">
        <v>10</v>
      </c>
      <c r="B59" t="s">
        <v>35</v>
      </c>
      <c r="C59" t="s">
        <v>58</v>
      </c>
      <c r="D59">
        <v>456</v>
      </c>
      <c r="E59" t="s">
        <v>62</v>
      </c>
      <c r="F59" t="s">
        <v>64</v>
      </c>
      <c r="G59">
        <v>0.02</v>
      </c>
      <c r="H59" s="1">
        <v>44256</v>
      </c>
      <c r="I59" t="s">
        <v>112</v>
      </c>
      <c r="J59" t="s">
        <v>123</v>
      </c>
      <c r="K59" t="str">
        <f t="shared" si="0"/>
        <v>CHAS</v>
      </c>
      <c r="L59" t="str">
        <f t="shared" si="1"/>
        <v>US</v>
      </c>
      <c r="M59">
        <v>58</v>
      </c>
      <c r="N59" t="str">
        <f t="shared" si="4"/>
        <v>REFD54310345658</v>
      </c>
      <c r="O59" s="3">
        <f t="shared" si="5"/>
        <v>44256.599305555559</v>
      </c>
      <c r="P59">
        <f t="shared" si="2"/>
        <v>2</v>
      </c>
      <c r="Q59">
        <f>COUNTIF($N$2:$N$91,$N59)</f>
        <v>2</v>
      </c>
      <c r="R59" t="str">
        <f>VLOOKUP(N59,AvgTime!$A:$E,5,FALSE)</f>
        <v>Less than 24h</v>
      </c>
      <c r="S59" s="7">
        <f>INDEX(Charges!$A$3:$S$48,MATCH('Sheet OS'!$N59,Charges!$A$3:$A$48,0),MATCH('Sheet OS'!$J59,Charges!$A$3:$S$3,0))</f>
        <v>9.120000000000001</v>
      </c>
      <c r="T59">
        <f t="shared" si="3"/>
        <v>3</v>
      </c>
      <c r="U59" t="str">
        <f>VLOOKUP(N59,'Last Status'!A:C,3,FALSE)</f>
        <v>COMPLETED</v>
      </c>
    </row>
    <row r="60" spans="1:21" x14ac:dyDescent="0.35">
      <c r="A60" t="s">
        <v>10</v>
      </c>
      <c r="B60" t="s">
        <v>35</v>
      </c>
      <c r="C60" t="s">
        <v>58</v>
      </c>
      <c r="D60">
        <v>456</v>
      </c>
      <c r="E60" t="s">
        <v>62</v>
      </c>
      <c r="F60" t="s">
        <v>68</v>
      </c>
      <c r="G60">
        <v>0.01</v>
      </c>
      <c r="H60" s="1">
        <v>44256</v>
      </c>
      <c r="I60" t="s">
        <v>113</v>
      </c>
      <c r="J60" t="s">
        <v>124</v>
      </c>
      <c r="K60" t="str">
        <f t="shared" si="0"/>
        <v>REDJ</v>
      </c>
      <c r="L60" t="str">
        <f t="shared" si="1"/>
        <v>BY</v>
      </c>
      <c r="M60">
        <v>59</v>
      </c>
      <c r="N60" t="str">
        <f t="shared" si="4"/>
        <v>REFD54310345658</v>
      </c>
      <c r="O60" s="3">
        <f t="shared" si="5"/>
        <v>44256.800000000003</v>
      </c>
      <c r="P60">
        <f t="shared" si="2"/>
        <v>2</v>
      </c>
      <c r="Q60">
        <f>COUNTIF($N$2:$N$91,$N60)</f>
        <v>2</v>
      </c>
      <c r="R60" t="str">
        <f>VLOOKUP(N60,AvgTime!$A:$E,5,FALSE)</f>
        <v>Less than 24h</v>
      </c>
      <c r="S60" s="7">
        <f>INDEX(Charges!$A$3:$S$48,MATCH('Sheet OS'!$N60,Charges!$A$3:$A$48,0),MATCH('Sheet OS'!$J60,Charges!$A$3:$S$3,0))</f>
        <v>4.4687999999999999</v>
      </c>
      <c r="T60">
        <f t="shared" si="3"/>
        <v>3</v>
      </c>
      <c r="U60" t="str">
        <f>VLOOKUP(N60,'Last Status'!A:C,3,FALSE)</f>
        <v>COMPLETED</v>
      </c>
    </row>
    <row r="61" spans="1:21" x14ac:dyDescent="0.35">
      <c r="A61" t="s">
        <v>10</v>
      </c>
      <c r="B61" t="s">
        <v>36</v>
      </c>
      <c r="C61" t="s">
        <v>59</v>
      </c>
      <c r="D61">
        <v>348</v>
      </c>
      <c r="E61" t="s">
        <v>63</v>
      </c>
      <c r="F61" t="s">
        <v>64</v>
      </c>
      <c r="G61">
        <v>7.0000000000000007E-2</v>
      </c>
      <c r="H61" s="1">
        <v>44211</v>
      </c>
      <c r="I61" t="s">
        <v>77</v>
      </c>
      <c r="J61" t="s">
        <v>123</v>
      </c>
      <c r="K61" t="str">
        <f t="shared" si="0"/>
        <v>CHAS</v>
      </c>
      <c r="L61" t="str">
        <f t="shared" si="1"/>
        <v>US</v>
      </c>
      <c r="M61">
        <v>60</v>
      </c>
      <c r="N61" t="str">
        <f t="shared" si="4"/>
        <v>REFDEM159134860</v>
      </c>
      <c r="O61" s="3">
        <f t="shared" si="5"/>
        <v>44211.356944444444</v>
      </c>
      <c r="P61">
        <f t="shared" si="2"/>
        <v>2</v>
      </c>
      <c r="Q61">
        <f>COUNTIF($N$2:$N$91,$N61)</f>
        <v>2</v>
      </c>
      <c r="R61" t="str">
        <f>VLOOKUP(N61,AvgTime!$A:$E,5,FALSE)</f>
        <v>Less than 24h</v>
      </c>
      <c r="S61" s="7">
        <f>INDEX(Charges!$A$3:$S$48,MATCH('Sheet OS'!$N61,Charges!$A$3:$A$48,0),MATCH('Sheet OS'!$J61,Charges!$A$3:$S$3,0))</f>
        <v>24.360000000000003</v>
      </c>
      <c r="T61">
        <f t="shared" si="3"/>
        <v>1</v>
      </c>
      <c r="U61" t="str">
        <f>VLOOKUP(N61,'Last Status'!A:C,3,FALSE)</f>
        <v>COMPLETED</v>
      </c>
    </row>
    <row r="62" spans="1:21" x14ac:dyDescent="0.35">
      <c r="A62" t="s">
        <v>10</v>
      </c>
      <c r="B62" t="s">
        <v>36</v>
      </c>
      <c r="C62" t="s">
        <v>59</v>
      </c>
      <c r="D62">
        <v>348</v>
      </c>
      <c r="E62" t="s">
        <v>63</v>
      </c>
      <c r="F62" t="s">
        <v>71</v>
      </c>
      <c r="G62">
        <v>0.01</v>
      </c>
      <c r="H62" s="1">
        <v>44211</v>
      </c>
      <c r="I62" t="s">
        <v>114</v>
      </c>
      <c r="J62" t="s">
        <v>124</v>
      </c>
      <c r="K62" t="str">
        <f t="shared" si="0"/>
        <v>TSIB</v>
      </c>
      <c r="L62" t="str">
        <f t="shared" si="1"/>
        <v>AU</v>
      </c>
      <c r="M62">
        <v>61</v>
      </c>
      <c r="N62" t="str">
        <f t="shared" si="4"/>
        <v>REFDEM159134860</v>
      </c>
      <c r="O62" s="3">
        <f t="shared" si="5"/>
        <v>44211.527083333334</v>
      </c>
      <c r="P62">
        <f t="shared" si="2"/>
        <v>2</v>
      </c>
      <c r="Q62">
        <f>COUNTIF($N$2:$N$91,$N62)</f>
        <v>2</v>
      </c>
      <c r="R62" t="str">
        <f>VLOOKUP(N62,AvgTime!$A:$E,5,FALSE)</f>
        <v>Less than 24h</v>
      </c>
      <c r="S62" s="7">
        <f>INDEX(Charges!$A$3:$S$48,MATCH('Sheet OS'!$N62,Charges!$A$3:$A$48,0),MATCH('Sheet OS'!$J62,Charges!$A$3:$S$3,0))</f>
        <v>3.2363999999999997</v>
      </c>
      <c r="T62">
        <f t="shared" si="3"/>
        <v>1</v>
      </c>
      <c r="U62" t="str">
        <f>VLOOKUP(N62,'Last Status'!A:C,3,FALSE)</f>
        <v>COMPLETED</v>
      </c>
    </row>
    <row r="63" spans="1:21" x14ac:dyDescent="0.35">
      <c r="A63" t="s">
        <v>10</v>
      </c>
      <c r="B63" t="s">
        <v>37</v>
      </c>
      <c r="C63" t="s">
        <v>60</v>
      </c>
      <c r="D63">
        <v>67569</v>
      </c>
      <c r="E63" t="s">
        <v>63</v>
      </c>
      <c r="F63" t="s">
        <v>64</v>
      </c>
      <c r="G63">
        <v>0.01</v>
      </c>
      <c r="H63" s="1">
        <v>44217</v>
      </c>
      <c r="I63" t="s">
        <v>115</v>
      </c>
      <c r="J63" t="s">
        <v>123</v>
      </c>
      <c r="K63" t="str">
        <f t="shared" si="0"/>
        <v>CHAS</v>
      </c>
      <c r="L63" t="str">
        <f t="shared" si="1"/>
        <v>US</v>
      </c>
      <c r="M63">
        <v>62</v>
      </c>
      <c r="N63" t="str">
        <f t="shared" si="4"/>
        <v>REFD101926756962</v>
      </c>
      <c r="O63" s="3">
        <f t="shared" si="5"/>
        <v>44217.412499999999</v>
      </c>
      <c r="P63">
        <f t="shared" si="2"/>
        <v>2</v>
      </c>
      <c r="Q63">
        <f>COUNTIF($N$2:$N$91,$N63)</f>
        <v>2</v>
      </c>
      <c r="R63" t="str">
        <f>VLOOKUP(N63,AvgTime!$A:$E,5,FALSE)</f>
        <v>Delay</v>
      </c>
      <c r="S63" s="7">
        <f>INDEX(Charges!$A$3:$S$48,MATCH('Sheet OS'!$N63,Charges!$A$3:$A$48,0),MATCH('Sheet OS'!$J63,Charges!$A$3:$S$3,0))</f>
        <v>675.69</v>
      </c>
      <c r="T63">
        <f t="shared" si="3"/>
        <v>1</v>
      </c>
      <c r="U63" t="str">
        <f>VLOOKUP(N63,'Last Status'!A:C,3,FALSE)</f>
        <v>COMPLETED</v>
      </c>
    </row>
    <row r="64" spans="1:21" x14ac:dyDescent="0.35">
      <c r="A64" t="s">
        <v>10</v>
      </c>
      <c r="B64" t="s">
        <v>37</v>
      </c>
      <c r="C64" t="s">
        <v>60</v>
      </c>
      <c r="D64">
        <v>67569</v>
      </c>
      <c r="E64" t="s">
        <v>63</v>
      </c>
      <c r="F64" t="s">
        <v>65</v>
      </c>
      <c r="G64">
        <v>0.08</v>
      </c>
      <c r="H64" s="1">
        <v>44218</v>
      </c>
      <c r="I64" t="s">
        <v>116</v>
      </c>
      <c r="J64" t="s">
        <v>124</v>
      </c>
      <c r="K64" t="str">
        <f t="shared" si="0"/>
        <v>BINA</v>
      </c>
      <c r="L64" t="str">
        <f t="shared" si="1"/>
        <v>AD</v>
      </c>
      <c r="M64">
        <v>63</v>
      </c>
      <c r="N64" t="str">
        <f t="shared" si="4"/>
        <v>REFD101926756962</v>
      </c>
      <c r="O64" s="3">
        <f t="shared" si="5"/>
        <v>44218.730555555558</v>
      </c>
      <c r="P64">
        <f t="shared" si="2"/>
        <v>2</v>
      </c>
      <c r="Q64">
        <f>COUNTIF($N$2:$N$91,$N64)</f>
        <v>2</v>
      </c>
      <c r="R64" t="str">
        <f>VLOOKUP(N64,AvgTime!$A:$E,5,FALSE)</f>
        <v>Delay</v>
      </c>
      <c r="S64" s="7">
        <f>INDEX(Charges!$A$3:$S$48,MATCH('Sheet OS'!$N64,Charges!$A$3:$A$48,0),MATCH('Sheet OS'!$J64,Charges!$A$3:$S$3,0))</f>
        <v>5351.4647999999997</v>
      </c>
      <c r="T64">
        <f t="shared" si="3"/>
        <v>1</v>
      </c>
      <c r="U64" t="str">
        <f>VLOOKUP(N64,'Last Status'!A:C,3,FALSE)</f>
        <v>COMPLETED</v>
      </c>
    </row>
    <row r="65" spans="1:21" x14ac:dyDescent="0.35">
      <c r="A65" t="s">
        <v>10</v>
      </c>
      <c r="B65" t="s">
        <v>37</v>
      </c>
      <c r="C65" t="s">
        <v>47</v>
      </c>
      <c r="D65">
        <v>1100</v>
      </c>
      <c r="E65" t="s">
        <v>62</v>
      </c>
      <c r="F65" t="s">
        <v>64</v>
      </c>
      <c r="G65">
        <v>0.01</v>
      </c>
      <c r="H65" s="1">
        <v>44257</v>
      </c>
      <c r="I65" t="s">
        <v>91</v>
      </c>
      <c r="J65" t="s">
        <v>123</v>
      </c>
      <c r="K65" t="str">
        <f t="shared" si="0"/>
        <v>CHAS</v>
      </c>
      <c r="L65" t="str">
        <f t="shared" si="1"/>
        <v>US</v>
      </c>
      <c r="M65">
        <v>64</v>
      </c>
      <c r="N65" t="str">
        <f t="shared" si="4"/>
        <v>REFD543105110064</v>
      </c>
      <c r="O65" s="3">
        <f t="shared" si="5"/>
        <v>44257.605555555558</v>
      </c>
      <c r="P65">
        <f t="shared" si="2"/>
        <v>5</v>
      </c>
      <c r="Q65">
        <f>COUNTIF($N$2:$N$91,$N65)</f>
        <v>2</v>
      </c>
      <c r="R65" t="str">
        <f>VLOOKUP(N65,AvgTime!$A:$E,5,FALSE)</f>
        <v>NotCompleted</v>
      </c>
      <c r="S65" s="7">
        <f>INDEX(Charges!$A$3:$S$48,MATCH('Sheet OS'!$N65,Charges!$A$3:$A$48,0),MATCH('Sheet OS'!$J65,Charges!$A$3:$S$3,0))</f>
        <v>11</v>
      </c>
      <c r="T65">
        <f t="shared" si="3"/>
        <v>3</v>
      </c>
      <c r="U65" t="str">
        <f>VLOOKUP(N65,'Last Status'!A:C,3,FALSE)</f>
        <v>PENDING</v>
      </c>
    </row>
    <row r="66" spans="1:21" x14ac:dyDescent="0.35">
      <c r="A66" t="s">
        <v>10</v>
      </c>
      <c r="B66" t="s">
        <v>37</v>
      </c>
      <c r="C66" t="s">
        <v>47</v>
      </c>
      <c r="D66">
        <v>1100</v>
      </c>
      <c r="E66" t="s">
        <v>62</v>
      </c>
      <c r="F66" t="s">
        <v>68</v>
      </c>
      <c r="G66">
        <v>0.01</v>
      </c>
      <c r="H66" s="1">
        <v>44258</v>
      </c>
      <c r="I66" t="s">
        <v>117</v>
      </c>
      <c r="J66" t="s">
        <v>125</v>
      </c>
      <c r="K66" t="str">
        <f t="shared" si="0"/>
        <v>REDJ</v>
      </c>
      <c r="L66" t="str">
        <f t="shared" si="1"/>
        <v>BY</v>
      </c>
      <c r="M66">
        <v>65</v>
      </c>
      <c r="N66" t="str">
        <f t="shared" si="4"/>
        <v>REFD543105110064</v>
      </c>
      <c r="O66" s="3">
        <f t="shared" si="5"/>
        <v>44258.648611111108</v>
      </c>
      <c r="P66">
        <f t="shared" si="2"/>
        <v>5</v>
      </c>
      <c r="Q66">
        <f>COUNTIF($N$2:$N$91,$N66)</f>
        <v>2</v>
      </c>
      <c r="R66" t="str">
        <f>VLOOKUP(N66,AvgTime!$A:$E,5,FALSE)</f>
        <v>NotCompleted</v>
      </c>
      <c r="S66" s="7">
        <f>INDEX(Charges!$A$3:$S$48,MATCH('Sheet OS'!$N66,Charges!$A$3:$A$48,0),MATCH('Sheet OS'!$J66,Charges!$A$3:$S$3,0))</f>
        <v>10.89</v>
      </c>
      <c r="T66">
        <f t="shared" si="3"/>
        <v>3</v>
      </c>
      <c r="U66" t="str">
        <f>VLOOKUP(N66,'Last Status'!A:C,3,FALSE)</f>
        <v>PENDING</v>
      </c>
    </row>
    <row r="67" spans="1:21" x14ac:dyDescent="0.35">
      <c r="A67" t="s">
        <v>10</v>
      </c>
      <c r="B67" t="s">
        <v>38</v>
      </c>
      <c r="C67" t="s">
        <v>61</v>
      </c>
      <c r="D67">
        <v>12100</v>
      </c>
      <c r="E67" t="s">
        <v>62</v>
      </c>
      <c r="F67" t="s">
        <v>64</v>
      </c>
      <c r="G67">
        <v>0.08</v>
      </c>
      <c r="H67" s="1">
        <v>44278</v>
      </c>
      <c r="I67" t="s">
        <v>118</v>
      </c>
      <c r="J67" t="s">
        <v>123</v>
      </c>
      <c r="K67" t="str">
        <f t="shared" ref="K67:K91" si="6">MID(F67&amp;" ",1,4)</f>
        <v>CHAS</v>
      </c>
      <c r="L67" t="str">
        <f t="shared" ref="L67:L91" si="7">MID(F67&amp;" ",5,2)</f>
        <v>US</v>
      </c>
      <c r="M67">
        <v>66</v>
      </c>
      <c r="N67" t="str">
        <f t="shared" si="4"/>
        <v>REFZ9991210066</v>
      </c>
      <c r="O67" s="3">
        <f t="shared" si="5"/>
        <v>44278.341666666667</v>
      </c>
      <c r="P67">
        <f t="shared" ref="P67:Q91" si="8">COUNTIF($C$2:$C$91,$C67)</f>
        <v>2</v>
      </c>
      <c r="Q67">
        <f>COUNTIF($N$2:$N$91,$N67)</f>
        <v>2</v>
      </c>
      <c r="R67" t="str">
        <f>VLOOKUP(N67,AvgTime!$A:$E,5,FALSE)</f>
        <v>Less than 24h</v>
      </c>
      <c r="S67" s="7">
        <f>INDEX(Charges!$A$3:$S$48,MATCH('Sheet OS'!$N67,Charges!$A$3:$A$48,0),MATCH('Sheet OS'!$J67,Charges!$A$3:$S$3,0))</f>
        <v>968</v>
      </c>
      <c r="T67">
        <f t="shared" ref="T67:T91" si="9">MONTH(O67)</f>
        <v>3</v>
      </c>
      <c r="U67" t="str">
        <f>VLOOKUP(N67,'Last Status'!A:C,3,FALSE)</f>
        <v>COMPLETED</v>
      </c>
    </row>
    <row r="68" spans="1:21" x14ac:dyDescent="0.35">
      <c r="A68" t="s">
        <v>10</v>
      </c>
      <c r="B68" t="s">
        <v>38</v>
      </c>
      <c r="C68" t="s">
        <v>61</v>
      </c>
      <c r="D68">
        <v>12100</v>
      </c>
      <c r="E68" t="s">
        <v>62</v>
      </c>
      <c r="F68" t="s">
        <v>68</v>
      </c>
      <c r="G68">
        <v>0.08</v>
      </c>
      <c r="H68" s="1">
        <v>44278</v>
      </c>
      <c r="I68" t="s">
        <v>84</v>
      </c>
      <c r="J68" t="s">
        <v>124</v>
      </c>
      <c r="K68" t="str">
        <f t="shared" si="6"/>
        <v>REDJ</v>
      </c>
      <c r="L68" t="str">
        <f t="shared" si="7"/>
        <v>BY</v>
      </c>
      <c r="M68">
        <v>67</v>
      </c>
      <c r="N68" t="str">
        <f t="shared" ref="N68:N91" si="10">IF(AND(C68=C67,D68=D67),N67,C68&amp;D68&amp;M68)</f>
        <v>REFZ9991210066</v>
      </c>
      <c r="O68" s="3">
        <f t="shared" ref="O68:O91" si="11">H68+I68</f>
        <v>44278.523611111108</v>
      </c>
      <c r="P68">
        <f t="shared" si="8"/>
        <v>2</v>
      </c>
      <c r="Q68">
        <f>COUNTIF($N$2:$N$91,$N68)</f>
        <v>2</v>
      </c>
      <c r="R68" t="str">
        <f>VLOOKUP(N68,AvgTime!$A:$E,5,FALSE)</f>
        <v>Less than 24h</v>
      </c>
      <c r="S68" s="7">
        <f>INDEX(Charges!$A$3:$S$48,MATCH('Sheet OS'!$N68,Charges!$A$3:$A$48,0),MATCH('Sheet OS'!$J68,Charges!$A$3:$S$3,0))</f>
        <v>890.56000000000006</v>
      </c>
      <c r="T68">
        <f t="shared" si="9"/>
        <v>3</v>
      </c>
      <c r="U68" t="str">
        <f>VLOOKUP(N68,'Last Status'!A:C,3,FALSE)</f>
        <v>COMPLETED</v>
      </c>
    </row>
    <row r="69" spans="1:21" x14ac:dyDescent="0.35">
      <c r="A69" t="s">
        <v>10</v>
      </c>
      <c r="B69" t="s">
        <v>11</v>
      </c>
      <c r="C69" t="s">
        <v>39</v>
      </c>
      <c r="D69">
        <v>10000</v>
      </c>
      <c r="E69" t="s">
        <v>62</v>
      </c>
      <c r="F69" t="s">
        <v>64</v>
      </c>
      <c r="G69">
        <v>0.02</v>
      </c>
      <c r="H69" s="1">
        <v>44217</v>
      </c>
      <c r="I69" t="s">
        <v>110</v>
      </c>
      <c r="J69" t="s">
        <v>123</v>
      </c>
      <c r="K69" t="str">
        <f t="shared" si="6"/>
        <v>CHAS</v>
      </c>
      <c r="L69" t="str">
        <f t="shared" si="7"/>
        <v>US</v>
      </c>
      <c r="M69">
        <v>68</v>
      </c>
      <c r="N69" t="str">
        <f t="shared" si="10"/>
        <v>REF2111000068</v>
      </c>
      <c r="O69" s="3">
        <f t="shared" si="11"/>
        <v>44217.40625</v>
      </c>
      <c r="P69">
        <f t="shared" si="8"/>
        <v>14</v>
      </c>
      <c r="Q69">
        <f>COUNTIF($N$2:$N$91,$N69)</f>
        <v>2</v>
      </c>
      <c r="R69" t="str">
        <f>VLOOKUP(N69,AvgTime!$A:$E,5,FALSE)</f>
        <v>Delay</v>
      </c>
      <c r="S69" s="7">
        <f>INDEX(Charges!$A$3:$S$48,MATCH('Sheet OS'!$N69,Charges!$A$3:$A$48,0),MATCH('Sheet OS'!$J69,Charges!$A$3:$S$3,0))</f>
        <v>200</v>
      </c>
      <c r="T69">
        <f t="shared" si="9"/>
        <v>1</v>
      </c>
      <c r="U69" t="str">
        <f>VLOOKUP(N69,'Last Status'!A:C,3,FALSE)</f>
        <v>COMPLETED</v>
      </c>
    </row>
    <row r="70" spans="1:21" x14ac:dyDescent="0.35">
      <c r="A70" t="s">
        <v>10</v>
      </c>
      <c r="B70" t="s">
        <v>11</v>
      </c>
      <c r="C70" t="s">
        <v>39</v>
      </c>
      <c r="D70">
        <v>10000</v>
      </c>
      <c r="E70" t="s">
        <v>62</v>
      </c>
      <c r="F70" t="s">
        <v>65</v>
      </c>
      <c r="G70">
        <v>1.4999999999999999E-2</v>
      </c>
      <c r="H70" s="1">
        <v>44223</v>
      </c>
      <c r="I70" t="s">
        <v>119</v>
      </c>
      <c r="J70" t="s">
        <v>124</v>
      </c>
      <c r="K70" t="str">
        <f t="shared" si="6"/>
        <v>BINA</v>
      </c>
      <c r="L70" t="str">
        <f t="shared" si="7"/>
        <v>AD</v>
      </c>
      <c r="M70">
        <v>69</v>
      </c>
      <c r="N70" t="str">
        <f t="shared" si="10"/>
        <v>REF2111000068</v>
      </c>
      <c r="O70" s="3">
        <f t="shared" si="11"/>
        <v>44223.533333333333</v>
      </c>
      <c r="P70">
        <f t="shared" si="8"/>
        <v>14</v>
      </c>
      <c r="Q70">
        <f>COUNTIF($N$2:$N$91,$N70)</f>
        <v>2</v>
      </c>
      <c r="R70" t="str">
        <f>VLOOKUP(N70,AvgTime!$A:$E,5,FALSE)</f>
        <v>Delay</v>
      </c>
      <c r="S70" s="7">
        <f>INDEX(Charges!$A$3:$S$48,MATCH('Sheet OS'!$N70,Charges!$A$3:$A$48,0),MATCH('Sheet OS'!$J70,Charges!$A$3:$S$3,0))</f>
        <v>147</v>
      </c>
      <c r="T70">
        <f t="shared" si="9"/>
        <v>1</v>
      </c>
      <c r="U70" t="str">
        <f>VLOOKUP(N70,'Last Status'!A:C,3,FALSE)</f>
        <v>COMPLETED</v>
      </c>
    </row>
    <row r="71" spans="1:21" x14ac:dyDescent="0.35">
      <c r="A71" t="s">
        <v>10</v>
      </c>
      <c r="B71" t="s">
        <v>12</v>
      </c>
      <c r="C71" t="s">
        <v>40</v>
      </c>
      <c r="D71">
        <v>2345</v>
      </c>
      <c r="E71" t="s">
        <v>62</v>
      </c>
      <c r="F71" t="s">
        <v>64</v>
      </c>
      <c r="G71">
        <v>0.02</v>
      </c>
      <c r="H71" s="1">
        <v>44549</v>
      </c>
      <c r="I71" t="s">
        <v>120</v>
      </c>
      <c r="J71" t="s">
        <v>123</v>
      </c>
      <c r="K71" t="str">
        <f t="shared" si="6"/>
        <v>CHAS</v>
      </c>
      <c r="L71" t="str">
        <f t="shared" si="7"/>
        <v>US</v>
      </c>
      <c r="M71">
        <v>70</v>
      </c>
      <c r="N71" t="str">
        <f t="shared" si="10"/>
        <v>REFTEST01234570</v>
      </c>
      <c r="O71" s="3">
        <f t="shared" si="11"/>
        <v>44549.425000000003</v>
      </c>
      <c r="P71">
        <f t="shared" si="8"/>
        <v>6</v>
      </c>
      <c r="Q71">
        <f>COUNTIF($N$2:$N$91,$N71)</f>
        <v>3</v>
      </c>
      <c r="R71" t="str">
        <f>VLOOKUP(N71,AvgTime!$A:$E,5,FALSE)</f>
        <v>Less than 24h</v>
      </c>
      <c r="S71" s="7">
        <f>INDEX(Charges!$A$3:$S$48,MATCH('Sheet OS'!$N71,Charges!$A$3:$A$48,0),MATCH('Sheet OS'!$J71,Charges!$A$3:$S$3,0))</f>
        <v>46.9</v>
      </c>
      <c r="T71">
        <f t="shared" si="9"/>
        <v>12</v>
      </c>
      <c r="U71" t="str">
        <f>VLOOKUP(N71,'Last Status'!A:C,3,FALSE)</f>
        <v>PENDING</v>
      </c>
    </row>
    <row r="72" spans="1:21" x14ac:dyDescent="0.35">
      <c r="A72" t="s">
        <v>10</v>
      </c>
      <c r="B72" t="s">
        <v>12</v>
      </c>
      <c r="C72" t="s">
        <v>40</v>
      </c>
      <c r="D72">
        <v>2345</v>
      </c>
      <c r="E72" t="s">
        <v>62</v>
      </c>
      <c r="F72" t="s">
        <v>65</v>
      </c>
      <c r="G72">
        <v>0.01</v>
      </c>
      <c r="H72" s="1">
        <v>44550</v>
      </c>
      <c r="I72" t="s">
        <v>121</v>
      </c>
      <c r="J72" t="s">
        <v>125</v>
      </c>
      <c r="K72" t="str">
        <f t="shared" si="6"/>
        <v>BINA</v>
      </c>
      <c r="L72" t="str">
        <f t="shared" si="7"/>
        <v>AD</v>
      </c>
      <c r="M72">
        <v>71</v>
      </c>
      <c r="N72" t="str">
        <f t="shared" si="10"/>
        <v>REFTEST01234570</v>
      </c>
      <c r="O72" s="3">
        <f t="shared" si="11"/>
        <v>44550.561805555553</v>
      </c>
      <c r="P72">
        <f t="shared" si="8"/>
        <v>6</v>
      </c>
      <c r="Q72">
        <f>COUNTIF($N$2:$N$91,$N72)</f>
        <v>3</v>
      </c>
      <c r="R72" t="str">
        <f>VLOOKUP(N72,AvgTime!$A:$E,5,FALSE)</f>
        <v>Less than 24h</v>
      </c>
      <c r="S72" s="7">
        <f>INDEX(Charges!$A$3:$S$48,MATCH('Sheet OS'!$N72,Charges!$A$3:$A$48,0),MATCH('Sheet OS'!$J72,Charges!$A$3:$S$3,0))</f>
        <v>22.980999999999998</v>
      </c>
      <c r="T72">
        <f t="shared" si="9"/>
        <v>12</v>
      </c>
      <c r="U72" t="str">
        <f>VLOOKUP(N72,'Last Status'!A:C,3,FALSE)</f>
        <v>PENDING</v>
      </c>
    </row>
    <row r="73" spans="1:21" x14ac:dyDescent="0.35">
      <c r="A73" t="s">
        <v>10</v>
      </c>
      <c r="B73" t="s">
        <v>12</v>
      </c>
      <c r="C73" t="s">
        <v>40</v>
      </c>
      <c r="D73">
        <v>2345</v>
      </c>
      <c r="E73" t="s">
        <v>62</v>
      </c>
      <c r="F73" t="s">
        <v>66</v>
      </c>
      <c r="G73">
        <v>0.02</v>
      </c>
      <c r="H73" s="1">
        <v>44550</v>
      </c>
      <c r="I73" t="s">
        <v>74</v>
      </c>
      <c r="J73" t="s">
        <v>124</v>
      </c>
      <c r="K73" t="str">
        <f t="shared" si="6"/>
        <v>BSJU</v>
      </c>
      <c r="L73" t="str">
        <f t="shared" si="7"/>
        <v>AR</v>
      </c>
      <c r="M73">
        <v>72</v>
      </c>
      <c r="N73" t="str">
        <f t="shared" si="10"/>
        <v>REFTEST01234570</v>
      </c>
      <c r="O73" s="3">
        <f t="shared" si="11"/>
        <v>44550</v>
      </c>
      <c r="P73">
        <f t="shared" si="8"/>
        <v>6</v>
      </c>
      <c r="Q73">
        <f>COUNTIF($N$2:$N$91,$N73)</f>
        <v>3</v>
      </c>
      <c r="R73" t="str">
        <f>VLOOKUP(N73,AvgTime!$A:$E,5,FALSE)</f>
        <v>Less than 24h</v>
      </c>
      <c r="S73" s="7">
        <f>INDEX(Charges!$A$3:$S$48,MATCH('Sheet OS'!$N73,Charges!$A$3:$A$48,0),MATCH('Sheet OS'!$J73,Charges!$A$3:$S$3,0))</f>
        <v>45.502380000000002</v>
      </c>
      <c r="T73">
        <f t="shared" si="9"/>
        <v>12</v>
      </c>
      <c r="U73" t="str">
        <f>VLOOKUP(N73,'Last Status'!A:C,3,FALSE)</f>
        <v>PENDING</v>
      </c>
    </row>
    <row r="74" spans="1:21" x14ac:dyDescent="0.35">
      <c r="A74" t="s">
        <v>10</v>
      </c>
      <c r="B74" t="s">
        <v>13</v>
      </c>
      <c r="C74" t="s">
        <v>39</v>
      </c>
      <c r="D74">
        <v>7890</v>
      </c>
      <c r="E74" t="s">
        <v>62</v>
      </c>
      <c r="F74" t="s">
        <v>64</v>
      </c>
      <c r="G74">
        <v>0.01</v>
      </c>
      <c r="H74" s="1">
        <v>44297</v>
      </c>
      <c r="I74" t="s">
        <v>84</v>
      </c>
      <c r="J74" t="s">
        <v>123</v>
      </c>
      <c r="K74" t="str">
        <f t="shared" si="6"/>
        <v>CHAS</v>
      </c>
      <c r="L74" t="str">
        <f t="shared" si="7"/>
        <v>US</v>
      </c>
      <c r="M74">
        <v>73</v>
      </c>
      <c r="N74" t="str">
        <f t="shared" si="10"/>
        <v>REF211789073</v>
      </c>
      <c r="O74" s="3">
        <f t="shared" si="11"/>
        <v>44297.523611111108</v>
      </c>
      <c r="P74">
        <f t="shared" si="8"/>
        <v>14</v>
      </c>
      <c r="Q74">
        <f>COUNTIF($N$2:$N$91,$N74)</f>
        <v>3</v>
      </c>
      <c r="R74" t="str">
        <f>VLOOKUP(N74,AvgTime!$A:$E,5,FALSE)</f>
        <v>Delay</v>
      </c>
      <c r="S74" s="7">
        <f>INDEX(Charges!$A$3:$S$48,MATCH('Sheet OS'!$N74,Charges!$A$3:$A$48,0),MATCH('Sheet OS'!$J74,Charges!$A$3:$S$3,0))</f>
        <v>78.900000000000006</v>
      </c>
      <c r="T74">
        <f t="shared" si="9"/>
        <v>4</v>
      </c>
      <c r="U74" t="str">
        <f>VLOOKUP(N74,'Last Status'!A:C,3,FALSE)</f>
        <v>COMPLETED</v>
      </c>
    </row>
    <row r="75" spans="1:21" x14ac:dyDescent="0.35">
      <c r="A75" t="s">
        <v>10</v>
      </c>
      <c r="B75" t="s">
        <v>13</v>
      </c>
      <c r="C75" t="s">
        <v>39</v>
      </c>
      <c r="D75">
        <v>7890</v>
      </c>
      <c r="E75" t="s">
        <v>63</v>
      </c>
      <c r="F75" t="s">
        <v>67</v>
      </c>
      <c r="G75">
        <v>1.4999999999999999E-2</v>
      </c>
      <c r="H75" s="1">
        <v>44297</v>
      </c>
      <c r="I75" t="s">
        <v>122</v>
      </c>
      <c r="J75" t="s">
        <v>125</v>
      </c>
      <c r="K75" t="str">
        <f t="shared" si="6"/>
        <v>AGRI</v>
      </c>
      <c r="L75" t="str">
        <f t="shared" si="7"/>
        <v>FR</v>
      </c>
      <c r="M75">
        <v>74</v>
      </c>
      <c r="N75" t="str">
        <f t="shared" si="10"/>
        <v>REF211789073</v>
      </c>
      <c r="O75" s="3">
        <f t="shared" si="11"/>
        <v>44297.716666666667</v>
      </c>
      <c r="P75">
        <f t="shared" si="8"/>
        <v>14</v>
      </c>
      <c r="Q75">
        <f>COUNTIF($N$2:$N$91,$N75)</f>
        <v>3</v>
      </c>
      <c r="R75" t="str">
        <f>VLOOKUP(N75,AvgTime!$A:$E,5,FALSE)</f>
        <v>Delay</v>
      </c>
      <c r="S75" s="7">
        <f>INDEX(Charges!$A$3:$S$48,MATCH('Sheet OS'!$N75,Charges!$A$3:$A$48,0),MATCH('Sheet OS'!$J75,Charges!$A$3:$S$3,0))</f>
        <v>117.1665</v>
      </c>
      <c r="T75">
        <f t="shared" si="9"/>
        <v>4</v>
      </c>
      <c r="U75" t="str">
        <f>VLOOKUP(N75,'Last Status'!A:C,3,FALSE)</f>
        <v>COMPLETED</v>
      </c>
    </row>
    <row r="76" spans="1:21" x14ac:dyDescent="0.35">
      <c r="A76" t="s">
        <v>10</v>
      </c>
      <c r="B76" t="s">
        <v>13</v>
      </c>
      <c r="C76" t="s">
        <v>39</v>
      </c>
      <c r="D76">
        <v>7890</v>
      </c>
      <c r="E76" t="s">
        <v>63</v>
      </c>
      <c r="F76" t="s">
        <v>68</v>
      </c>
      <c r="G76">
        <v>1.4999999999999999E-2</v>
      </c>
      <c r="H76" s="1">
        <v>44299</v>
      </c>
      <c r="I76" t="s">
        <v>90</v>
      </c>
      <c r="J76" t="s">
        <v>124</v>
      </c>
      <c r="K76" t="str">
        <f t="shared" si="6"/>
        <v>REDJ</v>
      </c>
      <c r="L76" t="str">
        <f t="shared" si="7"/>
        <v>BY</v>
      </c>
      <c r="M76">
        <v>75</v>
      </c>
      <c r="N76" t="str">
        <f t="shared" si="10"/>
        <v>REF211789073</v>
      </c>
      <c r="O76" s="3">
        <f t="shared" si="11"/>
        <v>44299.756944444445</v>
      </c>
      <c r="P76">
        <f t="shared" si="8"/>
        <v>14</v>
      </c>
      <c r="Q76">
        <f>COUNTIF($N$2:$N$91,$N76)</f>
        <v>3</v>
      </c>
      <c r="R76" t="str">
        <f>VLOOKUP(N76,AvgTime!$A:$E,5,FALSE)</f>
        <v>Delay</v>
      </c>
      <c r="S76" s="7">
        <f>INDEX(Charges!$A$3:$S$48,MATCH('Sheet OS'!$N76,Charges!$A$3:$A$48,0),MATCH('Sheet OS'!$J76,Charges!$A$3:$S$3,0))</f>
        <v>115.4090025</v>
      </c>
      <c r="T76">
        <f t="shared" si="9"/>
        <v>4</v>
      </c>
      <c r="U76" t="str">
        <f>VLOOKUP(N76,'Last Status'!A:C,3,FALSE)</f>
        <v>COMPLETED</v>
      </c>
    </row>
    <row r="77" spans="1:21" x14ac:dyDescent="0.35">
      <c r="A77" t="s">
        <v>10</v>
      </c>
      <c r="B77" t="s">
        <v>14</v>
      </c>
      <c r="C77" t="s">
        <v>39</v>
      </c>
      <c r="D77">
        <v>12000</v>
      </c>
      <c r="E77" t="s">
        <v>62</v>
      </c>
      <c r="F77" t="s">
        <v>64</v>
      </c>
      <c r="G77">
        <v>0.02</v>
      </c>
      <c r="H77" s="1">
        <v>44240</v>
      </c>
      <c r="I77" t="s">
        <v>80</v>
      </c>
      <c r="J77" t="s">
        <v>123</v>
      </c>
      <c r="K77" t="str">
        <f t="shared" si="6"/>
        <v>CHAS</v>
      </c>
      <c r="L77" t="str">
        <f t="shared" si="7"/>
        <v>US</v>
      </c>
      <c r="M77">
        <v>76</v>
      </c>
      <c r="N77" t="str">
        <f t="shared" si="10"/>
        <v>REF2111200076</v>
      </c>
      <c r="O77" s="3">
        <f t="shared" si="11"/>
        <v>44240.386111111111</v>
      </c>
      <c r="P77">
        <f t="shared" si="8"/>
        <v>14</v>
      </c>
      <c r="Q77">
        <f>COUNTIF($N$2:$N$91,$N77)</f>
        <v>2</v>
      </c>
      <c r="R77" t="str">
        <f>VLOOKUP(N77,AvgTime!$A:$E,5,FALSE)</f>
        <v>Delay</v>
      </c>
      <c r="S77" s="7">
        <f>INDEX(Charges!$A$3:$S$48,MATCH('Sheet OS'!$N77,Charges!$A$3:$A$48,0),MATCH('Sheet OS'!$J77,Charges!$A$3:$S$3,0))</f>
        <v>240</v>
      </c>
      <c r="T77">
        <f t="shared" si="9"/>
        <v>2</v>
      </c>
      <c r="U77" t="str">
        <f>VLOOKUP(N77,'Last Status'!A:C,3,FALSE)</f>
        <v>COMPLETED</v>
      </c>
    </row>
    <row r="78" spans="1:21" x14ac:dyDescent="0.35">
      <c r="A78" t="s">
        <v>10</v>
      </c>
      <c r="B78" t="s">
        <v>14</v>
      </c>
      <c r="C78" t="s">
        <v>39</v>
      </c>
      <c r="D78">
        <v>12000</v>
      </c>
      <c r="E78" t="s">
        <v>62</v>
      </c>
      <c r="F78" t="s">
        <v>67</v>
      </c>
      <c r="G78">
        <v>0.01</v>
      </c>
      <c r="H78" s="1">
        <v>44241</v>
      </c>
      <c r="I78" t="s">
        <v>81</v>
      </c>
      <c r="J78" t="s">
        <v>124</v>
      </c>
      <c r="K78" t="str">
        <f t="shared" si="6"/>
        <v>AGRI</v>
      </c>
      <c r="L78" t="str">
        <f t="shared" si="7"/>
        <v>FR</v>
      </c>
      <c r="M78">
        <v>77</v>
      </c>
      <c r="N78" t="str">
        <f t="shared" si="10"/>
        <v>REF2111200076</v>
      </c>
      <c r="O78" s="3">
        <f t="shared" si="11"/>
        <v>44241.522222222222</v>
      </c>
      <c r="P78">
        <f t="shared" si="8"/>
        <v>14</v>
      </c>
      <c r="Q78">
        <f>COUNTIF($N$2:$N$91,$N78)</f>
        <v>2</v>
      </c>
      <c r="R78" t="str">
        <f>VLOOKUP(N78,AvgTime!$A:$E,5,FALSE)</f>
        <v>Delay</v>
      </c>
      <c r="S78" s="7">
        <f>INDEX(Charges!$A$3:$S$48,MATCH('Sheet OS'!$N78,Charges!$A$3:$A$48,0),MATCH('Sheet OS'!$J78,Charges!$A$3:$S$3,0))</f>
        <v>117.60000000000001</v>
      </c>
      <c r="T78">
        <f t="shared" si="9"/>
        <v>2</v>
      </c>
      <c r="U78" t="str">
        <f>VLOOKUP(N78,'Last Status'!A:C,3,FALSE)</f>
        <v>COMPLETED</v>
      </c>
    </row>
    <row r="79" spans="1:21" x14ac:dyDescent="0.35">
      <c r="A79" t="s">
        <v>10</v>
      </c>
      <c r="B79" t="s">
        <v>15</v>
      </c>
      <c r="C79" t="s">
        <v>41</v>
      </c>
      <c r="D79">
        <v>12000</v>
      </c>
      <c r="E79" t="s">
        <v>62</v>
      </c>
      <c r="F79" t="s">
        <v>64</v>
      </c>
      <c r="G79">
        <v>0.02</v>
      </c>
      <c r="H79" s="1">
        <v>44388</v>
      </c>
      <c r="I79" t="s">
        <v>82</v>
      </c>
      <c r="J79" t="s">
        <v>123</v>
      </c>
      <c r="K79" t="str">
        <f t="shared" si="6"/>
        <v>CHAS</v>
      </c>
      <c r="L79" t="str">
        <f t="shared" si="7"/>
        <v>US</v>
      </c>
      <c r="M79">
        <v>78</v>
      </c>
      <c r="N79" t="str">
        <f t="shared" si="10"/>
        <v>REF211200078</v>
      </c>
      <c r="O79" s="3">
        <f t="shared" si="11"/>
        <v>44388.424305555556</v>
      </c>
      <c r="P79">
        <f t="shared" si="8"/>
        <v>4</v>
      </c>
      <c r="Q79">
        <f>COUNTIF($N$2:$N$91,$N79)</f>
        <v>2</v>
      </c>
      <c r="R79" t="str">
        <f>VLOOKUP(N79,AvgTime!$A:$E,5,FALSE)</f>
        <v>Less than 24h</v>
      </c>
      <c r="S79" s="7">
        <f>INDEX(Charges!$A$3:$S$48,MATCH('Sheet OS'!$N79,Charges!$A$3:$A$48,0),MATCH('Sheet OS'!$J79,Charges!$A$3:$S$3,0))</f>
        <v>240</v>
      </c>
      <c r="T79">
        <f t="shared" si="9"/>
        <v>7</v>
      </c>
      <c r="U79" t="str">
        <f>VLOOKUP(N79,'Last Status'!A:C,3,FALSE)</f>
        <v>DELIVERED</v>
      </c>
    </row>
    <row r="80" spans="1:21" x14ac:dyDescent="0.35">
      <c r="A80" t="s">
        <v>10</v>
      </c>
      <c r="B80" t="s">
        <v>15</v>
      </c>
      <c r="C80" t="s">
        <v>41</v>
      </c>
      <c r="D80">
        <v>12000</v>
      </c>
      <c r="E80" t="s">
        <v>63</v>
      </c>
      <c r="F80" t="s">
        <v>67</v>
      </c>
      <c r="G80">
        <v>0.03</v>
      </c>
      <c r="H80" s="1">
        <v>44388</v>
      </c>
      <c r="I80" t="s">
        <v>79</v>
      </c>
      <c r="J80" t="s">
        <v>126</v>
      </c>
      <c r="K80" t="str">
        <f t="shared" si="6"/>
        <v>AGRI</v>
      </c>
      <c r="L80" t="str">
        <f t="shared" si="7"/>
        <v>FR</v>
      </c>
      <c r="M80">
        <v>79</v>
      </c>
      <c r="N80" t="str">
        <f t="shared" si="10"/>
        <v>REF211200078</v>
      </c>
      <c r="O80" s="3">
        <f t="shared" si="11"/>
        <v>44388.731944444444</v>
      </c>
      <c r="P80">
        <f t="shared" si="8"/>
        <v>4</v>
      </c>
      <c r="Q80">
        <f>COUNTIF($N$2:$N$91,$N80)</f>
        <v>2</v>
      </c>
      <c r="R80" t="str">
        <f>VLOOKUP(N80,AvgTime!$A:$E,5,FALSE)</f>
        <v>Less than 24h</v>
      </c>
      <c r="S80" s="7">
        <f>INDEX(Charges!$A$3:$S$48,MATCH('Sheet OS'!$N80,Charges!$A$3:$A$48,0),MATCH('Sheet OS'!$J80,Charges!$A$3:$S$3,0))</f>
        <v>352.8</v>
      </c>
      <c r="T80">
        <f t="shared" si="9"/>
        <v>7</v>
      </c>
      <c r="U80" t="str">
        <f>VLOOKUP(N80,'Last Status'!A:C,3,FALSE)</f>
        <v>DELIVERED</v>
      </c>
    </row>
    <row r="81" spans="1:21" x14ac:dyDescent="0.35">
      <c r="A81" t="s">
        <v>10</v>
      </c>
      <c r="B81" t="s">
        <v>16</v>
      </c>
      <c r="C81" t="s">
        <v>42</v>
      </c>
      <c r="D81">
        <v>30000</v>
      </c>
      <c r="E81" t="s">
        <v>62</v>
      </c>
      <c r="F81" t="s">
        <v>64</v>
      </c>
      <c r="G81">
        <v>0.02</v>
      </c>
      <c r="H81" s="1">
        <v>44305</v>
      </c>
      <c r="I81" t="s">
        <v>83</v>
      </c>
      <c r="J81" t="s">
        <v>123</v>
      </c>
      <c r="K81" t="str">
        <f t="shared" si="6"/>
        <v>CHAS</v>
      </c>
      <c r="L81" t="str">
        <f t="shared" si="7"/>
        <v>US</v>
      </c>
      <c r="M81">
        <v>80</v>
      </c>
      <c r="N81" t="str">
        <f t="shared" si="10"/>
        <v>REF1113000080</v>
      </c>
      <c r="O81" s="3">
        <f t="shared" si="11"/>
        <v>44305.551388888889</v>
      </c>
      <c r="P81">
        <f t="shared" si="8"/>
        <v>4</v>
      </c>
      <c r="Q81">
        <f>COUNTIF($N$2:$N$91,$N81)</f>
        <v>1</v>
      </c>
      <c r="R81" t="str">
        <f>VLOOKUP(N81,AvgTime!$A:$E,5,FALSE)</f>
        <v>NotCompleted</v>
      </c>
      <c r="S81" s="7">
        <f>INDEX(Charges!$A$3:$S$48,MATCH('Sheet OS'!$N81,Charges!$A$3:$A$48,0),MATCH('Sheet OS'!$J81,Charges!$A$3:$S$3,0))</f>
        <v>600</v>
      </c>
      <c r="T81">
        <f t="shared" si="9"/>
        <v>4</v>
      </c>
      <c r="U81" t="str">
        <f>VLOOKUP(N81,'Last Status'!A:C,3,FALSE)</f>
        <v>NEW</v>
      </c>
    </row>
    <row r="82" spans="1:21" x14ac:dyDescent="0.35">
      <c r="A82" t="s">
        <v>10</v>
      </c>
      <c r="B82" t="s">
        <v>16</v>
      </c>
      <c r="C82" t="s">
        <v>42</v>
      </c>
      <c r="D82">
        <v>3000</v>
      </c>
      <c r="E82" t="s">
        <v>62</v>
      </c>
      <c r="F82" t="s">
        <v>65</v>
      </c>
      <c r="G82">
        <v>0.01</v>
      </c>
      <c r="H82" s="1">
        <v>44306</v>
      </c>
      <c r="I82" t="s">
        <v>84</v>
      </c>
      <c r="J82" t="s">
        <v>124</v>
      </c>
      <c r="K82" t="str">
        <f t="shared" si="6"/>
        <v>BINA</v>
      </c>
      <c r="L82" t="str">
        <f t="shared" si="7"/>
        <v>AD</v>
      </c>
      <c r="M82">
        <v>81</v>
      </c>
      <c r="N82" t="str">
        <f t="shared" si="10"/>
        <v>REF111300081</v>
      </c>
      <c r="O82" s="3">
        <f t="shared" si="11"/>
        <v>44306.523611111108</v>
      </c>
      <c r="P82">
        <f t="shared" si="8"/>
        <v>4</v>
      </c>
      <c r="Q82">
        <f>COUNTIF($N$2:$N$91,$N82)</f>
        <v>1</v>
      </c>
      <c r="R82" t="str">
        <f>VLOOKUP(N82,AvgTime!$A:$E,5,FALSE)</f>
        <v>Less than 24h</v>
      </c>
      <c r="S82" s="7">
        <f>INDEX(Charges!$A$3:$S$48,MATCH('Sheet OS'!$N82,Charges!$A$3:$A$48,0),MATCH('Sheet OS'!$J82,Charges!$A$3:$S$3,0))</f>
        <v>30</v>
      </c>
      <c r="T82">
        <f t="shared" si="9"/>
        <v>4</v>
      </c>
      <c r="U82" t="str">
        <f>VLOOKUP(N82,'Last Status'!A:C,3,FALSE)</f>
        <v>COMPLETED</v>
      </c>
    </row>
    <row r="83" spans="1:21" x14ac:dyDescent="0.35">
      <c r="A83" t="s">
        <v>10</v>
      </c>
      <c r="B83" t="s">
        <v>17</v>
      </c>
      <c r="C83" t="s">
        <v>43</v>
      </c>
      <c r="D83">
        <v>12400</v>
      </c>
      <c r="E83" t="s">
        <v>62</v>
      </c>
      <c r="F83" t="s">
        <v>64</v>
      </c>
      <c r="G83">
        <v>0.02</v>
      </c>
      <c r="H83" s="1">
        <v>44454</v>
      </c>
      <c r="I83" t="s">
        <v>85</v>
      </c>
      <c r="J83" t="s">
        <v>123</v>
      </c>
      <c r="K83" t="str">
        <f t="shared" si="6"/>
        <v>CHAS</v>
      </c>
      <c r="L83" t="str">
        <f t="shared" si="7"/>
        <v>US</v>
      </c>
      <c r="M83">
        <v>82</v>
      </c>
      <c r="N83" t="str">
        <f t="shared" si="10"/>
        <v>REFD2021021240082</v>
      </c>
      <c r="O83" s="3">
        <f t="shared" si="11"/>
        <v>44454.432638888888</v>
      </c>
      <c r="P83">
        <f t="shared" si="8"/>
        <v>6</v>
      </c>
      <c r="Q83">
        <f>COUNTIF($N$2:$N$91,$N83)</f>
        <v>3</v>
      </c>
      <c r="R83" t="str">
        <f>VLOOKUP(N83,AvgTime!$A:$E,5,FALSE)</f>
        <v>NotCompleted</v>
      </c>
      <c r="S83" s="7">
        <f>INDEX(Charges!$A$3:$S$48,MATCH('Sheet OS'!$N83,Charges!$A$3:$A$48,0),MATCH('Sheet OS'!$J83,Charges!$A$3:$S$3,0))</f>
        <v>248</v>
      </c>
      <c r="T83">
        <f t="shared" si="9"/>
        <v>9</v>
      </c>
      <c r="U83" t="str">
        <f>VLOOKUP(N83,'Last Status'!A:C,3,FALSE)</f>
        <v>PROCESSING</v>
      </c>
    </row>
    <row r="84" spans="1:21" x14ac:dyDescent="0.35">
      <c r="A84" t="s">
        <v>10</v>
      </c>
      <c r="B84" t="s">
        <v>17</v>
      </c>
      <c r="C84" t="s">
        <v>43</v>
      </c>
      <c r="D84">
        <v>12400</v>
      </c>
      <c r="E84" t="s">
        <v>62</v>
      </c>
      <c r="F84" t="s">
        <v>67</v>
      </c>
      <c r="G84">
        <v>0.01</v>
      </c>
      <c r="H84" s="1">
        <v>44455</v>
      </c>
      <c r="I84" t="s">
        <v>86</v>
      </c>
      <c r="J84" t="s">
        <v>127</v>
      </c>
      <c r="K84" t="str">
        <f t="shared" si="6"/>
        <v>AGRI</v>
      </c>
      <c r="L84" t="str">
        <f t="shared" si="7"/>
        <v>FR</v>
      </c>
      <c r="M84">
        <v>83</v>
      </c>
      <c r="N84" t="str">
        <f t="shared" si="10"/>
        <v>REFD2021021240082</v>
      </c>
      <c r="O84" s="3">
        <f t="shared" si="11"/>
        <v>44455.488194444442</v>
      </c>
      <c r="P84">
        <f t="shared" si="8"/>
        <v>6</v>
      </c>
      <c r="Q84">
        <f>COUNTIF($N$2:$N$91,$N84)</f>
        <v>3</v>
      </c>
      <c r="R84" t="str">
        <f>VLOOKUP(N84,AvgTime!$A:$E,5,FALSE)</f>
        <v>NotCompleted</v>
      </c>
      <c r="S84" s="7">
        <f>INDEX(Charges!$A$3:$S$48,MATCH('Sheet OS'!$N84,Charges!$A$3:$A$48,0),MATCH('Sheet OS'!$J84,Charges!$A$3:$S$3,0))</f>
        <v>2209.6799999999998</v>
      </c>
      <c r="T84">
        <f t="shared" si="9"/>
        <v>9</v>
      </c>
      <c r="U84" t="str">
        <f>VLOOKUP(N84,'Last Status'!A:C,3,FALSE)</f>
        <v>PROCESSING</v>
      </c>
    </row>
    <row r="85" spans="1:21" x14ac:dyDescent="0.35">
      <c r="A85" t="s">
        <v>10</v>
      </c>
      <c r="B85" t="s">
        <v>17</v>
      </c>
      <c r="C85" t="s">
        <v>43</v>
      </c>
      <c r="D85">
        <v>12400</v>
      </c>
      <c r="E85" t="s">
        <v>62</v>
      </c>
      <c r="F85" t="s">
        <v>68</v>
      </c>
      <c r="G85">
        <v>0.08</v>
      </c>
      <c r="H85" s="1">
        <v>44455</v>
      </c>
      <c r="I85" t="s">
        <v>87</v>
      </c>
      <c r="J85" t="s">
        <v>127</v>
      </c>
      <c r="K85" t="str">
        <f t="shared" si="6"/>
        <v>REDJ</v>
      </c>
      <c r="L85" t="str">
        <f t="shared" si="7"/>
        <v>BY</v>
      </c>
      <c r="M85">
        <v>84</v>
      </c>
      <c r="N85" t="str">
        <f t="shared" si="10"/>
        <v>REFD2021021240082</v>
      </c>
      <c r="O85" s="3">
        <f t="shared" si="11"/>
        <v>44455.709722222222</v>
      </c>
      <c r="P85">
        <f t="shared" si="8"/>
        <v>6</v>
      </c>
      <c r="Q85">
        <f>COUNTIF($N$2:$N$91,$N85)</f>
        <v>3</v>
      </c>
      <c r="R85" t="str">
        <f>VLOOKUP(N85,AvgTime!$A:$E,5,FALSE)</f>
        <v>NotCompleted</v>
      </c>
      <c r="S85" s="7">
        <f>INDEX(Charges!$A$3:$S$48,MATCH('Sheet OS'!$N85,Charges!$A$3:$A$48,0),MATCH('Sheet OS'!$J85,Charges!$A$3:$S$3,0))</f>
        <v>2209.6799999999998</v>
      </c>
      <c r="T85">
        <f t="shared" si="9"/>
        <v>9</v>
      </c>
      <c r="U85" t="str">
        <f>VLOOKUP(N85,'Last Status'!A:C,3,FALSE)</f>
        <v>PROCESSING</v>
      </c>
    </row>
    <row r="86" spans="1:21" x14ac:dyDescent="0.35">
      <c r="A86" t="s">
        <v>10</v>
      </c>
      <c r="B86" t="s">
        <v>18</v>
      </c>
      <c r="C86" t="s">
        <v>44</v>
      </c>
      <c r="D86">
        <v>17430</v>
      </c>
      <c r="E86" t="s">
        <v>62</v>
      </c>
      <c r="F86" t="s">
        <v>64</v>
      </c>
      <c r="G86">
        <v>0.01</v>
      </c>
      <c r="H86" s="1">
        <v>44388</v>
      </c>
      <c r="I86" t="s">
        <v>88</v>
      </c>
      <c r="J86" t="s">
        <v>123</v>
      </c>
      <c r="K86" t="str">
        <f t="shared" si="6"/>
        <v>CHAS</v>
      </c>
      <c r="L86" t="str">
        <f t="shared" si="7"/>
        <v>US</v>
      </c>
      <c r="M86">
        <v>85</v>
      </c>
      <c r="N86" t="str">
        <f t="shared" si="10"/>
        <v>REFD2021031743085</v>
      </c>
      <c r="O86" s="3">
        <f t="shared" si="11"/>
        <v>44388.529861111114</v>
      </c>
      <c r="P86">
        <f t="shared" si="8"/>
        <v>6</v>
      </c>
      <c r="Q86">
        <f>COUNTIF($N$2:$N$91,$N86)</f>
        <v>3</v>
      </c>
      <c r="R86" t="str">
        <f>VLOOKUP(N86,AvgTime!$A:$E,5,FALSE)</f>
        <v>Delay</v>
      </c>
      <c r="S86" s="7">
        <f>INDEX(Charges!$A$3:$S$48,MATCH('Sheet OS'!$N86,Charges!$A$3:$A$48,0),MATCH('Sheet OS'!$J86,Charges!$A$3:$S$3,0))</f>
        <v>174.3</v>
      </c>
      <c r="T86">
        <f t="shared" si="9"/>
        <v>7</v>
      </c>
      <c r="U86" t="str">
        <f>VLOOKUP(N86,'Last Status'!A:C,3,FALSE)</f>
        <v>DELIVERED</v>
      </c>
    </row>
    <row r="87" spans="1:21" x14ac:dyDescent="0.35">
      <c r="A87" t="s">
        <v>10</v>
      </c>
      <c r="B87" t="s">
        <v>18</v>
      </c>
      <c r="C87" t="s">
        <v>44</v>
      </c>
      <c r="D87">
        <v>17430</v>
      </c>
      <c r="E87" t="s">
        <v>62</v>
      </c>
      <c r="F87" t="s">
        <v>64</v>
      </c>
      <c r="G87">
        <v>0.02</v>
      </c>
      <c r="H87" s="1">
        <v>44389</v>
      </c>
      <c r="I87" t="s">
        <v>89</v>
      </c>
      <c r="J87" t="s">
        <v>125</v>
      </c>
      <c r="K87" t="str">
        <f t="shared" si="6"/>
        <v>CHAS</v>
      </c>
      <c r="L87" t="str">
        <f t="shared" si="7"/>
        <v>US</v>
      </c>
      <c r="M87">
        <v>86</v>
      </c>
      <c r="N87" t="str">
        <f t="shared" si="10"/>
        <v>REFD2021031743085</v>
      </c>
      <c r="O87" s="3">
        <f t="shared" si="11"/>
        <v>44389.65347222222</v>
      </c>
      <c r="P87">
        <f t="shared" si="8"/>
        <v>6</v>
      </c>
      <c r="Q87">
        <f>COUNTIF($N$2:$N$91,$N87)</f>
        <v>3</v>
      </c>
      <c r="R87" t="str">
        <f>VLOOKUP(N87,AvgTime!$A:$E,5,FALSE)</f>
        <v>Delay</v>
      </c>
      <c r="S87" s="7">
        <f>INDEX(Charges!$A$3:$S$48,MATCH('Sheet OS'!$N87,Charges!$A$3:$A$48,0),MATCH('Sheet OS'!$J87,Charges!$A$3:$S$3,0))</f>
        <v>345.11400000000003</v>
      </c>
      <c r="T87">
        <f t="shared" si="9"/>
        <v>7</v>
      </c>
      <c r="U87" t="str">
        <f>VLOOKUP(N87,'Last Status'!A:C,3,FALSE)</f>
        <v>DELIVERED</v>
      </c>
    </row>
    <row r="88" spans="1:21" x14ac:dyDescent="0.35">
      <c r="A88" t="s">
        <v>10</v>
      </c>
      <c r="B88" t="s">
        <v>18</v>
      </c>
      <c r="C88" t="s">
        <v>44</v>
      </c>
      <c r="D88">
        <v>17430</v>
      </c>
      <c r="E88" t="s">
        <v>62</v>
      </c>
      <c r="F88" t="s">
        <v>64</v>
      </c>
      <c r="G88">
        <v>0.01</v>
      </c>
      <c r="H88" s="1">
        <v>44390</v>
      </c>
      <c r="I88" t="s">
        <v>90</v>
      </c>
      <c r="J88" t="s">
        <v>126</v>
      </c>
      <c r="K88" t="str">
        <f t="shared" si="6"/>
        <v>CHAS</v>
      </c>
      <c r="L88" t="str">
        <f t="shared" si="7"/>
        <v>US</v>
      </c>
      <c r="M88">
        <v>87</v>
      </c>
      <c r="N88" t="str">
        <f t="shared" si="10"/>
        <v>REFD2021031743085</v>
      </c>
      <c r="O88" s="3">
        <f t="shared" si="11"/>
        <v>44390.756944444445</v>
      </c>
      <c r="P88">
        <f t="shared" si="8"/>
        <v>6</v>
      </c>
      <c r="Q88">
        <f>COUNTIF($N$2:$N$91,$N88)</f>
        <v>3</v>
      </c>
      <c r="R88" t="str">
        <f>VLOOKUP(N88,AvgTime!$A:$E,5,FALSE)</f>
        <v>Delay</v>
      </c>
      <c r="S88" s="7">
        <f>INDEX(Charges!$A$3:$S$48,MATCH('Sheet OS'!$N88,Charges!$A$3:$A$48,0),MATCH('Sheet OS'!$J88,Charges!$A$3:$S$3,0))</f>
        <v>169.10586000000001</v>
      </c>
      <c r="T88">
        <f t="shared" si="9"/>
        <v>7</v>
      </c>
      <c r="U88" t="str">
        <f>VLOOKUP(N88,'Last Status'!A:C,3,FALSE)</f>
        <v>DELIVERED</v>
      </c>
    </row>
    <row r="89" spans="1:21" x14ac:dyDescent="0.35">
      <c r="A89" t="s">
        <v>10</v>
      </c>
      <c r="B89" t="s">
        <v>19</v>
      </c>
      <c r="C89" t="s">
        <v>45</v>
      </c>
      <c r="D89">
        <v>12000</v>
      </c>
      <c r="E89" t="s">
        <v>62</v>
      </c>
      <c r="F89" t="s">
        <v>64</v>
      </c>
      <c r="G89">
        <v>0.01</v>
      </c>
      <c r="H89" s="1">
        <v>44474</v>
      </c>
      <c r="I89" t="s">
        <v>88</v>
      </c>
      <c r="J89" t="s">
        <v>123</v>
      </c>
      <c r="K89" t="str">
        <f t="shared" si="6"/>
        <v>CHAS</v>
      </c>
      <c r="L89" t="str">
        <f t="shared" si="7"/>
        <v>US</v>
      </c>
      <c r="M89">
        <v>88</v>
      </c>
      <c r="N89" t="str">
        <f t="shared" si="10"/>
        <v>REF0011200088</v>
      </c>
      <c r="O89" s="3">
        <f t="shared" si="11"/>
        <v>44474.529861111114</v>
      </c>
      <c r="P89">
        <f t="shared" si="8"/>
        <v>6</v>
      </c>
      <c r="Q89">
        <f>COUNTIF($N$2:$N$91,$N89)</f>
        <v>3</v>
      </c>
      <c r="R89" t="str">
        <f>VLOOKUP(N89,AvgTime!$A:$E,5,FALSE)</f>
        <v>NotCompleted</v>
      </c>
      <c r="S89" s="7">
        <f>INDEX(Charges!$A$3:$S$48,MATCH('Sheet OS'!$N89,Charges!$A$3:$A$48,0),MATCH('Sheet OS'!$J89,Charges!$A$3:$S$3,0))</f>
        <v>120</v>
      </c>
      <c r="T89">
        <f t="shared" si="9"/>
        <v>10</v>
      </c>
      <c r="U89" t="str">
        <f>VLOOKUP(N89,'Last Status'!A:C,3,FALSE)</f>
        <v>PENDING</v>
      </c>
    </row>
    <row r="90" spans="1:21" x14ac:dyDescent="0.35">
      <c r="A90" t="s">
        <v>10</v>
      </c>
      <c r="B90" t="s">
        <v>19</v>
      </c>
      <c r="C90" t="s">
        <v>45</v>
      </c>
      <c r="D90">
        <v>12000</v>
      </c>
      <c r="E90" t="s">
        <v>62</v>
      </c>
      <c r="F90" t="s">
        <v>64</v>
      </c>
      <c r="G90">
        <v>0.02</v>
      </c>
      <c r="H90" s="1">
        <v>44474</v>
      </c>
      <c r="I90" t="s">
        <v>91</v>
      </c>
      <c r="J90" t="s">
        <v>125</v>
      </c>
      <c r="K90" t="str">
        <f t="shared" si="6"/>
        <v>CHAS</v>
      </c>
      <c r="L90" t="str">
        <f t="shared" si="7"/>
        <v>US</v>
      </c>
      <c r="M90">
        <v>89</v>
      </c>
      <c r="N90" t="str">
        <f t="shared" si="10"/>
        <v>REF0011200088</v>
      </c>
      <c r="O90" s="3">
        <f t="shared" si="11"/>
        <v>44474.605555555558</v>
      </c>
      <c r="P90">
        <f t="shared" si="8"/>
        <v>6</v>
      </c>
      <c r="Q90">
        <f>COUNTIF($N$2:$N$91,$N90)</f>
        <v>3</v>
      </c>
      <c r="R90" t="str">
        <f>VLOOKUP(N90,AvgTime!$A:$E,5,FALSE)</f>
        <v>NotCompleted</v>
      </c>
      <c r="S90" s="7">
        <f>INDEX(Charges!$A$3:$S$48,MATCH('Sheet OS'!$N90,Charges!$A$3:$A$48,0),MATCH('Sheet OS'!$J90,Charges!$A$3:$S$3,0))</f>
        <v>716.4</v>
      </c>
      <c r="T90">
        <f t="shared" si="9"/>
        <v>10</v>
      </c>
      <c r="U90" t="str">
        <f>VLOOKUP(N90,'Last Status'!A:C,3,FALSE)</f>
        <v>PENDING</v>
      </c>
    </row>
    <row r="91" spans="1:21" x14ac:dyDescent="0.35">
      <c r="A91" t="s">
        <v>10</v>
      </c>
      <c r="B91" t="s">
        <v>19</v>
      </c>
      <c r="C91" t="s">
        <v>45</v>
      </c>
      <c r="D91">
        <v>12000</v>
      </c>
      <c r="E91" t="s">
        <v>63</v>
      </c>
      <c r="F91" t="s">
        <v>65</v>
      </c>
      <c r="G91">
        <v>0.01</v>
      </c>
      <c r="H91" s="1">
        <v>44476</v>
      </c>
      <c r="I91" t="s">
        <v>92</v>
      </c>
      <c r="J91" t="s">
        <v>125</v>
      </c>
      <c r="K91" t="str">
        <f t="shared" si="6"/>
        <v>BINA</v>
      </c>
      <c r="L91" t="str">
        <f t="shared" si="7"/>
        <v>AD</v>
      </c>
      <c r="M91">
        <v>90</v>
      </c>
      <c r="N91" t="str">
        <f t="shared" si="10"/>
        <v>REF0011200088</v>
      </c>
      <c r="O91" s="3">
        <f t="shared" si="11"/>
        <v>44476.76458333333</v>
      </c>
      <c r="P91">
        <f t="shared" si="8"/>
        <v>6</v>
      </c>
      <c r="Q91">
        <f>COUNTIF($N$2:$N$91,$N91)</f>
        <v>3</v>
      </c>
      <c r="R91" t="str">
        <f>VLOOKUP(N91,AvgTime!$A:$E,5,FALSE)</f>
        <v>NotCompleted</v>
      </c>
      <c r="S91" s="7">
        <f>INDEX(Charges!$A$3:$S$48,MATCH('Sheet OS'!$N91,Charges!$A$3:$A$48,0),MATCH('Sheet OS'!$J91,Charges!$A$3:$S$3,0))</f>
        <v>716.4</v>
      </c>
      <c r="T91">
        <f t="shared" si="9"/>
        <v>10</v>
      </c>
      <c r="U91" t="str">
        <f>VLOOKUP(N91,'Last Status'!A:C,3,FALSE)</f>
        <v>PENDING</v>
      </c>
    </row>
  </sheetData>
  <autoFilter ref="A1:Q91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1BF4-226E-4F2C-9096-B51B5B58DE2A}">
  <dimension ref="A1:E16"/>
  <sheetViews>
    <sheetView workbookViewId="0">
      <selection activeCell="C11" sqref="C11"/>
    </sheetView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1</v>
      </c>
      <c r="B2">
        <v>22</v>
      </c>
    </row>
    <row r="3" spans="1:5" x14ac:dyDescent="0.35">
      <c r="A3">
        <v>2</v>
      </c>
      <c r="B3">
        <v>10</v>
      </c>
    </row>
    <row r="4" spans="1:5" x14ac:dyDescent="0.35">
      <c r="A4">
        <v>3</v>
      </c>
      <c r="B4">
        <v>24</v>
      </c>
    </row>
    <row r="5" spans="1:5" x14ac:dyDescent="0.35">
      <c r="A5">
        <v>4</v>
      </c>
      <c r="B5">
        <v>5</v>
      </c>
    </row>
    <row r="6" spans="1:5" x14ac:dyDescent="0.35">
      <c r="A6">
        <v>5</v>
      </c>
      <c r="B6">
        <v>0</v>
      </c>
    </row>
    <row r="7" spans="1:5" x14ac:dyDescent="0.35">
      <c r="A7">
        <v>6</v>
      </c>
      <c r="B7">
        <v>0</v>
      </c>
    </row>
    <row r="8" spans="1:5" x14ac:dyDescent="0.35">
      <c r="A8">
        <v>7</v>
      </c>
      <c r="B8">
        <v>5</v>
      </c>
    </row>
    <row r="9" spans="1:5" x14ac:dyDescent="0.35">
      <c r="A9">
        <v>8</v>
      </c>
      <c r="B9">
        <v>0</v>
      </c>
    </row>
    <row r="10" spans="1:5" x14ac:dyDescent="0.35">
      <c r="A10">
        <v>9</v>
      </c>
      <c r="B10">
        <v>3</v>
      </c>
    </row>
    <row r="11" spans="1:5" x14ac:dyDescent="0.35">
      <c r="A11">
        <v>10</v>
      </c>
      <c r="B11">
        <v>3</v>
      </c>
    </row>
    <row r="12" spans="1:5" x14ac:dyDescent="0.35">
      <c r="A12">
        <v>11</v>
      </c>
      <c r="B12">
        <v>15</v>
      </c>
    </row>
    <row r="13" spans="1:5" x14ac:dyDescent="0.35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5">
      <c r="A14">
        <v>13</v>
      </c>
      <c r="C14" s="4">
        <f>_xlfn.FORECAST.ETS(A14,$B$2:$B$13,$A$2:$A$13,1,1)</f>
        <v>1.8395623696816583</v>
      </c>
      <c r="D14" s="14">
        <f>C14-_xlfn.FORECAST.ETS.CONFINT(A14,$B$2:$B$13,$A$2:$A$13,0.95,1,1)</f>
        <v>-14.369873597055449</v>
      </c>
      <c r="E14" s="14">
        <f>C14+_xlfn.FORECAST.ETS.CONFINT(A14,$B$2:$B$13,$A$2:$A$13,0.95,1,1)</f>
        <v>18.048998336418766</v>
      </c>
    </row>
    <row r="15" spans="1:5" x14ac:dyDescent="0.35">
      <c r="A15">
        <v>14</v>
      </c>
      <c r="C15" s="4">
        <f>_xlfn.FORECAST.ETS(A15,$B$2:$B$13,$A$2:$A$13,1,1)</f>
        <v>0.70834050745482691</v>
      </c>
      <c r="D15" s="14">
        <f>C15-_xlfn.FORECAST.ETS.CONFINT(A15,$B$2:$B$13,$A$2:$A$13,0.95,1,1)</f>
        <v>-16.003902412339901</v>
      </c>
      <c r="E15" s="14">
        <f>C15+_xlfn.FORECAST.ETS.CONFINT(A15,$B$2:$B$13,$A$2:$A$13,0.95,1,1)</f>
        <v>17.420583427249557</v>
      </c>
    </row>
    <row r="16" spans="1:5" x14ac:dyDescent="0.35">
      <c r="A16">
        <v>15</v>
      </c>
      <c r="C16" s="4">
        <f>_xlfn.FORECAST.ETS(A16,$B$2:$B$13,$A$2:$A$13,1,1)</f>
        <v>-0.42288135477198546</v>
      </c>
      <c r="D16" s="14">
        <f>C16-_xlfn.FORECAST.ETS.CONFINT(A16,$B$2:$B$13,$A$2:$A$13,0.95,1,1)</f>
        <v>-17.62708065626029</v>
      </c>
      <c r="E16" s="14">
        <f>C16+_xlfn.FORECAST.ETS.CONFINT(A16,$B$2:$B$13,$A$2:$A$13,0.95,1,1)</f>
        <v>16.781317946716321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F82-C9C6-4CE6-9A17-2C40371F9060}">
  <dimension ref="A1:E16"/>
  <sheetViews>
    <sheetView workbookViewId="0">
      <selection activeCell="B2" sqref="B2"/>
    </sheetView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1</v>
      </c>
      <c r="B2">
        <v>22</v>
      </c>
    </row>
    <row r="3" spans="1:5" x14ac:dyDescent="0.35">
      <c r="A3">
        <v>2</v>
      </c>
      <c r="B3">
        <v>10</v>
      </c>
    </row>
    <row r="4" spans="1:5" x14ac:dyDescent="0.35">
      <c r="A4">
        <v>3</v>
      </c>
      <c r="B4">
        <v>24</v>
      </c>
    </row>
    <row r="5" spans="1:5" x14ac:dyDescent="0.35">
      <c r="A5">
        <v>4</v>
      </c>
      <c r="B5">
        <v>5</v>
      </c>
    </row>
    <row r="6" spans="1:5" x14ac:dyDescent="0.35">
      <c r="A6">
        <v>5</v>
      </c>
      <c r="B6">
        <v>5</v>
      </c>
    </row>
    <row r="7" spans="1:5" x14ac:dyDescent="0.35">
      <c r="A7">
        <v>6</v>
      </c>
      <c r="B7">
        <v>5</v>
      </c>
    </row>
    <row r="8" spans="1:5" x14ac:dyDescent="0.35">
      <c r="A8">
        <v>7</v>
      </c>
      <c r="B8">
        <v>5</v>
      </c>
    </row>
    <row r="9" spans="1:5" x14ac:dyDescent="0.35">
      <c r="A9">
        <v>8</v>
      </c>
      <c r="B9">
        <v>4</v>
      </c>
    </row>
    <row r="10" spans="1:5" x14ac:dyDescent="0.35">
      <c r="A10">
        <v>9</v>
      </c>
      <c r="B10">
        <v>3</v>
      </c>
    </row>
    <row r="11" spans="1:5" x14ac:dyDescent="0.35">
      <c r="A11">
        <v>10</v>
      </c>
      <c r="B11">
        <v>3</v>
      </c>
    </row>
    <row r="12" spans="1:5" x14ac:dyDescent="0.35">
      <c r="A12">
        <v>11</v>
      </c>
      <c r="B12">
        <v>15</v>
      </c>
    </row>
    <row r="13" spans="1:5" x14ac:dyDescent="0.35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5">
      <c r="A14">
        <v>13</v>
      </c>
      <c r="C14" s="4">
        <f>_xlfn.FORECAST.ETS(A14,$B$2:$B$13,$A$2:$A$13,1,1)</f>
        <v>2.4570648510623787</v>
      </c>
      <c r="D14" s="14">
        <f>C14-_xlfn.FORECAST.ETS.CONFINT(A14,$B$2:$B$13,$A$2:$A$13,0.95,1,1)</f>
        <v>-11.544513219241729</v>
      </c>
      <c r="E14" s="14">
        <f>C14+_xlfn.FORECAST.ETS.CONFINT(A14,$B$2:$B$13,$A$2:$A$13,0.95,1,1)</f>
        <v>16.458642921366486</v>
      </c>
    </row>
    <row r="15" spans="1:5" x14ac:dyDescent="0.35">
      <c r="A15">
        <v>14</v>
      </c>
      <c r="C15" s="4">
        <f>_xlfn.FORECAST.ETS(A15,$B$2:$B$13,$A$2:$A$13,1,1)</f>
        <v>1.3014765978674556</v>
      </c>
      <c r="D15" s="14">
        <f>C15-_xlfn.FORECAST.ETS.CONFINT(A15,$B$2:$B$13,$A$2:$A$13,0.95,1,1)</f>
        <v>-13.134422001662642</v>
      </c>
      <c r="E15" s="14">
        <f>C15+_xlfn.FORECAST.ETS.CONFINT(A15,$B$2:$B$13,$A$2:$A$13,0.95,1,1)</f>
        <v>15.737375197397554</v>
      </c>
    </row>
    <row r="16" spans="1:5" x14ac:dyDescent="0.35">
      <c r="A16">
        <v>15</v>
      </c>
      <c r="C16" s="4">
        <f>_xlfn.FORECAST.ETS(A16,$B$2:$B$13,$A$2:$A$13,1,1)</f>
        <v>0.14588834467255021</v>
      </c>
      <c r="D16" s="14">
        <f>C16-_xlfn.FORECAST.ETS.CONFINT(A16,$B$2:$B$13,$A$2:$A$13,0.95,1,1)</f>
        <v>-14.71495814938034</v>
      </c>
      <c r="E16" s="14">
        <f>C16+_xlfn.FORECAST.ETS.CONFINT(A16,$B$2:$B$13,$A$2:$A$13,0.95,1,1)</f>
        <v>15.006734838725439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AEC2-BF0A-453C-BD76-D35D8F4629CD}">
  <dimension ref="B2:D13"/>
  <sheetViews>
    <sheetView workbookViewId="0">
      <selection activeCell="B10" sqref="B2:D10"/>
    </sheetView>
  </sheetViews>
  <sheetFormatPr baseColWidth="10" defaultRowHeight="14.5" x14ac:dyDescent="0.35"/>
  <sheetData>
    <row r="2" spans="2:4" x14ac:dyDescent="0.35">
      <c r="B2">
        <v>1</v>
      </c>
      <c r="C2">
        <f>COUNTIFS('Sheet OS'!$T$2:$T$91,'Transac par mois'!B2)</f>
        <v>22</v>
      </c>
      <c r="D2">
        <f>COUNTIFS('Sheet OS'!$T$2:$T$91,'Transac par mois'!C2)</f>
        <v>0</v>
      </c>
    </row>
    <row r="3" spans="2:4" x14ac:dyDescent="0.35">
      <c r="B3">
        <v>2</v>
      </c>
      <c r="C3">
        <f>COUNTIFS('Sheet OS'!$T$2:$T$91,'Transac par mois'!B3)</f>
        <v>10</v>
      </c>
      <c r="D3">
        <f>COUNTIFS('Sheet OS'!$T$2:$T$91,'Transac par mois'!C3)</f>
        <v>3</v>
      </c>
    </row>
    <row r="4" spans="2:4" x14ac:dyDescent="0.35">
      <c r="B4">
        <v>3</v>
      </c>
      <c r="C4">
        <f>COUNTIFS('Sheet OS'!$T$2:$T$91,'Transac par mois'!B4)</f>
        <v>24</v>
      </c>
      <c r="D4">
        <f>COUNTIFS('Sheet OS'!$T$2:$T$91,'Transac par mois'!C4)</f>
        <v>0</v>
      </c>
    </row>
    <row r="5" spans="2:4" x14ac:dyDescent="0.35">
      <c r="B5">
        <v>4</v>
      </c>
      <c r="C5">
        <f>COUNTIFS('Sheet OS'!$T$2:$T$91,'Transac par mois'!B5)</f>
        <v>5</v>
      </c>
      <c r="D5">
        <f>COUNTIFS('Sheet OS'!$T$2:$T$91,'Transac par mois'!C5)</f>
        <v>0</v>
      </c>
    </row>
    <row r="6" spans="2:4" x14ac:dyDescent="0.35">
      <c r="B6">
        <v>7</v>
      </c>
      <c r="C6">
        <f>COUNTIFS('Sheet OS'!$T$2:$T$91,'Transac par mois'!B6)</f>
        <v>5</v>
      </c>
      <c r="D6">
        <f>COUNTIFS('Sheet OS'!$T$2:$T$91,'Transac par mois'!C6)</f>
        <v>0</v>
      </c>
    </row>
    <row r="7" spans="2:4" x14ac:dyDescent="0.35">
      <c r="B7">
        <v>9</v>
      </c>
      <c r="C7">
        <f>COUNTIFS('Sheet OS'!$T$2:$T$91,'Transac par mois'!B7)</f>
        <v>3</v>
      </c>
      <c r="D7">
        <f>COUNTIFS('Sheet OS'!$T$2:$T$91,'Transac par mois'!C7)</f>
        <v>24</v>
      </c>
    </row>
    <row r="8" spans="2:4" x14ac:dyDescent="0.35">
      <c r="B8">
        <v>10</v>
      </c>
      <c r="C8">
        <f>COUNTIFS('Sheet OS'!$T$2:$T$91,'Transac par mois'!B8)</f>
        <v>3</v>
      </c>
      <c r="D8">
        <f>COUNTIFS('Sheet OS'!$T$2:$T$91,'Transac par mois'!C8)</f>
        <v>24</v>
      </c>
    </row>
    <row r="9" spans="2:4" x14ac:dyDescent="0.35">
      <c r="B9">
        <v>11</v>
      </c>
      <c r="C9">
        <f>COUNTIFS('Sheet OS'!$T$2:$T$91,'Transac par mois'!B9)</f>
        <v>15</v>
      </c>
      <c r="D9">
        <f>COUNTIFS('Sheet OS'!$T$2:$T$91,'Transac par mois'!C9)</f>
        <v>0</v>
      </c>
    </row>
    <row r="10" spans="2:4" x14ac:dyDescent="0.35">
      <c r="B10">
        <v>12</v>
      </c>
      <c r="C10">
        <f>COUNTIFS('Sheet OS'!$T$2:$T$91,'Transac par mois'!B10)</f>
        <v>3</v>
      </c>
      <c r="D10">
        <f>COUNTIFS('Sheet OS'!$T$2:$T$91,'Transac par mois'!C10)</f>
        <v>24</v>
      </c>
    </row>
    <row r="11" spans="2:4" x14ac:dyDescent="0.35">
      <c r="B11">
        <v>1</v>
      </c>
    </row>
    <row r="12" spans="2:4" x14ac:dyDescent="0.35">
      <c r="B12">
        <v>2</v>
      </c>
    </row>
    <row r="13" spans="2:4" x14ac:dyDescent="0.35">
      <c r="B13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A89E-917A-4B42-88D2-26C248F71D6E}">
  <sheetPr filterMode="1"/>
  <dimension ref="A1:H48"/>
  <sheetViews>
    <sheetView topLeftCell="A16" workbookViewId="0">
      <selection activeCell="G47" sqref="G47"/>
    </sheetView>
  </sheetViews>
  <sheetFormatPr baseColWidth="10" defaultRowHeight="14.5" x14ac:dyDescent="0.35"/>
  <cols>
    <col min="1" max="1" width="18.26953125" bestFit="1" customWidth="1"/>
    <col min="2" max="3" width="12.90625" bestFit="1" customWidth="1"/>
    <col min="4" max="4" width="11.90625" bestFit="1" customWidth="1"/>
    <col min="6" max="6" width="11.90625" bestFit="1" customWidth="1"/>
  </cols>
  <sheetData>
    <row r="1" spans="1:8" x14ac:dyDescent="0.35">
      <c r="D1" t="s">
        <v>176</v>
      </c>
      <c r="E1">
        <v>24</v>
      </c>
    </row>
    <row r="2" spans="1:8" x14ac:dyDescent="0.35">
      <c r="D2" t="s">
        <v>177</v>
      </c>
    </row>
    <row r="6" spans="1:8" x14ac:dyDescent="0.35">
      <c r="B6" t="s">
        <v>168</v>
      </c>
      <c r="C6" t="s">
        <v>169</v>
      </c>
      <c r="F6" t="s">
        <v>168</v>
      </c>
    </row>
    <row r="7" spans="1:8" x14ac:dyDescent="0.35">
      <c r="B7" t="s">
        <v>124</v>
      </c>
      <c r="C7" t="s">
        <v>123</v>
      </c>
      <c r="F7" t="s">
        <v>124</v>
      </c>
    </row>
    <row r="8" spans="1:8" x14ac:dyDescent="0.35">
      <c r="B8" t="s">
        <v>126</v>
      </c>
      <c r="E8" t="s">
        <v>170</v>
      </c>
      <c r="F8" t="s">
        <v>126</v>
      </c>
    </row>
    <row r="9" spans="1:8" x14ac:dyDescent="0.35">
      <c r="A9" t="s">
        <v>39</v>
      </c>
      <c r="B9" s="3">
        <f>_xlfn.MAXIFS('Sheet OS'!$O$2:$O$91,'Sheet OS'!$N$2:$N$91,AvgTime!$A9,'Sheet OS'!$J$2:$J$91,AvgTime!B$7)</f>
        <v>44272.65625</v>
      </c>
      <c r="C9" s="3">
        <f>_xlfn.MAXIFS('Sheet OS'!$O$2:$O$91,'Sheet OS'!$N$2:$N$91,AvgTime!$A9,'Sheet OS'!$J$2:$J$91,AvgTime!C$7)</f>
        <v>44271.34375</v>
      </c>
      <c r="D9" s="4">
        <f>(B9-C9)*24</f>
        <v>31.5</v>
      </c>
      <c r="E9" t="str">
        <f>IF(D9&gt;$E$1,"Delay",IF(D9&lt;0,"NotCompleted","Less than 24h"))</f>
        <v>Delay</v>
      </c>
      <c r="F9" s="3">
        <f>_xlfn.MAXIFS('Sheet OS'!$O$2:$O$91,'Sheet OS'!$N$2:$N$91,AvgTime!$A9,'Sheet OS'!$J$2:$J$91,AvgTime!F$7)</f>
        <v>44272.65625</v>
      </c>
      <c r="G9">
        <f>WEEKDAY(B9)</f>
        <v>4</v>
      </c>
      <c r="H9">
        <f>WEEKDAY(C9)</f>
        <v>3</v>
      </c>
    </row>
    <row r="10" spans="1:8" x14ac:dyDescent="0.35">
      <c r="A10" t="s">
        <v>134</v>
      </c>
      <c r="B10" s="3">
        <f>_xlfn.MAXIFS('Sheet OS'!$O$2:$O$91,'Sheet OS'!$N$2:$N$91,AvgTime!$A10,'Sheet OS'!$J$2:$J$91,AvgTime!B$7)</f>
        <v>44273.59375</v>
      </c>
      <c r="C10" s="3">
        <f>_xlfn.MAXIFS('Sheet OS'!$O$2:$O$91,'Sheet OS'!$N$2:$N$91,AvgTime!$A10,'Sheet OS'!$J$2:$J$91,AvgTime!C$7)</f>
        <v>44271</v>
      </c>
      <c r="D10" s="4">
        <f>(B10-C10)*24</f>
        <v>62.25</v>
      </c>
      <c r="E10" t="str">
        <f t="shared" ref="E10:E48" si="0">IF(D10&gt;$E$1,"Delay",IF(D10&lt;0,"NotCompleted","Less than 24h"))</f>
        <v>Delay</v>
      </c>
      <c r="G10">
        <f t="shared" ref="G10:G14" si="1">WEEKDAY(B10)</f>
        <v>5</v>
      </c>
      <c r="H10">
        <f t="shared" ref="H10:H14" si="2">WEEKDAY(C10)</f>
        <v>3</v>
      </c>
    </row>
    <row r="11" spans="1:8" x14ac:dyDescent="0.35">
      <c r="A11" t="s">
        <v>135</v>
      </c>
      <c r="B11" s="3">
        <f>_xlfn.MAXIFS('Sheet OS'!$O$2:$O$91,'Sheet OS'!$N$2:$N$91,AvgTime!$A11,'Sheet OS'!$J$2:$J$91,AvgTime!B$7)</f>
        <v>44503.731944444444</v>
      </c>
      <c r="C11" s="3">
        <f>_xlfn.MAXIFS('Sheet OS'!$O$2:$O$91,'Sheet OS'!$N$2:$N$91,AvgTime!$A11,'Sheet OS'!$J$2:$J$91,AvgTime!C$7)</f>
        <v>44502.356944444444</v>
      </c>
      <c r="D11" s="4">
        <f>(B11-C11)*24</f>
        <v>33</v>
      </c>
      <c r="E11" t="str">
        <f t="shared" si="0"/>
        <v>Delay</v>
      </c>
      <c r="G11">
        <f t="shared" si="1"/>
        <v>4</v>
      </c>
      <c r="H11">
        <f t="shared" si="2"/>
        <v>3</v>
      </c>
    </row>
    <row r="12" spans="1:8" x14ac:dyDescent="0.35">
      <c r="A12" t="s">
        <v>171</v>
      </c>
      <c r="B12" s="3">
        <f>_xlfn.MAXIFS('Sheet OS'!$O$2:$O$91,'Sheet OS'!$N$2:$N$91,AvgTime!$A12,'Sheet OS'!$J$2:$J$91,AvgTime!B$7)</f>
        <v>44271.522222222222</v>
      </c>
      <c r="C12" s="3">
        <f>_xlfn.MAXIFS('Sheet OS'!$O$2:$O$91,'Sheet OS'!$N$2:$N$91,AvgTime!$A12,'Sheet OS'!$J$2:$J$91,AvgTime!C$7)</f>
        <v>44271.386111111111</v>
      </c>
      <c r="D12" s="4">
        <f t="shared" ref="D12:D43" si="3">(B12-C12)*24</f>
        <v>3.2666666666627862</v>
      </c>
      <c r="E12" t="str">
        <f t="shared" si="0"/>
        <v>Less than 24h</v>
      </c>
      <c r="G12">
        <f t="shared" si="1"/>
        <v>3</v>
      </c>
      <c r="H12">
        <f t="shared" si="2"/>
        <v>3</v>
      </c>
    </row>
    <row r="13" spans="1:8" x14ac:dyDescent="0.35">
      <c r="A13" t="s">
        <v>136</v>
      </c>
      <c r="B13" s="3">
        <f>_xlfn.MAXIFS('Sheet OS'!$O$2:$O$91,'Sheet OS'!$N$2:$N$91,AvgTime!$A13,'Sheet OS'!$J$2:$J$91,AvgTime!B$8)</f>
        <v>44271.731944444444</v>
      </c>
      <c r="C13" s="3">
        <f>_xlfn.MAXIFS('Sheet OS'!$O$2:$O$91,'Sheet OS'!$N$2:$N$91,AvgTime!$A13,'Sheet OS'!$J$2:$J$91,AvgTime!C$7)</f>
        <v>44271.424305555556</v>
      </c>
      <c r="D13" s="4">
        <f t="shared" si="3"/>
        <v>7.3833333333022892</v>
      </c>
      <c r="E13" t="str">
        <f t="shared" si="0"/>
        <v>Less than 24h</v>
      </c>
      <c r="G13">
        <f t="shared" si="1"/>
        <v>3</v>
      </c>
      <c r="H13">
        <f t="shared" si="2"/>
        <v>3</v>
      </c>
    </row>
    <row r="14" spans="1:8" x14ac:dyDescent="0.35">
      <c r="A14" t="s">
        <v>137</v>
      </c>
      <c r="B14" s="3">
        <f>_xlfn.MAXIFS('Sheet OS'!$O$2:$O$91,'Sheet OS'!$N$2:$N$91,AvgTime!$A14,'Sheet OS'!$J$2:$J$91,AvgTime!B$7)</f>
        <v>44276.523611111108</v>
      </c>
      <c r="C14" s="3">
        <f>_xlfn.MAXIFS('Sheet OS'!$O$2:$O$91,'Sheet OS'!$N$2:$N$91,AvgTime!$A14,'Sheet OS'!$J$2:$J$91,AvgTime!C$7)</f>
        <v>44275.551388888889</v>
      </c>
      <c r="D14" s="4">
        <f t="shared" si="3"/>
        <v>23.333333333255723</v>
      </c>
      <c r="E14" t="str">
        <f t="shared" si="0"/>
        <v>Less than 24h</v>
      </c>
      <c r="G14">
        <f t="shared" si="1"/>
        <v>1</v>
      </c>
      <c r="H14">
        <f t="shared" si="2"/>
        <v>7</v>
      </c>
    </row>
    <row r="15" spans="1:8" hidden="1" x14ac:dyDescent="0.35">
      <c r="A15" t="s">
        <v>138</v>
      </c>
      <c r="B15" s="3">
        <f>_xlfn.MAXIFS('Sheet OS'!$O$2:$O$91,'Sheet OS'!$N$2:$N$91,AvgTime!$A15,'Sheet OS'!$J$2:$J$91,AvgTime!B$8)</f>
        <v>0</v>
      </c>
      <c r="C15" s="3">
        <f>_xlfn.MAXIFS('Sheet OS'!$O$2:$O$91,'Sheet OS'!$N$2:$N$91,AvgTime!$A15,'Sheet OS'!$J$2:$J$91,AvgTime!C$7)</f>
        <v>44248.432638888888</v>
      </c>
      <c r="D15" s="4">
        <f t="shared" si="3"/>
        <v>-1061962.3833333333</v>
      </c>
      <c r="E15" t="str">
        <f t="shared" si="0"/>
        <v>NotCompleted</v>
      </c>
    </row>
    <row r="16" spans="1:8" x14ac:dyDescent="0.35">
      <c r="A16" t="s">
        <v>139</v>
      </c>
      <c r="B16" s="3">
        <f>_xlfn.MAXIFS('Sheet OS'!$O$2:$O$91,'Sheet OS'!$N$2:$N$91,AvgTime!$A16,'Sheet OS'!$J$2:$J$91,AvgTime!B$8)</f>
        <v>44253.756944444445</v>
      </c>
      <c r="C16" s="3">
        <f>_xlfn.MAXIFS('Sheet OS'!$O$2:$O$91,'Sheet OS'!$N$2:$N$91,AvgTime!$A16,'Sheet OS'!$J$2:$J$91,AvgTime!C$7)</f>
        <v>44253.529861111114</v>
      </c>
      <c r="D16" s="4">
        <f t="shared" si="3"/>
        <v>5.4499999999534339</v>
      </c>
      <c r="E16" t="str">
        <f t="shared" si="0"/>
        <v>Less than 24h</v>
      </c>
      <c r="G16">
        <f>WEEKDAY(B16)</f>
        <v>6</v>
      </c>
      <c r="H16">
        <f>WEEKDAY(C16)</f>
        <v>6</v>
      </c>
    </row>
    <row r="17" spans="1:8" hidden="1" x14ac:dyDescent="0.35">
      <c r="A17" t="s">
        <v>140</v>
      </c>
      <c r="B17" s="3">
        <f>_xlfn.MAXIFS('Sheet OS'!$O$2:$O$91,'Sheet OS'!$N$2:$N$91,AvgTime!$A17,'Sheet OS'!$J$2:$J$91,AvgTime!B$8)</f>
        <v>0</v>
      </c>
      <c r="C17" s="3">
        <f>_xlfn.MAXIFS('Sheet OS'!$O$2:$O$91,'Sheet OS'!$N$2:$N$91,AvgTime!$A17,'Sheet OS'!$J$2:$J$91,AvgTime!C$7)</f>
        <v>44571.529861111114</v>
      </c>
      <c r="D17" s="4">
        <f t="shared" si="3"/>
        <v>-1069716.7166666668</v>
      </c>
      <c r="E17" t="str">
        <f t="shared" si="0"/>
        <v>NotCompleted</v>
      </c>
    </row>
    <row r="18" spans="1:8" x14ac:dyDescent="0.35">
      <c r="A18" t="s">
        <v>141</v>
      </c>
      <c r="B18" s="3">
        <f>_xlfn.MAXIFS('Sheet OS'!$O$2:$O$91,'Sheet OS'!$N$2:$N$91,AvgTime!$A18,'Sheet OS'!$J$2:$J$91,AvgTime!B$7)</f>
        <v>44235.722916666666</v>
      </c>
      <c r="C18" s="3">
        <f>_xlfn.MAXIFS('Sheet OS'!$O$2:$O$91,'Sheet OS'!$N$2:$N$91,AvgTime!$A18,'Sheet OS'!$J$2:$J$91,AvgTime!C$7)</f>
        <v>44234.654861111114</v>
      </c>
      <c r="D18" s="4">
        <f t="shared" si="3"/>
        <v>25.633333333244082</v>
      </c>
      <c r="E18" t="str">
        <f t="shared" si="0"/>
        <v>Delay</v>
      </c>
      <c r="G18">
        <f t="shared" ref="G18:G21" si="4">WEEKDAY(B18)</f>
        <v>2</v>
      </c>
      <c r="H18">
        <f t="shared" ref="H18:H21" si="5">WEEKDAY(C18)</f>
        <v>1</v>
      </c>
    </row>
    <row r="19" spans="1:8" x14ac:dyDescent="0.35">
      <c r="A19" t="s">
        <v>142</v>
      </c>
      <c r="B19" s="3">
        <f>_xlfn.MAXIFS('Sheet OS'!$O$2:$O$91,'Sheet OS'!$N$2:$N$91,AvgTime!$A19,'Sheet OS'!$J$2:$J$91,AvgTime!B$7)</f>
        <v>44258.756944444445</v>
      </c>
      <c r="C19" s="3">
        <f>_xlfn.MAXIFS('Sheet OS'!$O$2:$O$91,'Sheet OS'!$N$2:$N$91,AvgTime!$A19,'Sheet OS'!$J$2:$J$91,AvgTime!C$7)</f>
        <v>44257.508333333331</v>
      </c>
      <c r="D19" s="4">
        <f t="shared" si="3"/>
        <v>29.966666666732635</v>
      </c>
      <c r="E19" t="str">
        <f t="shared" si="0"/>
        <v>Delay</v>
      </c>
      <c r="G19">
        <f t="shared" si="4"/>
        <v>4</v>
      </c>
      <c r="H19">
        <f t="shared" si="5"/>
        <v>3</v>
      </c>
    </row>
    <row r="20" spans="1:8" x14ac:dyDescent="0.35">
      <c r="A20" t="s">
        <v>143</v>
      </c>
      <c r="B20" s="3">
        <f>_xlfn.MAXIFS('Sheet OS'!$O$2:$O$91,'Sheet OS'!$N$2:$N$91,AvgTime!$A20,'Sheet OS'!$J$2:$J$91,AvgTime!B$7)</f>
        <v>44524.613888888889</v>
      </c>
      <c r="C20" s="3">
        <f>_xlfn.MAXIFS('Sheet OS'!$O$2:$O$91,'Sheet OS'!$N$2:$N$91,AvgTime!$A20,'Sheet OS'!$J$2:$J$91,AvgTime!C$7)</f>
        <v>44522.466666666667</v>
      </c>
      <c r="D20" s="4">
        <f t="shared" si="3"/>
        <v>51.533333333325572</v>
      </c>
      <c r="E20" t="str">
        <f t="shared" si="0"/>
        <v>Delay</v>
      </c>
      <c r="G20">
        <f t="shared" si="4"/>
        <v>4</v>
      </c>
      <c r="H20">
        <f t="shared" si="5"/>
        <v>2</v>
      </c>
    </row>
    <row r="21" spans="1:8" x14ac:dyDescent="0.35">
      <c r="A21" t="s">
        <v>172</v>
      </c>
      <c r="B21" s="3">
        <f>_xlfn.MAXIFS('Sheet OS'!$O$2:$O$91,'Sheet OS'!$N$2:$N$91,AvgTime!$A21,'Sheet OS'!$J$2:$J$91,AvgTime!B$7)</f>
        <v>44521.480555555558</v>
      </c>
      <c r="C21" s="3">
        <f>_xlfn.MAXIFS('Sheet OS'!$O$2:$O$91,'Sheet OS'!$N$2:$N$91,AvgTime!$A21,'Sheet OS'!$J$2:$J$91,AvgTime!C$7)</f>
        <v>44520.432638888888</v>
      </c>
      <c r="D21" s="4">
        <f t="shared" si="3"/>
        <v>25.150000000081491</v>
      </c>
      <c r="E21" t="str">
        <f t="shared" si="0"/>
        <v>Delay</v>
      </c>
      <c r="G21">
        <f t="shared" si="4"/>
        <v>1</v>
      </c>
      <c r="H21">
        <f t="shared" si="5"/>
        <v>7</v>
      </c>
    </row>
    <row r="22" spans="1:8" hidden="1" x14ac:dyDescent="0.35">
      <c r="A22" t="s">
        <v>144</v>
      </c>
      <c r="B22" s="3">
        <f>_xlfn.MAXIFS('Sheet OS'!$O$2:$O$91,'Sheet OS'!$N$2:$N$91,AvgTime!$A22,'Sheet OS'!$J$2:$J$91,AvgTime!B$8)</f>
        <v>0</v>
      </c>
      <c r="C22" s="3">
        <f>_xlfn.MAXIFS('Sheet OS'!$O$2:$O$91,'Sheet OS'!$N$2:$N$91,AvgTime!$A22,'Sheet OS'!$J$2:$J$91,AvgTime!C$7)</f>
        <v>44211.756944444445</v>
      </c>
      <c r="D22" s="4">
        <f t="shared" si="3"/>
        <v>-1061082.1666666667</v>
      </c>
      <c r="E22" t="str">
        <f t="shared" si="0"/>
        <v>NotCompleted</v>
      </c>
    </row>
    <row r="23" spans="1:8" x14ac:dyDescent="0.35">
      <c r="A23" t="s">
        <v>145</v>
      </c>
      <c r="B23" s="3">
        <f>_xlfn.MAXIFS('Sheet OS'!$O$2:$O$91,'Sheet OS'!$N$2:$N$91,AvgTime!$A23,'Sheet OS'!$J$2:$J$91,AvgTime!B$7)</f>
        <v>44209.605555555558</v>
      </c>
      <c r="C23" s="3">
        <f>_xlfn.MAXIFS('Sheet OS'!$O$2:$O$91,'Sheet OS'!$N$2:$N$91,AvgTime!$A23,'Sheet OS'!$J$2:$J$91,AvgTime!C$7)</f>
        <v>44209.605555555558</v>
      </c>
      <c r="D23" s="4">
        <f t="shared" si="3"/>
        <v>0</v>
      </c>
      <c r="E23" t="str">
        <f t="shared" si="0"/>
        <v>Less than 24h</v>
      </c>
      <c r="G23">
        <f t="shared" ref="G23:G36" si="6">WEEKDAY(B23)</f>
        <v>4</v>
      </c>
      <c r="H23">
        <f t="shared" ref="H23:H36" si="7">WEEKDAY(C23)</f>
        <v>4</v>
      </c>
    </row>
    <row r="24" spans="1:8" x14ac:dyDescent="0.35">
      <c r="A24" t="s">
        <v>146</v>
      </c>
      <c r="B24" s="3">
        <f>_xlfn.MAXIFS('Sheet OS'!$O$2:$O$91,'Sheet OS'!$N$2:$N$91,AvgTime!$A24,'Sheet OS'!$J$2:$J$91,AvgTime!B$7)</f>
        <v>44210.654861111114</v>
      </c>
      <c r="C24" s="3">
        <f>_xlfn.MAXIFS('Sheet OS'!$O$2:$O$91,'Sheet OS'!$N$2:$N$91,AvgTime!$A24,'Sheet OS'!$J$2:$J$91,AvgTime!C$7)</f>
        <v>44210.654861111114</v>
      </c>
      <c r="D24" s="4">
        <f t="shared" si="3"/>
        <v>0</v>
      </c>
      <c r="E24" t="str">
        <f t="shared" si="0"/>
        <v>Less than 24h</v>
      </c>
      <c r="G24">
        <f t="shared" si="6"/>
        <v>5</v>
      </c>
      <c r="H24">
        <f t="shared" si="7"/>
        <v>5</v>
      </c>
    </row>
    <row r="25" spans="1:8" x14ac:dyDescent="0.35">
      <c r="A25" t="s">
        <v>147</v>
      </c>
      <c r="B25" s="3">
        <f>_xlfn.MAXIFS('Sheet OS'!$O$2:$O$91,'Sheet OS'!$N$2:$N$91,AvgTime!$A25,'Sheet OS'!$J$2:$J$91,AvgTime!B$8)</f>
        <v>44201.722222222219</v>
      </c>
      <c r="C25" s="3">
        <f>_xlfn.MAXIFS('Sheet OS'!$O$2:$O$91,'Sheet OS'!$N$2:$N$91,AvgTime!$A25,'Sheet OS'!$J$2:$J$91,AvgTime!C$7)</f>
        <v>44201.508333333331</v>
      </c>
      <c r="D25" s="4">
        <f t="shared" si="3"/>
        <v>5.1333333333022892</v>
      </c>
      <c r="E25" t="str">
        <f t="shared" si="0"/>
        <v>Less than 24h</v>
      </c>
      <c r="G25">
        <f t="shared" si="6"/>
        <v>3</v>
      </c>
      <c r="H25">
        <f t="shared" si="7"/>
        <v>3</v>
      </c>
    </row>
    <row r="26" spans="1:8" x14ac:dyDescent="0.35">
      <c r="A26" t="s">
        <v>173</v>
      </c>
      <c r="B26" s="3">
        <f>_xlfn.MAXIFS('Sheet OS'!$O$2:$O$91,'Sheet OS'!$N$2:$N$91,AvgTime!$A26,'Sheet OS'!$J$2:$J$91,AvgTime!B$7)</f>
        <v>44224.798611111109</v>
      </c>
      <c r="C26" s="3">
        <f>_xlfn.MAXIFS('Sheet OS'!$O$2:$O$91,'Sheet OS'!$N$2:$N$91,AvgTime!$A26,'Sheet OS'!$J$2:$J$91,AvgTime!C$7)</f>
        <v>44224.557638888888</v>
      </c>
      <c r="D26" s="4">
        <f t="shared" si="3"/>
        <v>5.7833333333255723</v>
      </c>
      <c r="E26" t="str">
        <f t="shared" si="0"/>
        <v>Less than 24h</v>
      </c>
      <c r="G26">
        <f t="shared" si="6"/>
        <v>5</v>
      </c>
      <c r="H26">
        <f t="shared" si="7"/>
        <v>5</v>
      </c>
    </row>
    <row r="27" spans="1:8" x14ac:dyDescent="0.35">
      <c r="A27" t="s">
        <v>148</v>
      </c>
      <c r="B27" s="3">
        <f>_xlfn.MAXIFS('Sheet OS'!$O$2:$O$91,'Sheet OS'!$N$2:$N$91,AvgTime!$A27,'Sheet OS'!$J$2:$J$91,AvgTime!B$7)</f>
        <v>44209.53125</v>
      </c>
      <c r="C27" s="3">
        <f>_xlfn.MAXIFS('Sheet OS'!$O$2:$O$91,'Sheet OS'!$N$2:$N$91,AvgTime!$A27,'Sheet OS'!$J$2:$J$91,AvgTime!C$7)</f>
        <v>44209.474305555559</v>
      </c>
      <c r="D27" s="4">
        <f t="shared" si="3"/>
        <v>1.3666666665812954</v>
      </c>
      <c r="E27" t="str">
        <f t="shared" si="0"/>
        <v>Less than 24h</v>
      </c>
      <c r="G27">
        <f t="shared" si="6"/>
        <v>4</v>
      </c>
      <c r="H27">
        <f t="shared" si="7"/>
        <v>4</v>
      </c>
    </row>
    <row r="28" spans="1:8" x14ac:dyDescent="0.35">
      <c r="A28" t="s">
        <v>149</v>
      </c>
      <c r="B28" s="3">
        <f>_xlfn.MAXIFS('Sheet OS'!$O$2:$O$91,'Sheet OS'!$N$2:$N$91,AvgTime!$A28,'Sheet OS'!$J$2:$J$91,AvgTime!B$7)</f>
        <v>44277.715277777781</v>
      </c>
      <c r="C28" s="3">
        <f>_xlfn.MAXIFS('Sheet OS'!$O$2:$O$91,'Sheet OS'!$N$2:$N$91,AvgTime!$A28,'Sheet OS'!$J$2:$J$91,AvgTime!C$7)</f>
        <v>44277.591666666667</v>
      </c>
      <c r="D28" s="4">
        <f t="shared" si="3"/>
        <v>2.9666666667326353</v>
      </c>
      <c r="E28" t="str">
        <f t="shared" si="0"/>
        <v>Less than 24h</v>
      </c>
      <c r="G28">
        <f t="shared" si="6"/>
        <v>2</v>
      </c>
      <c r="H28">
        <f t="shared" si="7"/>
        <v>2</v>
      </c>
    </row>
    <row r="29" spans="1:8" x14ac:dyDescent="0.35">
      <c r="A29" t="s">
        <v>150</v>
      </c>
      <c r="B29" s="3">
        <f>_xlfn.MAXIFS('Sheet OS'!$O$2:$O$91,'Sheet OS'!$N$2:$N$91,AvgTime!$A29,'Sheet OS'!$J$2:$J$91,AvgTime!B$7)</f>
        <v>44157.715277777781</v>
      </c>
      <c r="C29" s="3">
        <f>_xlfn.MAXIFS('Sheet OS'!$O$2:$O$91,'Sheet OS'!$N$2:$N$91,AvgTime!$A29,'Sheet OS'!$J$2:$J$91,AvgTime!C$7)</f>
        <v>44155.383333333331</v>
      </c>
      <c r="D29" s="4">
        <f t="shared" si="3"/>
        <v>55.966666666790843</v>
      </c>
      <c r="E29" t="str">
        <f t="shared" si="0"/>
        <v>Delay</v>
      </c>
      <c r="G29">
        <f t="shared" si="6"/>
        <v>1</v>
      </c>
      <c r="H29">
        <f t="shared" si="7"/>
        <v>6</v>
      </c>
    </row>
    <row r="30" spans="1:8" x14ac:dyDescent="0.35">
      <c r="A30" t="s">
        <v>151</v>
      </c>
      <c r="B30" s="3">
        <f>_xlfn.MAXIFS('Sheet OS'!$O$2:$O$91,'Sheet OS'!$N$2:$N$91,AvgTime!$A30,'Sheet OS'!$J$2:$J$91,AvgTime!B$7)</f>
        <v>44155.881944444445</v>
      </c>
      <c r="C30" s="3">
        <f>_xlfn.MAXIFS('Sheet OS'!$O$2:$O$91,'Sheet OS'!$N$2:$N$91,AvgTime!$A30,'Sheet OS'!$J$2:$J$91,AvgTime!C$7)</f>
        <v>44155.47152777778</v>
      </c>
      <c r="D30" s="4">
        <f t="shared" si="3"/>
        <v>9.8499999999767169</v>
      </c>
      <c r="E30" t="str">
        <f t="shared" si="0"/>
        <v>Less than 24h</v>
      </c>
      <c r="G30">
        <f t="shared" si="6"/>
        <v>6</v>
      </c>
      <c r="H30">
        <f t="shared" si="7"/>
        <v>6</v>
      </c>
    </row>
    <row r="31" spans="1:8" x14ac:dyDescent="0.35">
      <c r="A31" t="s">
        <v>152</v>
      </c>
      <c r="B31" s="3">
        <f>_xlfn.MAXIFS('Sheet OS'!$O$2:$O$91,'Sheet OS'!$N$2:$N$91,AvgTime!$A31,'Sheet OS'!$J$2:$J$91,AvgTime!B$7)</f>
        <v>44156.591666666667</v>
      </c>
      <c r="C31" s="3">
        <f>_xlfn.MAXIFS('Sheet OS'!$O$2:$O$91,'Sheet OS'!$N$2:$N$91,AvgTime!$A31,'Sheet OS'!$J$2:$J$91,AvgTime!C$7)</f>
        <v>44156.474305555559</v>
      </c>
      <c r="D31" s="4">
        <f t="shared" si="3"/>
        <v>2.816666666592937</v>
      </c>
      <c r="E31" t="str">
        <f t="shared" si="0"/>
        <v>Less than 24h</v>
      </c>
      <c r="G31">
        <f t="shared" si="6"/>
        <v>7</v>
      </c>
      <c r="H31">
        <f t="shared" si="7"/>
        <v>7</v>
      </c>
    </row>
    <row r="32" spans="1:8" x14ac:dyDescent="0.35">
      <c r="A32" t="s">
        <v>153</v>
      </c>
      <c r="B32" s="3">
        <f>_xlfn.MAXIFS('Sheet OS'!$O$2:$O$91,'Sheet OS'!$N$2:$N$91,AvgTime!$A32,'Sheet OS'!$J$2:$J$91,AvgTime!B$7)</f>
        <v>44162.763888888891</v>
      </c>
      <c r="C32" s="3">
        <f>_xlfn.MAXIFS('Sheet OS'!$O$2:$O$91,'Sheet OS'!$N$2:$N$91,AvgTime!$A32,'Sheet OS'!$J$2:$J$91,AvgTime!C$7)</f>
        <v>44162.40625</v>
      </c>
      <c r="D32" s="4">
        <f t="shared" si="3"/>
        <v>8.5833333333721384</v>
      </c>
      <c r="E32" t="str">
        <f t="shared" si="0"/>
        <v>Less than 24h</v>
      </c>
      <c r="G32">
        <f t="shared" si="6"/>
        <v>6</v>
      </c>
      <c r="H32">
        <f t="shared" si="7"/>
        <v>6</v>
      </c>
    </row>
    <row r="33" spans="1:8" x14ac:dyDescent="0.35">
      <c r="A33" t="s">
        <v>154</v>
      </c>
      <c r="B33" s="3">
        <f>_xlfn.MAXIFS('Sheet OS'!$O$2:$O$91,'Sheet OS'!$N$2:$N$91,AvgTime!$A33,'Sheet OS'!$J$2:$J$91,AvgTime!B$8)</f>
        <v>44256.756944444445</v>
      </c>
      <c r="C33" s="3">
        <f>_xlfn.MAXIFS('Sheet OS'!$O$2:$O$91,'Sheet OS'!$N$2:$N$91,AvgTime!$A33,'Sheet OS'!$J$2:$J$91,AvgTime!C$7)</f>
        <v>44256.474305555559</v>
      </c>
      <c r="D33" s="4">
        <f t="shared" si="3"/>
        <v>6.7833333332673647</v>
      </c>
      <c r="E33" t="str">
        <f t="shared" si="0"/>
        <v>Less than 24h</v>
      </c>
      <c r="G33">
        <f t="shared" si="6"/>
        <v>2</v>
      </c>
      <c r="H33">
        <f t="shared" si="7"/>
        <v>2</v>
      </c>
    </row>
    <row r="34" spans="1:8" x14ac:dyDescent="0.35">
      <c r="A34" t="s">
        <v>155</v>
      </c>
      <c r="B34" s="3">
        <f>_xlfn.MAXIFS('Sheet OS'!$O$2:$O$91,'Sheet OS'!$N$2:$N$91,AvgTime!$A34,'Sheet OS'!$J$2:$J$91,AvgTime!B$7)</f>
        <v>44256.800000000003</v>
      </c>
      <c r="C34" s="3">
        <f>_xlfn.MAXIFS('Sheet OS'!$O$2:$O$91,'Sheet OS'!$N$2:$N$91,AvgTime!$A34,'Sheet OS'!$J$2:$J$91,AvgTime!C$7)</f>
        <v>44256.599305555559</v>
      </c>
      <c r="D34" s="4">
        <f t="shared" si="3"/>
        <v>4.8166666666511446</v>
      </c>
      <c r="E34" t="str">
        <f t="shared" si="0"/>
        <v>Less than 24h</v>
      </c>
      <c r="G34">
        <f t="shared" si="6"/>
        <v>2</v>
      </c>
      <c r="H34">
        <f t="shared" si="7"/>
        <v>2</v>
      </c>
    </row>
    <row r="35" spans="1:8" x14ac:dyDescent="0.35">
      <c r="A35" t="s">
        <v>156</v>
      </c>
      <c r="B35" s="3">
        <f>_xlfn.MAXIFS('Sheet OS'!$O$2:$O$91,'Sheet OS'!$N$2:$N$91,AvgTime!$A35,'Sheet OS'!$J$2:$J$91,AvgTime!B$7)</f>
        <v>44211.527083333334</v>
      </c>
      <c r="C35" s="3">
        <f>_xlfn.MAXIFS('Sheet OS'!$O$2:$O$91,'Sheet OS'!$N$2:$N$91,AvgTime!$A35,'Sheet OS'!$J$2:$J$91,AvgTime!C$7)</f>
        <v>44211.356944444444</v>
      </c>
      <c r="D35" s="4">
        <f t="shared" si="3"/>
        <v>4.0833333333721384</v>
      </c>
      <c r="E35" t="str">
        <f t="shared" si="0"/>
        <v>Less than 24h</v>
      </c>
      <c r="G35">
        <f t="shared" si="6"/>
        <v>6</v>
      </c>
      <c r="H35">
        <f t="shared" si="7"/>
        <v>6</v>
      </c>
    </row>
    <row r="36" spans="1:8" x14ac:dyDescent="0.35">
      <c r="A36" t="s">
        <v>157</v>
      </c>
      <c r="B36" s="3">
        <f>_xlfn.MAXIFS('Sheet OS'!$O$2:$O$91,'Sheet OS'!$N$2:$N$91,AvgTime!$A36,'Sheet OS'!$J$2:$J$91,AvgTime!B$7)</f>
        <v>44218.730555555558</v>
      </c>
      <c r="C36" s="3">
        <f>_xlfn.MAXIFS('Sheet OS'!$O$2:$O$91,'Sheet OS'!$N$2:$N$91,AvgTime!$A36,'Sheet OS'!$J$2:$J$91,AvgTime!C$7)</f>
        <v>44217.412499999999</v>
      </c>
      <c r="D36" s="4">
        <f t="shared" si="3"/>
        <v>31.633333333418705</v>
      </c>
      <c r="E36" t="str">
        <f t="shared" si="0"/>
        <v>Delay</v>
      </c>
      <c r="G36">
        <f t="shared" si="6"/>
        <v>6</v>
      </c>
      <c r="H36">
        <f t="shared" si="7"/>
        <v>5</v>
      </c>
    </row>
    <row r="37" spans="1:8" hidden="1" x14ac:dyDescent="0.35">
      <c r="A37" t="s">
        <v>158</v>
      </c>
      <c r="B37" s="3">
        <f>_xlfn.MAXIFS('Sheet OS'!$O$2:$O$91,'Sheet OS'!$N$2:$N$91,AvgTime!$A37,'Sheet OS'!$J$2:$J$91,AvgTime!B$8)</f>
        <v>0</v>
      </c>
      <c r="C37" s="3">
        <f>_xlfn.MAXIFS('Sheet OS'!$O$2:$O$91,'Sheet OS'!$N$2:$N$91,AvgTime!$A37,'Sheet OS'!$J$2:$J$91,AvgTime!C$7)</f>
        <v>44257.605555555558</v>
      </c>
      <c r="D37" s="4">
        <f t="shared" si="3"/>
        <v>-1062182.5333333334</v>
      </c>
      <c r="E37" t="str">
        <f t="shared" si="0"/>
        <v>NotCompleted</v>
      </c>
    </row>
    <row r="38" spans="1:8" x14ac:dyDescent="0.35">
      <c r="A38" t="s">
        <v>159</v>
      </c>
      <c r="B38" s="3">
        <f>_xlfn.MAXIFS('Sheet OS'!$O$2:$O$91,'Sheet OS'!$N$2:$N$91,AvgTime!$A38,'Sheet OS'!$J$2:$J$91,AvgTime!B$7)</f>
        <v>44278.523611111108</v>
      </c>
      <c r="C38" s="3">
        <f>_xlfn.MAXIFS('Sheet OS'!$O$2:$O$91,'Sheet OS'!$N$2:$N$91,AvgTime!$A38,'Sheet OS'!$J$2:$J$91,AvgTime!C$7)</f>
        <v>44278.341666666667</v>
      </c>
      <c r="D38" s="4">
        <f t="shared" si="3"/>
        <v>4.3666666665812954</v>
      </c>
      <c r="E38" t="str">
        <f t="shared" si="0"/>
        <v>Less than 24h</v>
      </c>
      <c r="G38">
        <f t="shared" ref="G38:G43" si="8">WEEKDAY(B38)</f>
        <v>3</v>
      </c>
      <c r="H38">
        <f t="shared" ref="H38:H43" si="9">WEEKDAY(C38)</f>
        <v>3</v>
      </c>
    </row>
    <row r="39" spans="1:8" x14ac:dyDescent="0.35">
      <c r="A39" t="s">
        <v>160</v>
      </c>
      <c r="B39" s="3">
        <f>_xlfn.MAXIFS('Sheet OS'!$O$2:$O$91,'Sheet OS'!$N$2:$N$91,AvgTime!$A39,'Sheet OS'!$J$2:$J$91,AvgTime!B$7)</f>
        <v>44223.533333333333</v>
      </c>
      <c r="C39" s="3">
        <f>_xlfn.MAXIFS('Sheet OS'!$O$2:$O$91,'Sheet OS'!$N$2:$N$91,AvgTime!$A39,'Sheet OS'!$J$2:$J$91,AvgTime!C$7)</f>
        <v>44217.40625</v>
      </c>
      <c r="D39" s="4">
        <f t="shared" si="3"/>
        <v>147.04999999998836</v>
      </c>
      <c r="E39" t="str">
        <f t="shared" si="0"/>
        <v>Delay</v>
      </c>
      <c r="G39">
        <f t="shared" si="8"/>
        <v>4</v>
      </c>
      <c r="H39">
        <f t="shared" si="9"/>
        <v>5</v>
      </c>
    </row>
    <row r="40" spans="1:8" x14ac:dyDescent="0.35">
      <c r="A40" t="s">
        <v>161</v>
      </c>
      <c r="B40" s="3">
        <f>_xlfn.MAXIFS('Sheet OS'!$O$2:$O$91,'Sheet OS'!$N$2:$N$91,AvgTime!$A40,'Sheet OS'!$J$2:$J$91,AvgTime!B$7)</f>
        <v>44550</v>
      </c>
      <c r="C40" s="3">
        <f>_xlfn.MAXIFS('Sheet OS'!$O$2:$O$91,'Sheet OS'!$N$2:$N$91,AvgTime!$A40,'Sheet OS'!$J$2:$J$91,AvgTime!C$7)</f>
        <v>44549.425000000003</v>
      </c>
      <c r="D40" s="4">
        <f t="shared" si="3"/>
        <v>13.799999999930151</v>
      </c>
      <c r="E40" t="str">
        <f t="shared" si="0"/>
        <v>Less than 24h</v>
      </c>
      <c r="G40">
        <f t="shared" si="8"/>
        <v>2</v>
      </c>
      <c r="H40">
        <f t="shared" si="9"/>
        <v>1</v>
      </c>
    </row>
    <row r="41" spans="1:8" x14ac:dyDescent="0.35">
      <c r="A41" t="s">
        <v>162</v>
      </c>
      <c r="B41" s="3">
        <f>_xlfn.MAXIFS('Sheet OS'!$O$2:$O$91,'Sheet OS'!$N$2:$N$91,AvgTime!$A41,'Sheet OS'!$J$2:$J$91,AvgTime!B$7)</f>
        <v>44299.756944444445</v>
      </c>
      <c r="C41" s="3">
        <f>_xlfn.MAXIFS('Sheet OS'!$O$2:$O$91,'Sheet OS'!$N$2:$N$91,AvgTime!$A41,'Sheet OS'!$J$2:$J$91,AvgTime!C$7)</f>
        <v>44297.523611111108</v>
      </c>
      <c r="D41" s="4">
        <f t="shared" si="3"/>
        <v>53.600000000093132</v>
      </c>
      <c r="E41" t="str">
        <f t="shared" si="0"/>
        <v>Delay</v>
      </c>
      <c r="G41">
        <f t="shared" si="8"/>
        <v>3</v>
      </c>
      <c r="H41">
        <f t="shared" si="9"/>
        <v>1</v>
      </c>
    </row>
    <row r="42" spans="1:8" x14ac:dyDescent="0.35">
      <c r="A42" t="s">
        <v>174</v>
      </c>
      <c r="B42" s="3">
        <f>_xlfn.MAXIFS('Sheet OS'!$O$2:$O$91,'Sheet OS'!$N$2:$N$91,AvgTime!$A42,'Sheet OS'!$J$2:$J$91,AvgTime!B$7)</f>
        <v>44241.522222222222</v>
      </c>
      <c r="C42" s="3">
        <f>_xlfn.MAXIFS('Sheet OS'!$O$2:$O$91,'Sheet OS'!$N$2:$N$91,AvgTime!$A42,'Sheet OS'!$J$2:$J$91,AvgTime!C$7)</f>
        <v>44240.386111111111</v>
      </c>
      <c r="D42" s="4">
        <f t="shared" si="3"/>
        <v>27.266666666662786</v>
      </c>
      <c r="E42" t="str">
        <f t="shared" si="0"/>
        <v>Delay</v>
      </c>
      <c r="G42">
        <f t="shared" si="8"/>
        <v>1</v>
      </c>
      <c r="H42">
        <f t="shared" si="9"/>
        <v>7</v>
      </c>
    </row>
    <row r="43" spans="1:8" x14ac:dyDescent="0.35">
      <c r="A43" t="s">
        <v>163</v>
      </c>
      <c r="B43" s="3">
        <f>_xlfn.MAXIFS('Sheet OS'!$O$2:$O$91,'Sheet OS'!$N$2:$N$91,AvgTime!$A43,'Sheet OS'!$J$2:$J$91,AvgTime!B$8)</f>
        <v>44388.731944444444</v>
      </c>
      <c r="C43" s="3">
        <f>_xlfn.MAXIFS('Sheet OS'!$O$2:$O$91,'Sheet OS'!$N$2:$N$91,AvgTime!$A43,'Sheet OS'!$J$2:$J$91,AvgTime!C$7)</f>
        <v>44388.424305555556</v>
      </c>
      <c r="D43" s="4">
        <f t="shared" si="3"/>
        <v>7.3833333333022892</v>
      </c>
      <c r="E43" t="str">
        <f t="shared" si="0"/>
        <v>Less than 24h</v>
      </c>
      <c r="G43">
        <f t="shared" si="8"/>
        <v>1</v>
      </c>
      <c r="H43">
        <f t="shared" si="9"/>
        <v>1</v>
      </c>
    </row>
    <row r="44" spans="1:8" hidden="1" x14ac:dyDescent="0.35">
      <c r="A44" t="s">
        <v>164</v>
      </c>
      <c r="B44" s="3">
        <f>_xlfn.MAXIFS('Sheet OS'!$O$2:$O$91,'Sheet OS'!$N$2:$N$91,AvgTime!$A44,'Sheet OS'!$J$2:$J$91,AvgTime!B$8)</f>
        <v>0</v>
      </c>
      <c r="C44" s="3">
        <f>_xlfn.MAXIFS('Sheet OS'!$O$2:$O$91,'Sheet OS'!$N$2:$N$91,AvgTime!$A44,'Sheet OS'!$J$2:$J$91,AvgTime!C$7)</f>
        <v>44305.551388888889</v>
      </c>
      <c r="D44" s="4">
        <f t="shared" ref="D44:D48" si="10">(B44-C44)*24</f>
        <v>-1063333.2333333334</v>
      </c>
      <c r="E44" t="str">
        <f t="shared" si="0"/>
        <v>NotCompleted</v>
      </c>
    </row>
    <row r="45" spans="1:8" x14ac:dyDescent="0.35">
      <c r="A45" t="s">
        <v>175</v>
      </c>
      <c r="B45" s="3">
        <f>_xlfn.MAXIFS('Sheet OS'!$O$2:$O$91,'Sheet OS'!$N$2:$N$91,AvgTime!$A45,'Sheet OS'!$J$2:$J$91,AvgTime!B$8)</f>
        <v>0</v>
      </c>
      <c r="C45" s="3">
        <f>_xlfn.MAXIFS('Sheet OS'!$O$2:$O$91,'Sheet OS'!$N$2:$N$91,AvgTime!$A45,'Sheet OS'!$J$2:$J$91,AvgTime!C$7)</f>
        <v>0</v>
      </c>
      <c r="D45" s="4">
        <f t="shared" si="10"/>
        <v>0</v>
      </c>
      <c r="E45" t="str">
        <f t="shared" si="0"/>
        <v>Less than 24h</v>
      </c>
      <c r="G45">
        <f>WEEKDAY(B45)</f>
        <v>7</v>
      </c>
      <c r="H45">
        <f>WEEKDAY(C45)</f>
        <v>7</v>
      </c>
    </row>
    <row r="46" spans="1:8" hidden="1" x14ac:dyDescent="0.35">
      <c r="A46" t="s">
        <v>165</v>
      </c>
      <c r="B46" s="3">
        <f>_xlfn.MAXIFS('Sheet OS'!$O$2:$O$91,'Sheet OS'!$N$2:$N$91,AvgTime!$A46,'Sheet OS'!$J$2:$J$91,AvgTime!B$8)</f>
        <v>0</v>
      </c>
      <c r="C46" s="3">
        <f>_xlfn.MAXIFS('Sheet OS'!$O$2:$O$91,'Sheet OS'!$N$2:$N$91,AvgTime!$A46,'Sheet OS'!$J$2:$J$91,AvgTime!C$7)</f>
        <v>44454.432638888888</v>
      </c>
      <c r="D46" s="4">
        <f t="shared" si="10"/>
        <v>-1066906.3833333333</v>
      </c>
      <c r="E46" t="str">
        <f t="shared" si="0"/>
        <v>NotCompleted</v>
      </c>
    </row>
    <row r="47" spans="1:8" x14ac:dyDescent="0.35">
      <c r="A47" t="s">
        <v>166</v>
      </c>
      <c r="B47" s="3">
        <f>_xlfn.MAXIFS('Sheet OS'!$O$2:$O$91,'Sheet OS'!$N$2:$N$91,AvgTime!$A47,'Sheet OS'!$J$2:$J$91,AvgTime!B$8)</f>
        <v>44390.756944444445</v>
      </c>
      <c r="C47" s="3">
        <f>_xlfn.MAXIFS('Sheet OS'!$O$2:$O$91,'Sheet OS'!$N$2:$N$91,AvgTime!$A47,'Sheet OS'!$J$2:$J$91,AvgTime!C$7)</f>
        <v>44388.529861111114</v>
      </c>
      <c r="D47" s="4">
        <f t="shared" si="10"/>
        <v>53.449999999953434</v>
      </c>
      <c r="E47" t="str">
        <f t="shared" si="0"/>
        <v>Delay</v>
      </c>
      <c r="G47">
        <f>WEEKDAY(B47)</f>
        <v>3</v>
      </c>
      <c r="H47">
        <f>WEEKDAY(C47)</f>
        <v>1</v>
      </c>
    </row>
    <row r="48" spans="1:8" hidden="1" x14ac:dyDescent="0.35">
      <c r="A48" t="s">
        <v>167</v>
      </c>
      <c r="B48" s="3">
        <f>_xlfn.MAXIFS('Sheet OS'!$O$2:$O$91,'Sheet OS'!$N$2:$N$91,AvgTime!$A48,'Sheet OS'!$J$2:$J$91,AvgTime!B$8)</f>
        <v>0</v>
      </c>
      <c r="C48" s="3">
        <f>_xlfn.MAXIFS('Sheet OS'!$O$2:$O$91,'Sheet OS'!$N$2:$N$91,AvgTime!$A48,'Sheet OS'!$J$2:$J$91,AvgTime!C$7)</f>
        <v>44474.529861111114</v>
      </c>
      <c r="D48" s="4">
        <f t="shared" si="10"/>
        <v>-1067388.7166666668</v>
      </c>
      <c r="E48" t="str">
        <f t="shared" si="0"/>
        <v>NotCompleted</v>
      </c>
    </row>
  </sheetData>
  <autoFilter ref="A9:F48" xr:uid="{E696A89E-917A-4B42-88D2-26C248F71D6E}">
    <filterColumn colId="4">
      <filters>
        <filter val="Delay"/>
        <filter val="Less than 24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11F3-D0A3-4B85-9013-750822797ACC}">
  <dimension ref="A2:T43"/>
  <sheetViews>
    <sheetView topLeftCell="E2" workbookViewId="0">
      <selection activeCell="R10" sqref="R10"/>
    </sheetView>
  </sheetViews>
  <sheetFormatPr baseColWidth="10" defaultRowHeight="14.5" x14ac:dyDescent="0.35"/>
  <cols>
    <col min="1" max="1" width="18.26953125" bestFit="1" customWidth="1"/>
    <col min="2" max="2" width="12.90625" bestFit="1" customWidth="1"/>
    <col min="3" max="3" width="11.90625" bestFit="1" customWidth="1"/>
    <col min="4" max="4" width="12.90625" bestFit="1" customWidth="1"/>
    <col min="8" max="8" width="12.90625" bestFit="1" customWidth="1"/>
    <col min="9" max="9" width="11.90625" bestFit="1" customWidth="1"/>
    <col min="10" max="10" width="12.90625" bestFit="1" customWidth="1"/>
    <col min="14" max="16" width="10.90625" style="4"/>
  </cols>
  <sheetData>
    <row r="2" spans="1:20" x14ac:dyDescent="0.35">
      <c r="B2" t="s">
        <v>123</v>
      </c>
      <c r="C2" t="s">
        <v>125</v>
      </c>
      <c r="D2" t="s">
        <v>124</v>
      </c>
      <c r="E2" t="s">
        <v>126</v>
      </c>
      <c r="F2" t="s">
        <v>127</v>
      </c>
      <c r="G2" t="s">
        <v>128</v>
      </c>
      <c r="H2" t="s">
        <v>123</v>
      </c>
      <c r="I2" t="s">
        <v>125</v>
      </c>
      <c r="J2" t="s">
        <v>124</v>
      </c>
      <c r="K2" t="s">
        <v>126</v>
      </c>
      <c r="L2" t="s">
        <v>127</v>
      </c>
      <c r="M2" t="s">
        <v>128</v>
      </c>
      <c r="N2" s="4" t="s">
        <v>123</v>
      </c>
      <c r="O2" s="4" t="s">
        <v>125</v>
      </c>
      <c r="P2" s="4" t="s">
        <v>124</v>
      </c>
      <c r="Q2" t="s">
        <v>126</v>
      </c>
      <c r="R2" t="s">
        <v>127</v>
      </c>
      <c r="S2" t="s">
        <v>128</v>
      </c>
      <c r="T2" t="s">
        <v>179</v>
      </c>
    </row>
    <row r="3" spans="1:20" x14ac:dyDescent="0.35">
      <c r="N3" s="4" t="s">
        <v>123</v>
      </c>
      <c r="O3" s="4" t="s">
        <v>125</v>
      </c>
      <c r="P3" s="4" t="s">
        <v>124</v>
      </c>
      <c r="Q3" t="s">
        <v>126</v>
      </c>
      <c r="R3" t="s">
        <v>127</v>
      </c>
      <c r="S3" t="s">
        <v>128</v>
      </c>
    </row>
    <row r="4" spans="1:20" x14ac:dyDescent="0.35">
      <c r="A4" t="s">
        <v>39</v>
      </c>
      <c r="B4" s="4">
        <f>SUMIFS('Sheet OS'!$D$2:$D$91,'Sheet OS'!$N$2:$N$91,Charges!$A4,'Sheet OS'!$J$2:$J$91,Charges!B$2)</f>
        <v>10000</v>
      </c>
      <c r="C4" s="4">
        <f>SUMIFS('Sheet OS'!$D$2:$D$91,'Sheet OS'!$N$2:$N$91,Charges!$A4,'Sheet OS'!$J$2:$J$91,Charges!C$2)</f>
        <v>0</v>
      </c>
      <c r="D4" s="4">
        <f>SUMIFS('Sheet OS'!$D$2:$D$91,'Sheet OS'!$N$2:$N$91,Charges!$A4,'Sheet OS'!$J$2:$J$91,Charges!D$2)</f>
        <v>10000</v>
      </c>
      <c r="E4" s="4">
        <f>SUMIFS('Sheet OS'!$D$2:$D$91,'Sheet OS'!$N$2:$N$91,Charges!$A4,'Sheet OS'!$J$2:$J$91,Charges!E$2)</f>
        <v>0</v>
      </c>
      <c r="F4" s="4">
        <f>SUMIFS('Sheet OS'!$D$2:$D$91,'Sheet OS'!$N$2:$N$91,Charges!$A4,'Sheet OS'!$J$2:$J$91,Charges!F$2)</f>
        <v>0</v>
      </c>
      <c r="G4" s="4">
        <f>SUMIFS('Sheet OS'!$D$2:$D$91,'Sheet OS'!$N$2:$N$91,Charges!$A4,'Sheet OS'!$J$2:$J$91,Charges!G$2)</f>
        <v>0</v>
      </c>
      <c r="H4" s="4">
        <f>SUMIFS('Sheet OS'!$G$2:$G$91,'Sheet OS'!$N$2:$N$91,Charges!$A4,'Sheet OS'!$J$2:$J$91,Charges!H$2)</f>
        <v>0.02</v>
      </c>
      <c r="I4" s="4">
        <f>SUMIFS('Sheet OS'!$G$2:$G$91,'Sheet OS'!$N$2:$N$91,Charges!$A4,'Sheet OS'!$J$2:$J$91,Charges!I$2)</f>
        <v>0</v>
      </c>
      <c r="J4" s="4">
        <f>SUMIFS('Sheet OS'!$G$2:$G$91,'Sheet OS'!$N$2:$N$91,Charges!$A4,'Sheet OS'!$J$2:$J$91,Charges!J$2)</f>
        <v>1.4999999999999999E-2</v>
      </c>
      <c r="K4" s="4">
        <f>SUMIFS('Sheet OS'!$G$2:$G$91,'Sheet OS'!$N$2:$N$91,Charges!$A4,'Sheet OS'!$J$2:$J$91,Charges!K$2)</f>
        <v>0</v>
      </c>
      <c r="L4" s="4">
        <f>SUMIFS('Sheet OS'!$G$2:$G$91,'Sheet OS'!$N$2:$N$91,Charges!$A4,'Sheet OS'!$J$2:$J$91,Charges!L$2)</f>
        <v>0</v>
      </c>
      <c r="M4" s="4">
        <f>SUMIFS('Sheet OS'!$G$2:$G$91,'Sheet OS'!$N$2:$N$91,Charges!$A4,'Sheet OS'!$J$2:$J$91,Charges!M$2)</f>
        <v>0</v>
      </c>
      <c r="N4" s="4">
        <f>IF(B4=0,0,B4*H4)</f>
        <v>200</v>
      </c>
      <c r="O4" s="4">
        <f>IF(C4=0,0,(C4-SUM($N4:N4))*I4)</f>
        <v>0</v>
      </c>
      <c r="P4" s="4">
        <f>IF(D4=0,0,(D4-SUM($N4:O4))*J4)</f>
        <v>147</v>
      </c>
      <c r="Q4">
        <f>IF(E4=0,0,(E4-SUM($N4:P4))*K4)</f>
        <v>0</v>
      </c>
      <c r="R4">
        <f>IF(F4=0,0,(F4-SUM($N4:Q4))*L4)</f>
        <v>0</v>
      </c>
      <c r="S4">
        <f>IF(G4=0,0,(G4-SUM($N4:R4))*M4)</f>
        <v>0</v>
      </c>
      <c r="T4" s="4">
        <f>SUM(N4:S4)</f>
        <v>347</v>
      </c>
    </row>
    <row r="5" spans="1:20" x14ac:dyDescent="0.35">
      <c r="A5" t="s">
        <v>134</v>
      </c>
      <c r="B5" s="4">
        <f>SUMIFS('Sheet OS'!$D$2:$D$91,'Sheet OS'!$N$2:$N$91,Charges!$A5,'Sheet OS'!$J$2:$J$91,Charges!B$2)</f>
        <v>4537</v>
      </c>
      <c r="C5" s="4">
        <f>SUMIFS('Sheet OS'!$D$2:$D$91,'Sheet OS'!$N$2:$N$91,Charges!$A5,'Sheet OS'!$J$2:$J$91,Charges!C$2)</f>
        <v>4537</v>
      </c>
      <c r="D5" s="4">
        <f>SUMIFS('Sheet OS'!$D$2:$D$91,'Sheet OS'!$N$2:$N$91,Charges!$A5,'Sheet OS'!$J$2:$J$91,Charges!D$2)</f>
        <v>4537</v>
      </c>
      <c r="E5" s="4">
        <f>SUMIFS('Sheet OS'!$D$2:$D$91,'Sheet OS'!$N$2:$N$91,Charges!$A5,'Sheet OS'!$J$2:$J$91,Charges!E$2)</f>
        <v>0</v>
      </c>
      <c r="F5" s="4">
        <f>SUMIFS('Sheet OS'!$D$2:$D$91,'Sheet OS'!$N$2:$N$91,Charges!$A5,'Sheet OS'!$J$2:$J$91,Charges!F$2)</f>
        <v>0</v>
      </c>
      <c r="G5" s="4">
        <f>SUMIFS('Sheet OS'!$D$2:$D$91,'Sheet OS'!$N$2:$N$91,Charges!$A5,'Sheet OS'!$J$2:$J$91,Charges!G$2)</f>
        <v>0</v>
      </c>
      <c r="H5" s="4">
        <f>SUMIFS('Sheet OS'!$G$2:$G$91,'Sheet OS'!$N$2:$N$91,Charges!$A5,'Sheet OS'!$J$2:$J$91,Charges!H$2)</f>
        <v>0.02</v>
      </c>
      <c r="I5" s="4">
        <f>SUMIFS('Sheet OS'!$G$2:$G$91,'Sheet OS'!$N$2:$N$91,Charges!$A5,'Sheet OS'!$J$2:$J$91,Charges!I$2)</f>
        <v>0.01</v>
      </c>
      <c r="J5" s="4">
        <f>SUMIFS('Sheet OS'!$G$2:$G$91,'Sheet OS'!$N$2:$N$91,Charges!$A5,'Sheet OS'!$J$2:$J$91,Charges!J$2)</f>
        <v>0.02</v>
      </c>
      <c r="K5" s="4">
        <f>SUMIFS('Sheet OS'!$G$2:$G$91,'Sheet OS'!$N$2:$N$91,Charges!$A5,'Sheet OS'!$J$2:$J$91,Charges!K$2)</f>
        <v>0</v>
      </c>
      <c r="L5" s="4">
        <f>SUMIFS('Sheet OS'!$G$2:$G$91,'Sheet OS'!$N$2:$N$91,Charges!$A5,'Sheet OS'!$J$2:$J$91,Charges!L$2)</f>
        <v>0</v>
      </c>
      <c r="M5" s="4">
        <f>SUMIFS('Sheet OS'!$G$2:$G$91,'Sheet OS'!$N$2:$N$91,Charges!$A5,'Sheet OS'!$J$2:$J$91,Charges!M$2)</f>
        <v>0</v>
      </c>
      <c r="N5" s="4">
        <f>IF(B5=0,0,B5*H5)</f>
        <v>90.74</v>
      </c>
      <c r="O5" s="4">
        <f>IF(C5=0,0,(C5-SUM($N5:N5))*I5)</f>
        <v>44.462600000000002</v>
      </c>
      <c r="P5" s="4">
        <f>IF(D5=0,0,(D5-SUM($N5:O5))*J5)</f>
        <v>88.035948000000005</v>
      </c>
      <c r="Q5">
        <f>IF(E5=0,0,(E5-SUM($N5:P5))*K5)</f>
        <v>0</v>
      </c>
      <c r="R5">
        <f>IF(F5=0,0,(F5-SUM($N5:Q5))*L5)</f>
        <v>0</v>
      </c>
      <c r="S5">
        <f>IF(G5=0,0,(G5-SUM($N5:R5))*M5)</f>
        <v>0</v>
      </c>
      <c r="T5" s="4">
        <f>SUM(N5:S5)</f>
        <v>223.23854799999998</v>
      </c>
    </row>
    <row r="6" spans="1:20" x14ac:dyDescent="0.35">
      <c r="A6" t="s">
        <v>135</v>
      </c>
      <c r="B6" s="4">
        <f>SUMIFS('Sheet OS'!$D$2:$D$91,'Sheet OS'!$N$2:$N$91,Charges!$A6,'Sheet OS'!$J$2:$J$91,Charges!B$2)</f>
        <v>1000000</v>
      </c>
      <c r="C6" s="4">
        <f>SUMIFS('Sheet OS'!$D$2:$D$91,'Sheet OS'!$N$2:$N$91,Charges!$A6,'Sheet OS'!$J$2:$J$91,Charges!C$2)</f>
        <v>1000000</v>
      </c>
      <c r="D6" s="4">
        <f>SUMIFS('Sheet OS'!$D$2:$D$91,'Sheet OS'!$N$2:$N$91,Charges!$A6,'Sheet OS'!$J$2:$J$91,Charges!D$2)</f>
        <v>1000000</v>
      </c>
      <c r="E6" s="4">
        <f>SUMIFS('Sheet OS'!$D$2:$D$91,'Sheet OS'!$N$2:$N$91,Charges!$A6,'Sheet OS'!$J$2:$J$91,Charges!E$2)</f>
        <v>0</v>
      </c>
      <c r="F6" s="4">
        <f>SUMIFS('Sheet OS'!$D$2:$D$91,'Sheet OS'!$N$2:$N$91,Charges!$A6,'Sheet OS'!$J$2:$J$91,Charges!F$2)</f>
        <v>0</v>
      </c>
      <c r="G6" s="4">
        <f>SUMIFS('Sheet OS'!$D$2:$D$91,'Sheet OS'!$N$2:$N$91,Charges!$A6,'Sheet OS'!$J$2:$J$91,Charges!G$2)</f>
        <v>0</v>
      </c>
      <c r="H6" s="4">
        <f>SUMIFS('Sheet OS'!$G$2:$G$91,'Sheet OS'!$N$2:$N$91,Charges!$A6,'Sheet OS'!$J$2:$J$91,Charges!H$2)</f>
        <v>0.01</v>
      </c>
      <c r="I6" s="4">
        <f>SUMIFS('Sheet OS'!$G$2:$G$91,'Sheet OS'!$N$2:$N$91,Charges!$A6,'Sheet OS'!$J$2:$J$91,Charges!I$2)</f>
        <v>1.4999999999999999E-2</v>
      </c>
      <c r="J6" s="4">
        <f>SUMIFS('Sheet OS'!$G$2:$G$91,'Sheet OS'!$N$2:$N$91,Charges!$A6,'Sheet OS'!$J$2:$J$91,Charges!J$2)</f>
        <v>1.4999999999999999E-2</v>
      </c>
      <c r="K6" s="4">
        <f>SUMIFS('Sheet OS'!$G$2:$G$91,'Sheet OS'!$N$2:$N$91,Charges!$A6,'Sheet OS'!$J$2:$J$91,Charges!K$2)</f>
        <v>0</v>
      </c>
      <c r="L6" s="4">
        <f>SUMIFS('Sheet OS'!$G$2:$G$91,'Sheet OS'!$N$2:$N$91,Charges!$A6,'Sheet OS'!$J$2:$J$91,Charges!L$2)</f>
        <v>0</v>
      </c>
      <c r="M6" s="4">
        <f>SUMIFS('Sheet OS'!$G$2:$G$91,'Sheet OS'!$N$2:$N$91,Charges!$A6,'Sheet OS'!$J$2:$J$91,Charges!M$2)</f>
        <v>0</v>
      </c>
      <c r="N6" s="4">
        <f>IF(B6=0,0,B6*H6)</f>
        <v>10000</v>
      </c>
      <c r="O6" s="4">
        <f>IF(C6=0,0,(C6-SUM($N6:N6))*I6)</f>
        <v>14850</v>
      </c>
      <c r="P6" s="4">
        <f>IF(D6=0,0,(D6-SUM($N6:O6))*J6)</f>
        <v>14627.25</v>
      </c>
      <c r="Q6">
        <f>IF(E6=0,0,(E6-SUM($N6:P6))*K6)</f>
        <v>0</v>
      </c>
      <c r="R6">
        <f>IF(F6=0,0,(F6-SUM($N6:Q6))*L6)</f>
        <v>0</v>
      </c>
      <c r="S6">
        <f>IF(G6=0,0,(G6-SUM($N6:R6))*M6)</f>
        <v>0</v>
      </c>
      <c r="T6" s="4">
        <f>SUM(N6:S6)</f>
        <v>39477.25</v>
      </c>
    </row>
    <row r="7" spans="1:20" x14ac:dyDescent="0.35">
      <c r="A7" t="s">
        <v>171</v>
      </c>
      <c r="B7" s="4">
        <f>SUMIFS('Sheet OS'!$D$2:$D$91,'Sheet OS'!$N$2:$N$91,Charges!$A7,'Sheet OS'!$J$2:$J$91,Charges!B$2)</f>
        <v>11000</v>
      </c>
      <c r="C7" s="4">
        <f>SUMIFS('Sheet OS'!$D$2:$D$91,'Sheet OS'!$N$2:$N$91,Charges!$A7,'Sheet OS'!$J$2:$J$91,Charges!C$2)</f>
        <v>0</v>
      </c>
      <c r="D7" s="4">
        <f>SUMIFS('Sheet OS'!$D$2:$D$91,'Sheet OS'!$N$2:$N$91,Charges!$A7,'Sheet OS'!$J$2:$J$91,Charges!D$2)</f>
        <v>11000</v>
      </c>
      <c r="E7" s="4">
        <f>SUMIFS('Sheet OS'!$D$2:$D$91,'Sheet OS'!$N$2:$N$91,Charges!$A7,'Sheet OS'!$J$2:$J$91,Charges!E$2)</f>
        <v>0</v>
      </c>
      <c r="F7" s="4">
        <f>SUMIFS('Sheet OS'!$D$2:$D$91,'Sheet OS'!$N$2:$N$91,Charges!$A7,'Sheet OS'!$J$2:$J$91,Charges!F$2)</f>
        <v>0</v>
      </c>
      <c r="G7" s="4">
        <f>SUMIFS('Sheet OS'!$D$2:$D$91,'Sheet OS'!$N$2:$N$91,Charges!$A7,'Sheet OS'!$J$2:$J$91,Charges!G$2)</f>
        <v>0</v>
      </c>
      <c r="H7" s="4">
        <f>SUMIFS('Sheet OS'!$G$2:$G$91,'Sheet OS'!$N$2:$N$91,Charges!$A7,'Sheet OS'!$J$2:$J$91,Charges!H$2)</f>
        <v>0.02</v>
      </c>
      <c r="I7" s="4">
        <f>SUMIFS('Sheet OS'!$G$2:$G$91,'Sheet OS'!$N$2:$N$91,Charges!$A7,'Sheet OS'!$J$2:$J$91,Charges!I$2)</f>
        <v>0</v>
      </c>
      <c r="J7" s="4">
        <f>SUMIFS('Sheet OS'!$G$2:$G$91,'Sheet OS'!$N$2:$N$91,Charges!$A7,'Sheet OS'!$J$2:$J$91,Charges!J$2)</f>
        <v>0.01</v>
      </c>
      <c r="K7" s="4">
        <f>SUMIFS('Sheet OS'!$G$2:$G$91,'Sheet OS'!$N$2:$N$91,Charges!$A7,'Sheet OS'!$J$2:$J$91,Charges!K$2)</f>
        <v>0</v>
      </c>
      <c r="L7" s="4">
        <f>SUMIFS('Sheet OS'!$G$2:$G$91,'Sheet OS'!$N$2:$N$91,Charges!$A7,'Sheet OS'!$J$2:$J$91,Charges!L$2)</f>
        <v>0</v>
      </c>
      <c r="M7" s="4">
        <f>SUMIFS('Sheet OS'!$G$2:$G$91,'Sheet OS'!$N$2:$N$91,Charges!$A7,'Sheet OS'!$J$2:$J$91,Charges!M$2)</f>
        <v>0</v>
      </c>
      <c r="N7" s="4">
        <f t="shared" ref="N7:N38" si="0">IF(B7=0,0,B7*H7)</f>
        <v>220</v>
      </c>
      <c r="O7" s="4">
        <f>IF(C7=0,0,(C7-SUM($N7:N7))*I7)</f>
        <v>0</v>
      </c>
      <c r="P7" s="4">
        <f>IF(D7=0,0,(D7-SUM($N7:O7))*J7)</f>
        <v>107.8</v>
      </c>
      <c r="Q7">
        <f>IF(E7=0,0,(E7-SUM($N7:P7))*K7)</f>
        <v>0</v>
      </c>
      <c r="R7">
        <f>IF(F7=0,0,(F7-SUM($N7:Q7))*L7)</f>
        <v>0</v>
      </c>
      <c r="S7">
        <f>IF(G7=0,0,(G7-SUM($N7:R7))*M7)</f>
        <v>0</v>
      </c>
      <c r="T7" s="4">
        <f>SUM(N7:S7)</f>
        <v>327.8</v>
      </c>
    </row>
    <row r="8" spans="1:20" x14ac:dyDescent="0.35">
      <c r="A8" t="s">
        <v>136</v>
      </c>
      <c r="B8" s="4">
        <f>SUMIFS('Sheet OS'!$D$2:$D$91,'Sheet OS'!$N$2:$N$91,Charges!$A8,'Sheet OS'!$J$2:$J$91,Charges!B$2)</f>
        <v>23900</v>
      </c>
      <c r="C8" s="4">
        <f>SUMIFS('Sheet OS'!$D$2:$D$91,'Sheet OS'!$N$2:$N$91,Charges!$A8,'Sheet OS'!$J$2:$J$91,Charges!C$2)</f>
        <v>0</v>
      </c>
      <c r="D8" s="4">
        <f>SUMIFS('Sheet OS'!$D$2:$D$91,'Sheet OS'!$N$2:$N$91,Charges!$A8,'Sheet OS'!$J$2:$J$91,Charges!D$2)</f>
        <v>0</v>
      </c>
      <c r="E8" s="4">
        <f>SUMIFS('Sheet OS'!$D$2:$D$91,'Sheet OS'!$N$2:$N$91,Charges!$A8,'Sheet OS'!$J$2:$J$91,Charges!E$2)</f>
        <v>23900</v>
      </c>
      <c r="F8" s="4">
        <f>SUMIFS('Sheet OS'!$D$2:$D$91,'Sheet OS'!$N$2:$N$91,Charges!$A8,'Sheet OS'!$J$2:$J$91,Charges!F$2)</f>
        <v>0</v>
      </c>
      <c r="G8" s="4">
        <f>SUMIFS('Sheet OS'!$D$2:$D$91,'Sheet OS'!$N$2:$N$91,Charges!$A8,'Sheet OS'!$J$2:$J$91,Charges!G$2)</f>
        <v>0</v>
      </c>
      <c r="H8" s="4">
        <f>SUMIFS('Sheet OS'!$G$2:$G$91,'Sheet OS'!$N$2:$N$91,Charges!$A8,'Sheet OS'!$J$2:$J$91,Charges!H$2)</f>
        <v>0.02</v>
      </c>
      <c r="I8" s="4">
        <f>SUMIFS('Sheet OS'!$G$2:$G$91,'Sheet OS'!$N$2:$N$91,Charges!$A8,'Sheet OS'!$J$2:$J$91,Charges!I$2)</f>
        <v>0</v>
      </c>
      <c r="J8" s="4">
        <f>SUMIFS('Sheet OS'!$G$2:$G$91,'Sheet OS'!$N$2:$N$91,Charges!$A8,'Sheet OS'!$J$2:$J$91,Charges!J$2)</f>
        <v>0</v>
      </c>
      <c r="K8" s="4">
        <f>SUMIFS('Sheet OS'!$G$2:$G$91,'Sheet OS'!$N$2:$N$91,Charges!$A8,'Sheet OS'!$J$2:$J$91,Charges!K$2)</f>
        <v>0.03</v>
      </c>
      <c r="L8" s="4">
        <f>SUMIFS('Sheet OS'!$G$2:$G$91,'Sheet OS'!$N$2:$N$91,Charges!$A8,'Sheet OS'!$J$2:$J$91,Charges!L$2)</f>
        <v>0</v>
      </c>
      <c r="M8" s="4">
        <f>SUMIFS('Sheet OS'!$G$2:$G$91,'Sheet OS'!$N$2:$N$91,Charges!$A8,'Sheet OS'!$J$2:$J$91,Charges!M$2)</f>
        <v>0</v>
      </c>
      <c r="N8" s="4">
        <f t="shared" si="0"/>
        <v>478</v>
      </c>
      <c r="O8" s="4">
        <f>IF(C8=0,0,(C8-SUM($N8:N8))*I8)</f>
        <v>0</v>
      </c>
      <c r="P8" s="4">
        <f>IF(D8=0,0,(D8-SUM($N8:O8))*J8)</f>
        <v>0</v>
      </c>
      <c r="Q8">
        <f>IF(E8=0,0,(E8-SUM($N8:P8))*K8)</f>
        <v>702.66</v>
      </c>
      <c r="R8">
        <f>IF(F8=0,0,(F8-SUM($N8:Q8))*L8)</f>
        <v>0</v>
      </c>
      <c r="S8">
        <f>IF(G8=0,0,(G8-SUM($N8:R8))*M8)</f>
        <v>0</v>
      </c>
      <c r="T8" s="4">
        <f>SUM(N8:S8)</f>
        <v>1180.6599999999999</v>
      </c>
    </row>
    <row r="9" spans="1:20" x14ac:dyDescent="0.35">
      <c r="A9" t="s">
        <v>137</v>
      </c>
      <c r="B9" s="4">
        <f>SUMIFS('Sheet OS'!$D$2:$D$91,'Sheet OS'!$N$2:$N$91,Charges!$A9,'Sheet OS'!$J$2:$J$91,Charges!B$2)</f>
        <v>5643</v>
      </c>
      <c r="C9" s="4">
        <f>SUMIFS('Sheet OS'!$D$2:$D$91,'Sheet OS'!$N$2:$N$91,Charges!$A9,'Sheet OS'!$J$2:$J$91,Charges!C$2)</f>
        <v>0</v>
      </c>
      <c r="D9" s="4">
        <f>SUMIFS('Sheet OS'!$D$2:$D$91,'Sheet OS'!$N$2:$N$91,Charges!$A9,'Sheet OS'!$J$2:$J$91,Charges!D$2)</f>
        <v>5643</v>
      </c>
      <c r="E9" s="4">
        <f>SUMIFS('Sheet OS'!$D$2:$D$91,'Sheet OS'!$N$2:$N$91,Charges!$A9,'Sheet OS'!$J$2:$J$91,Charges!E$2)</f>
        <v>0</v>
      </c>
      <c r="F9" s="4">
        <f>SUMIFS('Sheet OS'!$D$2:$D$91,'Sheet OS'!$N$2:$N$91,Charges!$A9,'Sheet OS'!$J$2:$J$91,Charges!F$2)</f>
        <v>0</v>
      </c>
      <c r="G9" s="4">
        <f>SUMIFS('Sheet OS'!$D$2:$D$91,'Sheet OS'!$N$2:$N$91,Charges!$A9,'Sheet OS'!$J$2:$J$91,Charges!G$2)</f>
        <v>0</v>
      </c>
      <c r="H9" s="4">
        <f>SUMIFS('Sheet OS'!$G$2:$G$91,'Sheet OS'!$N$2:$N$91,Charges!$A9,'Sheet OS'!$J$2:$J$91,Charges!H$2)</f>
        <v>0.02</v>
      </c>
      <c r="I9" s="4">
        <f>SUMIFS('Sheet OS'!$G$2:$G$91,'Sheet OS'!$N$2:$N$91,Charges!$A9,'Sheet OS'!$J$2:$J$91,Charges!I$2)</f>
        <v>0</v>
      </c>
      <c r="J9" s="4">
        <f>SUMIFS('Sheet OS'!$G$2:$G$91,'Sheet OS'!$N$2:$N$91,Charges!$A9,'Sheet OS'!$J$2:$J$91,Charges!J$2)</f>
        <v>0.01</v>
      </c>
      <c r="K9" s="4">
        <f>SUMIFS('Sheet OS'!$G$2:$G$91,'Sheet OS'!$N$2:$N$91,Charges!$A9,'Sheet OS'!$J$2:$J$91,Charges!K$2)</f>
        <v>0</v>
      </c>
      <c r="L9" s="4">
        <f>SUMIFS('Sheet OS'!$G$2:$G$91,'Sheet OS'!$N$2:$N$91,Charges!$A9,'Sheet OS'!$J$2:$J$91,Charges!L$2)</f>
        <v>0</v>
      </c>
      <c r="M9" s="4">
        <f>SUMIFS('Sheet OS'!$G$2:$G$91,'Sheet OS'!$N$2:$N$91,Charges!$A9,'Sheet OS'!$J$2:$J$91,Charges!M$2)</f>
        <v>0</v>
      </c>
      <c r="N9" s="4">
        <f t="shared" si="0"/>
        <v>112.86</v>
      </c>
      <c r="O9" s="4">
        <f>IF(C9=0,0,(C9-SUM($N9:N9))*I9)</f>
        <v>0</v>
      </c>
      <c r="P9" s="4">
        <f>IF(D9=0,0,(D9-SUM($N9:O9))*J9)</f>
        <v>55.301400000000001</v>
      </c>
      <c r="Q9">
        <f>IF(E9=0,0,(E9-SUM($N9:P9))*K9)</f>
        <v>0</v>
      </c>
      <c r="R9">
        <f>IF(F9=0,0,(F9-SUM($N9:Q9))*L9)</f>
        <v>0</v>
      </c>
      <c r="S9">
        <f>IF(G9=0,0,(G9-SUM($N9:R9))*M9)</f>
        <v>0</v>
      </c>
      <c r="T9" s="4">
        <f>SUM(N9:S9)</f>
        <v>168.16140000000001</v>
      </c>
    </row>
    <row r="10" spans="1:20" x14ac:dyDescent="0.35">
      <c r="A10" t="s">
        <v>138</v>
      </c>
      <c r="B10" s="5">
        <f>SUMIFS('Sheet OS'!$D$2:$D$91,'Sheet OS'!$N$2:$N$91,Charges!$A10,'Sheet OS'!$J$2:$J$91,Charges!B$2)</f>
        <v>4569</v>
      </c>
      <c r="C10" s="5">
        <f>SUMIFS('Sheet OS'!$D$2:$D$91,'Sheet OS'!$N$2:$N$91,Charges!$A10,'Sheet OS'!$J$2:$J$91,Charges!C$2)</f>
        <v>0</v>
      </c>
      <c r="D10" s="5">
        <f>SUMIFS('Sheet OS'!$D$2:$D$91,'Sheet OS'!$N$2:$N$91,Charges!$A10,'Sheet OS'!$J$2:$J$91,Charges!D$2)</f>
        <v>0</v>
      </c>
      <c r="E10" s="5">
        <f>SUMIFS('Sheet OS'!$D$2:$D$91,'Sheet OS'!$N$2:$N$91,Charges!$A10,'Sheet OS'!$J$2:$J$91,Charges!E$2)</f>
        <v>0</v>
      </c>
      <c r="F10" s="5">
        <f>SUMIFS('Sheet OS'!$D$2:$D$91,'Sheet OS'!$N$2:$N$91,Charges!$A10,'Sheet OS'!$J$2:$J$91,Charges!F$2)</f>
        <v>9138</v>
      </c>
      <c r="G10" s="5">
        <f>SUMIFS('Sheet OS'!$D$2:$D$91,'Sheet OS'!$N$2:$N$91,Charges!$A10,'Sheet OS'!$J$2:$J$91,Charges!G$2)</f>
        <v>0</v>
      </c>
      <c r="H10" s="5">
        <f>SUMIFS('Sheet OS'!$G$2:$G$91,'Sheet OS'!$N$2:$N$91,Charges!$A10,'Sheet OS'!$J$2:$J$91,Charges!H$2)</f>
        <v>0.02</v>
      </c>
      <c r="I10" s="5">
        <f>SUMIFS('Sheet OS'!$G$2:$G$91,'Sheet OS'!$N$2:$N$91,Charges!$A10,'Sheet OS'!$J$2:$J$91,Charges!I$2)</f>
        <v>0</v>
      </c>
      <c r="J10" s="5">
        <f>SUMIFS('Sheet OS'!$G$2:$G$91,'Sheet OS'!$N$2:$N$91,Charges!$A10,'Sheet OS'!$J$2:$J$91,Charges!J$2)</f>
        <v>0</v>
      </c>
      <c r="K10" s="5">
        <f>SUMIFS('Sheet OS'!$G$2:$G$91,'Sheet OS'!$N$2:$N$91,Charges!$A10,'Sheet OS'!$J$2:$J$91,Charges!K$2)</f>
        <v>0</v>
      </c>
      <c r="L10" s="5">
        <f>SUMIFS('Sheet OS'!$G$2:$G$91,'Sheet OS'!$N$2:$N$91,Charges!$A10,'Sheet OS'!$J$2:$J$91,Charges!L$2)</f>
        <v>0.09</v>
      </c>
      <c r="M10" s="5">
        <f>SUMIFS('Sheet OS'!$G$2:$G$91,'Sheet OS'!$N$2:$N$91,Charges!$A10,'Sheet OS'!$J$2:$J$91,Charges!M$2)</f>
        <v>0</v>
      </c>
      <c r="N10" s="5">
        <f t="shared" si="0"/>
        <v>91.38</v>
      </c>
      <c r="O10" s="5">
        <f>IF(C10=0,0,(C10-SUM($N10:N10))*I10)</f>
        <v>0</v>
      </c>
      <c r="P10" s="5">
        <f>IF(D10=0,0,(D10-SUM($N10:O10))*J10)</f>
        <v>0</v>
      </c>
      <c r="Q10" s="6">
        <f>IF(E10=0,0,(E10-SUM($N10:P10))*K10)</f>
        <v>0</v>
      </c>
      <c r="R10" s="5">
        <f>IF(F10=0,0,(F10-SUM($N10:Q10))*L10)</f>
        <v>814.19580000000008</v>
      </c>
      <c r="S10" s="6">
        <f>IF(G10=0,0,(G10-SUM($N10:R10))*M10)</f>
        <v>0</v>
      </c>
      <c r="T10" s="5">
        <f>SUM(N10:S10)</f>
        <v>905.57580000000007</v>
      </c>
    </row>
    <row r="11" spans="1:20" x14ac:dyDescent="0.35">
      <c r="A11" t="s">
        <v>139</v>
      </c>
      <c r="B11" s="4">
        <f>SUMIFS('Sheet OS'!$D$2:$D$91,'Sheet OS'!$N$2:$N$91,Charges!$A11,'Sheet OS'!$J$2:$J$91,Charges!B$2)</f>
        <v>456</v>
      </c>
      <c r="C11" s="4">
        <f>SUMIFS('Sheet OS'!$D$2:$D$91,'Sheet OS'!$N$2:$N$91,Charges!$A11,'Sheet OS'!$J$2:$J$91,Charges!C$2)</f>
        <v>456</v>
      </c>
      <c r="D11" s="4">
        <f>SUMIFS('Sheet OS'!$D$2:$D$91,'Sheet OS'!$N$2:$N$91,Charges!$A11,'Sheet OS'!$J$2:$J$91,Charges!D$2)</f>
        <v>0</v>
      </c>
      <c r="E11" s="4">
        <f>SUMIFS('Sheet OS'!$D$2:$D$91,'Sheet OS'!$N$2:$N$91,Charges!$A11,'Sheet OS'!$J$2:$J$91,Charges!E$2)</f>
        <v>456</v>
      </c>
      <c r="F11" s="4">
        <f>SUMIFS('Sheet OS'!$D$2:$D$91,'Sheet OS'!$N$2:$N$91,Charges!$A11,'Sheet OS'!$J$2:$J$91,Charges!F$2)</f>
        <v>0</v>
      </c>
      <c r="G11" s="4">
        <f>SUMIFS('Sheet OS'!$D$2:$D$91,'Sheet OS'!$N$2:$N$91,Charges!$A11,'Sheet OS'!$J$2:$J$91,Charges!G$2)</f>
        <v>0</v>
      </c>
      <c r="H11" s="4">
        <f>SUMIFS('Sheet OS'!$G$2:$G$91,'Sheet OS'!$N$2:$N$91,Charges!$A11,'Sheet OS'!$J$2:$J$91,Charges!H$2)</f>
        <v>0.01</v>
      </c>
      <c r="I11" s="4">
        <f>SUMIFS('Sheet OS'!$G$2:$G$91,'Sheet OS'!$N$2:$N$91,Charges!$A11,'Sheet OS'!$J$2:$J$91,Charges!I$2)</f>
        <v>0.02</v>
      </c>
      <c r="J11" s="4">
        <f>SUMIFS('Sheet OS'!$G$2:$G$91,'Sheet OS'!$N$2:$N$91,Charges!$A11,'Sheet OS'!$J$2:$J$91,Charges!J$2)</f>
        <v>0</v>
      </c>
      <c r="K11" s="4">
        <f>SUMIFS('Sheet OS'!$G$2:$G$91,'Sheet OS'!$N$2:$N$91,Charges!$A11,'Sheet OS'!$J$2:$J$91,Charges!K$2)</f>
        <v>0.01</v>
      </c>
      <c r="L11" s="4">
        <f>SUMIFS('Sheet OS'!$G$2:$G$91,'Sheet OS'!$N$2:$N$91,Charges!$A11,'Sheet OS'!$J$2:$J$91,Charges!L$2)</f>
        <v>0</v>
      </c>
      <c r="M11" s="4">
        <f>SUMIFS('Sheet OS'!$G$2:$G$91,'Sheet OS'!$N$2:$N$91,Charges!$A11,'Sheet OS'!$J$2:$J$91,Charges!M$2)</f>
        <v>0</v>
      </c>
      <c r="N11" s="4">
        <f t="shared" si="0"/>
        <v>4.5600000000000005</v>
      </c>
      <c r="O11" s="4">
        <f>IF(C11=0,0,(C11-SUM($N11:N11))*I11)</f>
        <v>9.0288000000000004</v>
      </c>
      <c r="P11" s="4">
        <f>IF(D11=0,0,(D11-SUM($N11:O11))*J11)</f>
        <v>0</v>
      </c>
      <c r="Q11">
        <f>IF(E11=0,0,(E11-SUM($N11:P11))*K11)</f>
        <v>4.424112</v>
      </c>
      <c r="R11">
        <f>IF(F11=0,0,(F11-SUM($N11:Q11))*L11)</f>
        <v>0</v>
      </c>
      <c r="S11">
        <f>IF(G11=0,0,(G11-SUM($N11:R11))*M11)</f>
        <v>0</v>
      </c>
      <c r="T11" s="4">
        <f>SUM(N11:S11)</f>
        <v>18.012912</v>
      </c>
    </row>
    <row r="12" spans="1:20" x14ac:dyDescent="0.35">
      <c r="A12" t="s">
        <v>140</v>
      </c>
      <c r="B12" s="4">
        <f>SUMIFS('Sheet OS'!$D$2:$D$91,'Sheet OS'!$N$2:$N$91,Charges!$A12,'Sheet OS'!$J$2:$J$91,Charges!B$2)</f>
        <v>3326</v>
      </c>
      <c r="C12" s="4">
        <f>SUMIFS('Sheet OS'!$D$2:$D$91,'Sheet OS'!$N$2:$N$91,Charges!$A12,'Sheet OS'!$J$2:$J$91,Charges!C$2)</f>
        <v>6652</v>
      </c>
      <c r="D12" s="4">
        <f>SUMIFS('Sheet OS'!$D$2:$D$91,'Sheet OS'!$N$2:$N$91,Charges!$A12,'Sheet OS'!$J$2:$J$91,Charges!D$2)</f>
        <v>0</v>
      </c>
      <c r="E12" s="4">
        <f>SUMIFS('Sheet OS'!$D$2:$D$91,'Sheet OS'!$N$2:$N$91,Charges!$A12,'Sheet OS'!$J$2:$J$91,Charges!E$2)</f>
        <v>0</v>
      </c>
      <c r="F12" s="4">
        <f>SUMIFS('Sheet OS'!$D$2:$D$91,'Sheet OS'!$N$2:$N$91,Charges!$A12,'Sheet OS'!$J$2:$J$91,Charges!F$2)</f>
        <v>0</v>
      </c>
      <c r="G12" s="4">
        <f>SUMIFS('Sheet OS'!$D$2:$D$91,'Sheet OS'!$N$2:$N$91,Charges!$A12,'Sheet OS'!$J$2:$J$91,Charges!G$2)</f>
        <v>0</v>
      </c>
      <c r="H12" s="4">
        <f>SUMIFS('Sheet OS'!$G$2:$G$91,'Sheet OS'!$N$2:$N$91,Charges!$A12,'Sheet OS'!$J$2:$J$91,Charges!H$2)</f>
        <v>0.01</v>
      </c>
      <c r="I12" s="4">
        <f>SUMIFS('Sheet OS'!$G$2:$G$91,'Sheet OS'!$N$2:$N$91,Charges!$A12,'Sheet OS'!$J$2:$J$91,Charges!I$2)</f>
        <v>0.03</v>
      </c>
      <c r="J12" s="4">
        <f>SUMIFS('Sheet OS'!$G$2:$G$91,'Sheet OS'!$N$2:$N$91,Charges!$A12,'Sheet OS'!$J$2:$J$91,Charges!J$2)</f>
        <v>0</v>
      </c>
      <c r="K12" s="4">
        <f>SUMIFS('Sheet OS'!$G$2:$G$91,'Sheet OS'!$N$2:$N$91,Charges!$A12,'Sheet OS'!$J$2:$J$91,Charges!K$2)</f>
        <v>0</v>
      </c>
      <c r="L12" s="4">
        <f>SUMIFS('Sheet OS'!$G$2:$G$91,'Sheet OS'!$N$2:$N$91,Charges!$A12,'Sheet OS'!$J$2:$J$91,Charges!L$2)</f>
        <v>0</v>
      </c>
      <c r="M12" s="4">
        <f>SUMIFS('Sheet OS'!$G$2:$G$91,'Sheet OS'!$N$2:$N$91,Charges!$A12,'Sheet OS'!$J$2:$J$91,Charges!M$2)</f>
        <v>0</v>
      </c>
      <c r="N12" s="4">
        <f t="shared" si="0"/>
        <v>33.26</v>
      </c>
      <c r="O12" s="4">
        <f>IF(C12=0,0,(C12-SUM($N12:N12))*I12)</f>
        <v>198.56219999999999</v>
      </c>
      <c r="P12" s="4">
        <f>IF(D12=0,0,(D12-SUM($N12:O12))*J12)</f>
        <v>0</v>
      </c>
      <c r="Q12">
        <f>IF(E12=0,0,(E12-SUM($N12:P12))*K12)</f>
        <v>0</v>
      </c>
      <c r="R12">
        <f>IF(F12=0,0,(F12-SUM($N12:Q12))*L12)</f>
        <v>0</v>
      </c>
      <c r="S12">
        <f>IF(G12=0,0,(G12-SUM($N12:R12))*M12)</f>
        <v>0</v>
      </c>
      <c r="T12" s="4">
        <f>SUM(N12:S12)</f>
        <v>231.82219999999998</v>
      </c>
    </row>
    <row r="13" spans="1:20" x14ac:dyDescent="0.35">
      <c r="A13" t="s">
        <v>141</v>
      </c>
      <c r="B13" s="4">
        <f>SUMIFS('Sheet OS'!$D$2:$D$91,'Sheet OS'!$N$2:$N$91,Charges!$A13,'Sheet OS'!$J$2:$J$91,Charges!B$2)</f>
        <v>1100</v>
      </c>
      <c r="C13" s="4">
        <f>SUMIFS('Sheet OS'!$D$2:$D$91,'Sheet OS'!$N$2:$N$91,Charges!$A13,'Sheet OS'!$J$2:$J$91,Charges!C$2)</f>
        <v>0</v>
      </c>
      <c r="D13" s="4">
        <f>SUMIFS('Sheet OS'!$D$2:$D$91,'Sheet OS'!$N$2:$N$91,Charges!$A13,'Sheet OS'!$J$2:$J$91,Charges!D$2)</f>
        <v>1100</v>
      </c>
      <c r="E13" s="4">
        <f>SUMIFS('Sheet OS'!$D$2:$D$91,'Sheet OS'!$N$2:$N$91,Charges!$A13,'Sheet OS'!$J$2:$J$91,Charges!E$2)</f>
        <v>0</v>
      </c>
      <c r="F13" s="4">
        <f>SUMIFS('Sheet OS'!$D$2:$D$91,'Sheet OS'!$N$2:$N$91,Charges!$A13,'Sheet OS'!$J$2:$J$91,Charges!F$2)</f>
        <v>0</v>
      </c>
      <c r="G13" s="4">
        <f>SUMIFS('Sheet OS'!$D$2:$D$91,'Sheet OS'!$N$2:$N$91,Charges!$A13,'Sheet OS'!$J$2:$J$91,Charges!G$2)</f>
        <v>0</v>
      </c>
      <c r="H13" s="4">
        <f>SUMIFS('Sheet OS'!$G$2:$G$91,'Sheet OS'!$N$2:$N$91,Charges!$A13,'Sheet OS'!$J$2:$J$91,Charges!H$2)</f>
        <v>0.02</v>
      </c>
      <c r="I13" s="4">
        <f>SUMIFS('Sheet OS'!$G$2:$G$91,'Sheet OS'!$N$2:$N$91,Charges!$A13,'Sheet OS'!$J$2:$J$91,Charges!I$2)</f>
        <v>0</v>
      </c>
      <c r="J13" s="4">
        <f>SUMIFS('Sheet OS'!$G$2:$G$91,'Sheet OS'!$N$2:$N$91,Charges!$A13,'Sheet OS'!$J$2:$J$91,Charges!J$2)</f>
        <v>0.01</v>
      </c>
      <c r="K13" s="4">
        <f>SUMIFS('Sheet OS'!$G$2:$G$91,'Sheet OS'!$N$2:$N$91,Charges!$A13,'Sheet OS'!$J$2:$J$91,Charges!K$2)</f>
        <v>0</v>
      </c>
      <c r="L13" s="4">
        <f>SUMIFS('Sheet OS'!$G$2:$G$91,'Sheet OS'!$N$2:$N$91,Charges!$A13,'Sheet OS'!$J$2:$J$91,Charges!L$2)</f>
        <v>0</v>
      </c>
      <c r="M13" s="4">
        <f>SUMIFS('Sheet OS'!$G$2:$G$91,'Sheet OS'!$N$2:$N$91,Charges!$A13,'Sheet OS'!$J$2:$J$91,Charges!M$2)</f>
        <v>0</v>
      </c>
      <c r="N13" s="4">
        <f t="shared" si="0"/>
        <v>22</v>
      </c>
      <c r="O13" s="4">
        <f>IF(C13=0,0,(C13-SUM($N13:N13))*I13)</f>
        <v>0</v>
      </c>
      <c r="P13" s="4">
        <f>IF(D13=0,0,(D13-SUM($N13:O13))*J13)</f>
        <v>10.78</v>
      </c>
      <c r="Q13">
        <f>IF(E13=0,0,(E13-SUM($N13:P13))*K13)</f>
        <v>0</v>
      </c>
      <c r="R13">
        <f>IF(F13=0,0,(F13-SUM($N13:Q13))*L13)</f>
        <v>0</v>
      </c>
      <c r="S13">
        <f>IF(G13=0,0,(G13-SUM($N13:R13))*M13)</f>
        <v>0</v>
      </c>
      <c r="T13" s="4">
        <f>SUM(N13:S13)</f>
        <v>32.78</v>
      </c>
    </row>
    <row r="14" spans="1:20" x14ac:dyDescent="0.35">
      <c r="A14" t="s">
        <v>142</v>
      </c>
      <c r="B14" s="4">
        <f>SUMIFS('Sheet OS'!$D$2:$D$91,'Sheet OS'!$N$2:$N$91,Charges!$A14,'Sheet OS'!$J$2:$J$91,Charges!B$2)</f>
        <v>1100</v>
      </c>
      <c r="C14" s="4">
        <f>SUMIFS('Sheet OS'!$D$2:$D$91,'Sheet OS'!$N$2:$N$91,Charges!$A14,'Sheet OS'!$J$2:$J$91,Charges!C$2)</f>
        <v>1100</v>
      </c>
      <c r="D14" s="4">
        <f>SUMIFS('Sheet OS'!$D$2:$D$91,'Sheet OS'!$N$2:$N$91,Charges!$A14,'Sheet OS'!$J$2:$J$91,Charges!D$2)</f>
        <v>1100</v>
      </c>
      <c r="E14" s="4">
        <f>SUMIFS('Sheet OS'!$D$2:$D$91,'Sheet OS'!$N$2:$N$91,Charges!$A14,'Sheet OS'!$J$2:$J$91,Charges!E$2)</f>
        <v>0</v>
      </c>
      <c r="F14" s="4">
        <f>SUMIFS('Sheet OS'!$D$2:$D$91,'Sheet OS'!$N$2:$N$91,Charges!$A14,'Sheet OS'!$J$2:$J$91,Charges!F$2)</f>
        <v>0</v>
      </c>
      <c r="G14" s="4">
        <f>SUMIFS('Sheet OS'!$D$2:$D$91,'Sheet OS'!$N$2:$N$91,Charges!$A14,'Sheet OS'!$J$2:$J$91,Charges!G$2)</f>
        <v>0</v>
      </c>
      <c r="H14" s="4">
        <f>SUMIFS('Sheet OS'!$G$2:$G$91,'Sheet OS'!$N$2:$N$91,Charges!$A14,'Sheet OS'!$J$2:$J$91,Charges!H$2)</f>
        <v>0.08</v>
      </c>
      <c r="I14" s="4">
        <f>SUMIFS('Sheet OS'!$G$2:$G$91,'Sheet OS'!$N$2:$N$91,Charges!$A14,'Sheet OS'!$J$2:$J$91,Charges!I$2)</f>
        <v>0.01</v>
      </c>
      <c r="J14" s="4">
        <f>SUMIFS('Sheet OS'!$G$2:$G$91,'Sheet OS'!$N$2:$N$91,Charges!$A14,'Sheet OS'!$J$2:$J$91,Charges!J$2)</f>
        <v>0.02</v>
      </c>
      <c r="K14" s="4">
        <f>SUMIFS('Sheet OS'!$G$2:$G$91,'Sheet OS'!$N$2:$N$91,Charges!$A14,'Sheet OS'!$J$2:$J$91,Charges!K$2)</f>
        <v>0</v>
      </c>
      <c r="L14" s="4">
        <f>SUMIFS('Sheet OS'!$G$2:$G$91,'Sheet OS'!$N$2:$N$91,Charges!$A14,'Sheet OS'!$J$2:$J$91,Charges!L$2)</f>
        <v>0</v>
      </c>
      <c r="M14" s="4">
        <f>SUMIFS('Sheet OS'!$G$2:$G$91,'Sheet OS'!$N$2:$N$91,Charges!$A14,'Sheet OS'!$J$2:$J$91,Charges!M$2)</f>
        <v>0</v>
      </c>
      <c r="N14" s="4">
        <f t="shared" si="0"/>
        <v>88</v>
      </c>
      <c r="O14" s="4">
        <f>IF(C14=0,0,(C14-SUM($N14:N14))*I14)</f>
        <v>10.120000000000001</v>
      </c>
      <c r="P14" s="4">
        <f>IF(D14=0,0,(D14-SUM($N14:O14))*J14)</f>
        <v>20.037600000000001</v>
      </c>
      <c r="Q14">
        <f>IF(E14=0,0,(E14-SUM($N14:P14))*K14)</f>
        <v>0</v>
      </c>
      <c r="R14">
        <f>IF(F14=0,0,(F14-SUM($N14:Q14))*L14)</f>
        <v>0</v>
      </c>
      <c r="S14">
        <f>IF(G14=0,0,(G14-SUM($N14:R14))*M14)</f>
        <v>0</v>
      </c>
      <c r="T14" s="4">
        <f>SUM(N14:S14)</f>
        <v>118.1576</v>
      </c>
    </row>
    <row r="15" spans="1:20" x14ac:dyDescent="0.35">
      <c r="A15" t="s">
        <v>143</v>
      </c>
      <c r="B15" s="4">
        <f>SUMIFS('Sheet OS'!$D$2:$D$91,'Sheet OS'!$N$2:$N$91,Charges!$A15,'Sheet OS'!$J$2:$J$91,Charges!B$2)</f>
        <v>900</v>
      </c>
      <c r="C15" s="4">
        <f>SUMIFS('Sheet OS'!$D$2:$D$91,'Sheet OS'!$N$2:$N$91,Charges!$A15,'Sheet OS'!$J$2:$J$91,Charges!C$2)</f>
        <v>0</v>
      </c>
      <c r="D15" s="4">
        <f>SUMIFS('Sheet OS'!$D$2:$D$91,'Sheet OS'!$N$2:$N$91,Charges!$A15,'Sheet OS'!$J$2:$J$91,Charges!D$2)</f>
        <v>900</v>
      </c>
      <c r="E15" s="4">
        <f>SUMIFS('Sheet OS'!$D$2:$D$91,'Sheet OS'!$N$2:$N$91,Charges!$A15,'Sheet OS'!$J$2:$J$91,Charges!E$2)</f>
        <v>0</v>
      </c>
      <c r="F15" s="4">
        <f>SUMIFS('Sheet OS'!$D$2:$D$91,'Sheet OS'!$N$2:$N$91,Charges!$A15,'Sheet OS'!$J$2:$J$91,Charges!F$2)</f>
        <v>0</v>
      </c>
      <c r="G15" s="4">
        <f>SUMIFS('Sheet OS'!$D$2:$D$91,'Sheet OS'!$N$2:$N$91,Charges!$A15,'Sheet OS'!$J$2:$J$91,Charges!G$2)</f>
        <v>0</v>
      </c>
      <c r="H15" s="4">
        <f>SUMIFS('Sheet OS'!$G$2:$G$91,'Sheet OS'!$N$2:$N$91,Charges!$A15,'Sheet OS'!$J$2:$J$91,Charges!H$2)</f>
        <v>0.01</v>
      </c>
      <c r="I15" s="4">
        <f>SUMIFS('Sheet OS'!$G$2:$G$91,'Sheet OS'!$N$2:$N$91,Charges!$A15,'Sheet OS'!$J$2:$J$91,Charges!I$2)</f>
        <v>0</v>
      </c>
      <c r="J15" s="4">
        <f>SUMIFS('Sheet OS'!$G$2:$G$91,'Sheet OS'!$N$2:$N$91,Charges!$A15,'Sheet OS'!$J$2:$J$91,Charges!J$2)</f>
        <v>0.01</v>
      </c>
      <c r="K15" s="4">
        <f>SUMIFS('Sheet OS'!$G$2:$G$91,'Sheet OS'!$N$2:$N$91,Charges!$A15,'Sheet OS'!$J$2:$J$91,Charges!K$2)</f>
        <v>0</v>
      </c>
      <c r="L15" s="4">
        <f>SUMIFS('Sheet OS'!$G$2:$G$91,'Sheet OS'!$N$2:$N$91,Charges!$A15,'Sheet OS'!$J$2:$J$91,Charges!L$2)</f>
        <v>0</v>
      </c>
      <c r="M15" s="4">
        <f>SUMIFS('Sheet OS'!$G$2:$G$91,'Sheet OS'!$N$2:$N$91,Charges!$A15,'Sheet OS'!$J$2:$J$91,Charges!M$2)</f>
        <v>0</v>
      </c>
      <c r="N15" s="4">
        <f t="shared" si="0"/>
        <v>9</v>
      </c>
      <c r="O15" s="4">
        <f>IF(C15=0,0,(C15-SUM($N15:N15))*I15)</f>
        <v>0</v>
      </c>
      <c r="P15" s="4">
        <f>IF(D15=0,0,(D15-SUM($N15:O15))*J15)</f>
        <v>8.91</v>
      </c>
      <c r="Q15">
        <f>IF(E15=0,0,(E15-SUM($N15:P15))*K15)</f>
        <v>0</v>
      </c>
      <c r="R15">
        <f>IF(F15=0,0,(F15-SUM($N15:Q15))*L15)</f>
        <v>0</v>
      </c>
      <c r="S15">
        <f>IF(G15=0,0,(G15-SUM($N15:R15))*M15)</f>
        <v>0</v>
      </c>
      <c r="T15" s="4">
        <f>SUM(N15:S15)</f>
        <v>17.91</v>
      </c>
    </row>
    <row r="16" spans="1:20" x14ac:dyDescent="0.35">
      <c r="A16" t="s">
        <v>172</v>
      </c>
      <c r="B16" s="4">
        <f>SUMIFS('Sheet OS'!$D$2:$D$91,'Sheet OS'!$N$2:$N$91,Charges!$A16,'Sheet OS'!$J$2:$J$91,Charges!B$2)</f>
        <v>1025</v>
      </c>
      <c r="C16" s="4">
        <f>SUMIFS('Sheet OS'!$D$2:$D$91,'Sheet OS'!$N$2:$N$91,Charges!$A16,'Sheet OS'!$J$2:$J$91,Charges!C$2)</f>
        <v>0</v>
      </c>
      <c r="D16" s="4">
        <f>SUMIFS('Sheet OS'!$D$2:$D$91,'Sheet OS'!$N$2:$N$91,Charges!$A16,'Sheet OS'!$J$2:$J$91,Charges!D$2)</f>
        <v>1025</v>
      </c>
      <c r="E16" s="4">
        <f>SUMIFS('Sheet OS'!$D$2:$D$91,'Sheet OS'!$N$2:$N$91,Charges!$A16,'Sheet OS'!$J$2:$J$91,Charges!E$2)</f>
        <v>0</v>
      </c>
      <c r="F16" s="4">
        <f>SUMIFS('Sheet OS'!$D$2:$D$91,'Sheet OS'!$N$2:$N$91,Charges!$A16,'Sheet OS'!$J$2:$J$91,Charges!F$2)</f>
        <v>0</v>
      </c>
      <c r="G16" s="4">
        <f>SUMIFS('Sheet OS'!$D$2:$D$91,'Sheet OS'!$N$2:$N$91,Charges!$A16,'Sheet OS'!$J$2:$J$91,Charges!G$2)</f>
        <v>0</v>
      </c>
      <c r="H16" s="4">
        <f>SUMIFS('Sheet OS'!$G$2:$G$91,'Sheet OS'!$N$2:$N$91,Charges!$A16,'Sheet OS'!$J$2:$J$91,Charges!H$2)</f>
        <v>0.02</v>
      </c>
      <c r="I16" s="4">
        <f>SUMIFS('Sheet OS'!$G$2:$G$91,'Sheet OS'!$N$2:$N$91,Charges!$A16,'Sheet OS'!$J$2:$J$91,Charges!I$2)</f>
        <v>0</v>
      </c>
      <c r="J16" s="4">
        <f>SUMIFS('Sheet OS'!$G$2:$G$91,'Sheet OS'!$N$2:$N$91,Charges!$A16,'Sheet OS'!$J$2:$J$91,Charges!J$2)</f>
        <v>0.01</v>
      </c>
      <c r="K16" s="4">
        <f>SUMIFS('Sheet OS'!$G$2:$G$91,'Sheet OS'!$N$2:$N$91,Charges!$A16,'Sheet OS'!$J$2:$J$91,Charges!K$2)</f>
        <v>0</v>
      </c>
      <c r="L16" s="4">
        <f>SUMIFS('Sheet OS'!$G$2:$G$91,'Sheet OS'!$N$2:$N$91,Charges!$A16,'Sheet OS'!$J$2:$J$91,Charges!L$2)</f>
        <v>0</v>
      </c>
      <c r="M16" s="4">
        <f>SUMIFS('Sheet OS'!$G$2:$G$91,'Sheet OS'!$N$2:$N$91,Charges!$A16,'Sheet OS'!$J$2:$J$91,Charges!M$2)</f>
        <v>0</v>
      </c>
      <c r="N16" s="4">
        <f t="shared" si="0"/>
        <v>20.5</v>
      </c>
      <c r="O16" s="4">
        <f>IF(C16=0,0,(C16-SUM($N16:N16))*I16)</f>
        <v>0</v>
      </c>
      <c r="P16" s="4">
        <f>IF(D16=0,0,(D16-SUM($N16:O16))*J16)</f>
        <v>10.045</v>
      </c>
      <c r="Q16">
        <f>IF(E16=0,0,(E16-SUM($N16:P16))*K16)</f>
        <v>0</v>
      </c>
      <c r="R16">
        <f>IF(F16=0,0,(F16-SUM($N16:Q16))*L16)</f>
        <v>0</v>
      </c>
      <c r="S16">
        <f>IF(G16=0,0,(G16-SUM($N16:R16))*M16)</f>
        <v>0</v>
      </c>
      <c r="T16" s="4">
        <f>SUM(N16:S16)</f>
        <v>30.545000000000002</v>
      </c>
    </row>
    <row r="17" spans="1:20" x14ac:dyDescent="0.35">
      <c r="A17" t="s">
        <v>144</v>
      </c>
      <c r="B17" s="4">
        <f>SUMIFS('Sheet OS'!$D$2:$D$91,'Sheet OS'!$N$2:$N$91,Charges!$A17,'Sheet OS'!$J$2:$J$91,Charges!B$2)</f>
        <v>238</v>
      </c>
      <c r="C17" s="4">
        <f>SUMIFS('Sheet OS'!$D$2:$D$91,'Sheet OS'!$N$2:$N$91,Charges!$A17,'Sheet OS'!$J$2:$J$91,Charges!C$2)</f>
        <v>0</v>
      </c>
      <c r="D17" s="4">
        <f>SUMIFS('Sheet OS'!$D$2:$D$91,'Sheet OS'!$N$2:$N$91,Charges!$A17,'Sheet OS'!$J$2:$J$91,Charges!D$2)</f>
        <v>0</v>
      </c>
      <c r="E17" s="4">
        <f>SUMIFS('Sheet OS'!$D$2:$D$91,'Sheet OS'!$N$2:$N$91,Charges!$A17,'Sheet OS'!$J$2:$J$91,Charges!E$2)</f>
        <v>0</v>
      </c>
      <c r="F17" s="4">
        <f>SUMIFS('Sheet OS'!$D$2:$D$91,'Sheet OS'!$N$2:$N$91,Charges!$A17,'Sheet OS'!$J$2:$J$91,Charges!F$2)</f>
        <v>0</v>
      </c>
      <c r="G17" s="4">
        <f>SUMIFS('Sheet OS'!$D$2:$D$91,'Sheet OS'!$N$2:$N$91,Charges!$A17,'Sheet OS'!$J$2:$J$91,Charges!G$2)</f>
        <v>238</v>
      </c>
      <c r="H17" s="4">
        <f>SUMIFS('Sheet OS'!$G$2:$G$91,'Sheet OS'!$N$2:$N$91,Charges!$A17,'Sheet OS'!$J$2:$J$91,Charges!H$2)</f>
        <v>0.08</v>
      </c>
      <c r="I17" s="4">
        <f>SUMIFS('Sheet OS'!$G$2:$G$91,'Sheet OS'!$N$2:$N$91,Charges!$A17,'Sheet OS'!$J$2:$J$91,Charges!I$2)</f>
        <v>0</v>
      </c>
      <c r="J17" s="4">
        <f>SUMIFS('Sheet OS'!$G$2:$G$91,'Sheet OS'!$N$2:$N$91,Charges!$A17,'Sheet OS'!$J$2:$J$91,Charges!J$2)</f>
        <v>0</v>
      </c>
      <c r="K17" s="4">
        <f>SUMIFS('Sheet OS'!$G$2:$G$91,'Sheet OS'!$N$2:$N$91,Charges!$A17,'Sheet OS'!$J$2:$J$91,Charges!K$2)</f>
        <v>0</v>
      </c>
      <c r="L17" s="4">
        <f>SUMIFS('Sheet OS'!$G$2:$G$91,'Sheet OS'!$N$2:$N$91,Charges!$A17,'Sheet OS'!$J$2:$J$91,Charges!L$2)</f>
        <v>0</v>
      </c>
      <c r="M17" s="4">
        <f>SUMIFS('Sheet OS'!$G$2:$G$91,'Sheet OS'!$N$2:$N$91,Charges!$A17,'Sheet OS'!$J$2:$J$91,Charges!M$2)</f>
        <v>0.08</v>
      </c>
      <c r="N17" s="4">
        <f t="shared" si="0"/>
        <v>19.04</v>
      </c>
      <c r="O17" s="4">
        <f>IF(C17=0,0,(C17-SUM($N17:N17))*I17)</f>
        <v>0</v>
      </c>
      <c r="P17" s="4">
        <f>IF(D17=0,0,(D17-SUM($N17:O17))*J17)</f>
        <v>0</v>
      </c>
      <c r="Q17">
        <f>IF(E17=0,0,(E17-SUM($N17:P17))*K17)</f>
        <v>0</v>
      </c>
      <c r="R17">
        <f>IF(F17=0,0,(F17-SUM($N17:Q17))*L17)</f>
        <v>0</v>
      </c>
      <c r="S17">
        <f>IF(G17=0,0,(G17-SUM($N17:R17))*M17)</f>
        <v>17.5168</v>
      </c>
      <c r="T17" s="4">
        <f>SUM(N17:S17)</f>
        <v>36.556799999999996</v>
      </c>
    </row>
    <row r="18" spans="1:20" x14ac:dyDescent="0.35">
      <c r="A18" t="s">
        <v>145</v>
      </c>
      <c r="B18" s="4">
        <f>SUMIFS('Sheet OS'!$D$2:$D$91,'Sheet OS'!$N$2:$N$91,Charges!$A18,'Sheet OS'!$J$2:$J$91,Charges!B$2)</f>
        <v>6709</v>
      </c>
      <c r="C18" s="4">
        <f>SUMIFS('Sheet OS'!$D$2:$D$91,'Sheet OS'!$N$2:$N$91,Charges!$A18,'Sheet OS'!$J$2:$J$91,Charges!C$2)</f>
        <v>0</v>
      </c>
      <c r="D18" s="4">
        <f>SUMIFS('Sheet OS'!$D$2:$D$91,'Sheet OS'!$N$2:$N$91,Charges!$A18,'Sheet OS'!$J$2:$J$91,Charges!D$2)</f>
        <v>6709</v>
      </c>
      <c r="E18" s="4">
        <f>SUMIFS('Sheet OS'!$D$2:$D$91,'Sheet OS'!$N$2:$N$91,Charges!$A18,'Sheet OS'!$J$2:$J$91,Charges!E$2)</f>
        <v>0</v>
      </c>
      <c r="F18" s="4">
        <f>SUMIFS('Sheet OS'!$D$2:$D$91,'Sheet OS'!$N$2:$N$91,Charges!$A18,'Sheet OS'!$J$2:$J$91,Charges!F$2)</f>
        <v>0</v>
      </c>
      <c r="G18" s="4">
        <f>SUMIFS('Sheet OS'!$D$2:$D$91,'Sheet OS'!$N$2:$N$91,Charges!$A18,'Sheet OS'!$J$2:$J$91,Charges!G$2)</f>
        <v>0</v>
      </c>
      <c r="H18" s="4">
        <f>SUMIFS('Sheet OS'!$G$2:$G$91,'Sheet OS'!$N$2:$N$91,Charges!$A18,'Sheet OS'!$J$2:$J$91,Charges!H$2)</f>
        <v>0.01</v>
      </c>
      <c r="I18" s="4">
        <f>SUMIFS('Sheet OS'!$G$2:$G$91,'Sheet OS'!$N$2:$N$91,Charges!$A18,'Sheet OS'!$J$2:$J$91,Charges!I$2)</f>
        <v>0</v>
      </c>
      <c r="J18" s="4">
        <f>SUMIFS('Sheet OS'!$G$2:$G$91,'Sheet OS'!$N$2:$N$91,Charges!$A18,'Sheet OS'!$J$2:$J$91,Charges!J$2)</f>
        <v>0.03</v>
      </c>
      <c r="K18" s="4">
        <f>SUMIFS('Sheet OS'!$G$2:$G$91,'Sheet OS'!$N$2:$N$91,Charges!$A18,'Sheet OS'!$J$2:$J$91,Charges!K$2)</f>
        <v>0</v>
      </c>
      <c r="L18" s="4">
        <f>SUMIFS('Sheet OS'!$G$2:$G$91,'Sheet OS'!$N$2:$N$91,Charges!$A18,'Sheet OS'!$J$2:$J$91,Charges!L$2)</f>
        <v>0</v>
      </c>
      <c r="M18" s="4">
        <f>SUMIFS('Sheet OS'!$G$2:$G$91,'Sheet OS'!$N$2:$N$91,Charges!$A18,'Sheet OS'!$J$2:$J$91,Charges!M$2)</f>
        <v>0</v>
      </c>
      <c r="N18" s="4">
        <f t="shared" si="0"/>
        <v>67.09</v>
      </c>
      <c r="O18" s="4">
        <f>IF(C18=0,0,(C18-SUM($N18:N18))*I18)</f>
        <v>0</v>
      </c>
      <c r="P18" s="4">
        <f>IF(D18=0,0,(D18-SUM($N18:O18))*J18)</f>
        <v>199.25729999999999</v>
      </c>
      <c r="Q18">
        <f>IF(E18=0,0,(E18-SUM($N18:P18))*K18)</f>
        <v>0</v>
      </c>
      <c r="R18">
        <f>IF(F18=0,0,(F18-SUM($N18:Q18))*L18)</f>
        <v>0</v>
      </c>
      <c r="S18">
        <f>IF(G18=0,0,(G18-SUM($N18:R18))*M18)</f>
        <v>0</v>
      </c>
      <c r="T18" s="4">
        <f>SUM(N18:S18)</f>
        <v>266.34730000000002</v>
      </c>
    </row>
    <row r="19" spans="1:20" x14ac:dyDescent="0.35">
      <c r="A19" t="s">
        <v>146</v>
      </c>
      <c r="B19" s="4">
        <f>SUMIFS('Sheet OS'!$D$2:$D$91,'Sheet OS'!$N$2:$N$91,Charges!$A19,'Sheet OS'!$J$2:$J$91,Charges!B$2)</f>
        <v>5188</v>
      </c>
      <c r="C19" s="4">
        <f>SUMIFS('Sheet OS'!$D$2:$D$91,'Sheet OS'!$N$2:$N$91,Charges!$A19,'Sheet OS'!$J$2:$J$91,Charges!C$2)</f>
        <v>0</v>
      </c>
      <c r="D19" s="4">
        <f>SUMIFS('Sheet OS'!$D$2:$D$91,'Sheet OS'!$N$2:$N$91,Charges!$A19,'Sheet OS'!$J$2:$J$91,Charges!D$2)</f>
        <v>5188</v>
      </c>
      <c r="E19" s="4">
        <f>SUMIFS('Sheet OS'!$D$2:$D$91,'Sheet OS'!$N$2:$N$91,Charges!$A19,'Sheet OS'!$J$2:$J$91,Charges!E$2)</f>
        <v>0</v>
      </c>
      <c r="F19" s="4">
        <f>SUMIFS('Sheet OS'!$D$2:$D$91,'Sheet OS'!$N$2:$N$91,Charges!$A19,'Sheet OS'!$J$2:$J$91,Charges!F$2)</f>
        <v>0</v>
      </c>
      <c r="G19" s="4">
        <f>SUMIFS('Sheet OS'!$D$2:$D$91,'Sheet OS'!$N$2:$N$91,Charges!$A19,'Sheet OS'!$J$2:$J$91,Charges!G$2)</f>
        <v>0</v>
      </c>
      <c r="H19" s="4">
        <f>SUMIFS('Sheet OS'!$G$2:$G$91,'Sheet OS'!$N$2:$N$91,Charges!$A19,'Sheet OS'!$J$2:$J$91,Charges!H$2)</f>
        <v>0.01</v>
      </c>
      <c r="I19" s="4">
        <f>SUMIFS('Sheet OS'!$G$2:$G$91,'Sheet OS'!$N$2:$N$91,Charges!$A19,'Sheet OS'!$J$2:$J$91,Charges!I$2)</f>
        <v>0</v>
      </c>
      <c r="J19" s="4">
        <f>SUMIFS('Sheet OS'!$G$2:$G$91,'Sheet OS'!$N$2:$N$91,Charges!$A19,'Sheet OS'!$J$2:$J$91,Charges!J$2)</f>
        <v>0.01</v>
      </c>
      <c r="K19" s="4">
        <f>SUMIFS('Sheet OS'!$G$2:$G$91,'Sheet OS'!$N$2:$N$91,Charges!$A19,'Sheet OS'!$J$2:$J$91,Charges!K$2)</f>
        <v>0</v>
      </c>
      <c r="L19" s="4">
        <f>SUMIFS('Sheet OS'!$G$2:$G$91,'Sheet OS'!$N$2:$N$91,Charges!$A19,'Sheet OS'!$J$2:$J$91,Charges!L$2)</f>
        <v>0</v>
      </c>
      <c r="M19" s="4">
        <f>SUMIFS('Sheet OS'!$G$2:$G$91,'Sheet OS'!$N$2:$N$91,Charges!$A19,'Sheet OS'!$J$2:$J$91,Charges!M$2)</f>
        <v>0</v>
      </c>
      <c r="N19" s="4">
        <f t="shared" si="0"/>
        <v>51.88</v>
      </c>
      <c r="O19" s="4">
        <f>IF(C19=0,0,(C19-SUM($N19:N19))*I19)</f>
        <v>0</v>
      </c>
      <c r="P19" s="4">
        <f>IF(D19=0,0,(D19-SUM($N19:O19))*J19)</f>
        <v>51.361199999999997</v>
      </c>
      <c r="Q19">
        <f>IF(E19=0,0,(E19-SUM($N19:P19))*K19)</f>
        <v>0</v>
      </c>
      <c r="R19">
        <f>IF(F19=0,0,(F19-SUM($N19:Q19))*L19)</f>
        <v>0</v>
      </c>
      <c r="S19">
        <f>IF(G19=0,0,(G19-SUM($N19:R19))*M19)</f>
        <v>0</v>
      </c>
      <c r="T19" s="4">
        <f>SUM(N19:S19)</f>
        <v>103.24119999999999</v>
      </c>
    </row>
    <row r="20" spans="1:20" x14ac:dyDescent="0.35">
      <c r="A20" t="s">
        <v>147</v>
      </c>
      <c r="B20" s="4">
        <f>SUMIFS('Sheet OS'!$D$2:$D$91,'Sheet OS'!$N$2:$N$91,Charges!$A20,'Sheet OS'!$J$2:$J$91,Charges!B$2)</f>
        <v>120</v>
      </c>
      <c r="C20" s="4">
        <f>SUMIFS('Sheet OS'!$D$2:$D$91,'Sheet OS'!$N$2:$N$91,Charges!$A20,'Sheet OS'!$J$2:$J$91,Charges!C$2)</f>
        <v>120</v>
      </c>
      <c r="D20" s="4">
        <f>SUMIFS('Sheet OS'!$D$2:$D$91,'Sheet OS'!$N$2:$N$91,Charges!$A20,'Sheet OS'!$J$2:$J$91,Charges!D$2)</f>
        <v>0</v>
      </c>
      <c r="E20" s="4">
        <f>SUMIFS('Sheet OS'!$D$2:$D$91,'Sheet OS'!$N$2:$N$91,Charges!$A20,'Sheet OS'!$J$2:$J$91,Charges!E$2)</f>
        <v>120</v>
      </c>
      <c r="F20" s="4">
        <f>SUMIFS('Sheet OS'!$D$2:$D$91,'Sheet OS'!$N$2:$N$91,Charges!$A20,'Sheet OS'!$J$2:$J$91,Charges!F$2)</f>
        <v>0</v>
      </c>
      <c r="G20" s="4">
        <f>SUMIFS('Sheet OS'!$D$2:$D$91,'Sheet OS'!$N$2:$N$91,Charges!$A20,'Sheet OS'!$J$2:$J$91,Charges!G$2)</f>
        <v>0</v>
      </c>
      <c r="H20" s="4">
        <f>SUMIFS('Sheet OS'!$G$2:$G$91,'Sheet OS'!$N$2:$N$91,Charges!$A20,'Sheet OS'!$J$2:$J$91,Charges!H$2)</f>
        <v>0.01</v>
      </c>
      <c r="I20" s="4">
        <f>SUMIFS('Sheet OS'!$G$2:$G$91,'Sheet OS'!$N$2:$N$91,Charges!$A20,'Sheet OS'!$J$2:$J$91,Charges!I$2)</f>
        <v>0.01</v>
      </c>
      <c r="J20" s="4">
        <f>SUMIFS('Sheet OS'!$G$2:$G$91,'Sheet OS'!$N$2:$N$91,Charges!$A20,'Sheet OS'!$J$2:$J$91,Charges!J$2)</f>
        <v>0</v>
      </c>
      <c r="K20" s="4">
        <f>SUMIFS('Sheet OS'!$G$2:$G$91,'Sheet OS'!$N$2:$N$91,Charges!$A20,'Sheet OS'!$J$2:$J$91,Charges!K$2)</f>
        <v>0.01</v>
      </c>
      <c r="L20" s="4">
        <f>SUMIFS('Sheet OS'!$G$2:$G$91,'Sheet OS'!$N$2:$N$91,Charges!$A20,'Sheet OS'!$J$2:$J$91,Charges!L$2)</f>
        <v>0</v>
      </c>
      <c r="M20" s="4">
        <f>SUMIFS('Sheet OS'!$G$2:$G$91,'Sheet OS'!$N$2:$N$91,Charges!$A20,'Sheet OS'!$J$2:$J$91,Charges!M$2)</f>
        <v>0</v>
      </c>
      <c r="N20" s="4">
        <f t="shared" si="0"/>
        <v>1.2</v>
      </c>
      <c r="O20" s="4">
        <f>IF(C20=0,0,(C20-SUM($N20:N20))*I20)</f>
        <v>1.1879999999999999</v>
      </c>
      <c r="P20" s="4">
        <f>IF(D20=0,0,(D20-SUM($N20:O20))*J20)</f>
        <v>0</v>
      </c>
      <c r="Q20">
        <f>IF(E20=0,0,(E20-SUM($N20:P20))*K20)</f>
        <v>1.1761200000000001</v>
      </c>
      <c r="R20">
        <f>IF(F20=0,0,(F20-SUM($N20:Q20))*L20)</f>
        <v>0</v>
      </c>
      <c r="S20">
        <f>IF(G20=0,0,(G20-SUM($N20:R20))*M20)</f>
        <v>0</v>
      </c>
      <c r="T20" s="4">
        <f>SUM(N20:S20)</f>
        <v>3.56412</v>
      </c>
    </row>
    <row r="21" spans="1:20" x14ac:dyDescent="0.35">
      <c r="A21" t="s">
        <v>173</v>
      </c>
      <c r="B21" s="4">
        <f>SUMIFS('Sheet OS'!$D$2:$D$91,'Sheet OS'!$N$2:$N$91,Charges!$A21,'Sheet OS'!$J$2:$J$91,Charges!B$2)</f>
        <v>6720</v>
      </c>
      <c r="C21" s="4">
        <f>SUMIFS('Sheet OS'!$D$2:$D$91,'Sheet OS'!$N$2:$N$91,Charges!$A21,'Sheet OS'!$J$2:$J$91,Charges!C$2)</f>
        <v>0</v>
      </c>
      <c r="D21" s="4">
        <f>SUMIFS('Sheet OS'!$D$2:$D$91,'Sheet OS'!$N$2:$N$91,Charges!$A21,'Sheet OS'!$J$2:$J$91,Charges!D$2)</f>
        <v>6720</v>
      </c>
      <c r="E21" s="4">
        <f>SUMIFS('Sheet OS'!$D$2:$D$91,'Sheet OS'!$N$2:$N$91,Charges!$A21,'Sheet OS'!$J$2:$J$91,Charges!E$2)</f>
        <v>0</v>
      </c>
      <c r="F21" s="4">
        <f>SUMIFS('Sheet OS'!$D$2:$D$91,'Sheet OS'!$N$2:$N$91,Charges!$A21,'Sheet OS'!$J$2:$J$91,Charges!F$2)</f>
        <v>0</v>
      </c>
      <c r="G21" s="4">
        <f>SUMIFS('Sheet OS'!$D$2:$D$91,'Sheet OS'!$N$2:$N$91,Charges!$A21,'Sheet OS'!$J$2:$J$91,Charges!G$2)</f>
        <v>0</v>
      </c>
      <c r="H21" s="4">
        <f>SUMIFS('Sheet OS'!$G$2:$G$91,'Sheet OS'!$N$2:$N$91,Charges!$A21,'Sheet OS'!$J$2:$J$91,Charges!H$2)</f>
        <v>0.02</v>
      </c>
      <c r="I21" s="4">
        <f>SUMIFS('Sheet OS'!$G$2:$G$91,'Sheet OS'!$N$2:$N$91,Charges!$A21,'Sheet OS'!$J$2:$J$91,Charges!I$2)</f>
        <v>0</v>
      </c>
      <c r="J21" s="4">
        <f>SUMIFS('Sheet OS'!$G$2:$G$91,'Sheet OS'!$N$2:$N$91,Charges!$A21,'Sheet OS'!$J$2:$J$91,Charges!J$2)</f>
        <v>0.02</v>
      </c>
      <c r="K21" s="4">
        <f>SUMIFS('Sheet OS'!$G$2:$G$91,'Sheet OS'!$N$2:$N$91,Charges!$A21,'Sheet OS'!$J$2:$J$91,Charges!K$2)</f>
        <v>0</v>
      </c>
      <c r="L21" s="4">
        <f>SUMIFS('Sheet OS'!$G$2:$G$91,'Sheet OS'!$N$2:$N$91,Charges!$A21,'Sheet OS'!$J$2:$J$91,Charges!L$2)</f>
        <v>0</v>
      </c>
      <c r="M21" s="4">
        <f>SUMIFS('Sheet OS'!$G$2:$G$91,'Sheet OS'!$N$2:$N$91,Charges!$A21,'Sheet OS'!$J$2:$J$91,Charges!M$2)</f>
        <v>0</v>
      </c>
      <c r="N21" s="4">
        <f t="shared" si="0"/>
        <v>134.4</v>
      </c>
      <c r="O21" s="4">
        <f>IF(C21=0,0,(C21-SUM($N21:N21))*I21)</f>
        <v>0</v>
      </c>
      <c r="P21" s="4">
        <f>IF(D21=0,0,(D21-SUM($N21:O21))*J21)</f>
        <v>131.71200000000002</v>
      </c>
      <c r="Q21">
        <f>IF(E21=0,0,(E21-SUM($N21:P21))*K21)</f>
        <v>0</v>
      </c>
      <c r="R21">
        <f>IF(F21=0,0,(F21-SUM($N21:Q21))*L21)</f>
        <v>0</v>
      </c>
      <c r="S21">
        <f>IF(G21=0,0,(G21-SUM($N21:R21))*M21)</f>
        <v>0</v>
      </c>
      <c r="T21" s="4">
        <f>SUM(N21:S21)</f>
        <v>266.11200000000002</v>
      </c>
    </row>
    <row r="22" spans="1:20" x14ac:dyDescent="0.35">
      <c r="A22" t="s">
        <v>148</v>
      </c>
      <c r="B22" s="4">
        <f>SUMIFS('Sheet OS'!$D$2:$D$91,'Sheet OS'!$N$2:$N$91,Charges!$A22,'Sheet OS'!$J$2:$J$91,Charges!B$2)</f>
        <v>67569</v>
      </c>
      <c r="C22" s="4">
        <f>SUMIFS('Sheet OS'!$D$2:$D$91,'Sheet OS'!$N$2:$N$91,Charges!$A22,'Sheet OS'!$J$2:$J$91,Charges!C$2)</f>
        <v>0</v>
      </c>
      <c r="D22" s="4">
        <f>SUMIFS('Sheet OS'!$D$2:$D$91,'Sheet OS'!$N$2:$N$91,Charges!$A22,'Sheet OS'!$J$2:$J$91,Charges!D$2)</f>
        <v>67569</v>
      </c>
      <c r="E22" s="4">
        <f>SUMIFS('Sheet OS'!$D$2:$D$91,'Sheet OS'!$N$2:$N$91,Charges!$A22,'Sheet OS'!$J$2:$J$91,Charges!E$2)</f>
        <v>0</v>
      </c>
      <c r="F22" s="4">
        <f>SUMIFS('Sheet OS'!$D$2:$D$91,'Sheet OS'!$N$2:$N$91,Charges!$A22,'Sheet OS'!$J$2:$J$91,Charges!F$2)</f>
        <v>0</v>
      </c>
      <c r="G22" s="4">
        <f>SUMIFS('Sheet OS'!$D$2:$D$91,'Sheet OS'!$N$2:$N$91,Charges!$A22,'Sheet OS'!$J$2:$J$91,Charges!G$2)</f>
        <v>0</v>
      </c>
      <c r="H22" s="4">
        <f>SUMIFS('Sheet OS'!$G$2:$G$91,'Sheet OS'!$N$2:$N$91,Charges!$A22,'Sheet OS'!$J$2:$J$91,Charges!H$2)</f>
        <v>0.01</v>
      </c>
      <c r="I22" s="4">
        <f>SUMIFS('Sheet OS'!$G$2:$G$91,'Sheet OS'!$N$2:$N$91,Charges!$A22,'Sheet OS'!$J$2:$J$91,Charges!I$2)</f>
        <v>0</v>
      </c>
      <c r="J22" s="4">
        <f>SUMIFS('Sheet OS'!$G$2:$G$91,'Sheet OS'!$N$2:$N$91,Charges!$A22,'Sheet OS'!$J$2:$J$91,Charges!J$2)</f>
        <v>0.01</v>
      </c>
      <c r="K22" s="4">
        <f>SUMIFS('Sheet OS'!$G$2:$G$91,'Sheet OS'!$N$2:$N$91,Charges!$A22,'Sheet OS'!$J$2:$J$91,Charges!K$2)</f>
        <v>0</v>
      </c>
      <c r="L22" s="4">
        <f>SUMIFS('Sheet OS'!$G$2:$G$91,'Sheet OS'!$N$2:$N$91,Charges!$A22,'Sheet OS'!$J$2:$J$91,Charges!L$2)</f>
        <v>0</v>
      </c>
      <c r="M22" s="4">
        <f>SUMIFS('Sheet OS'!$G$2:$G$91,'Sheet OS'!$N$2:$N$91,Charges!$A22,'Sheet OS'!$J$2:$J$91,Charges!M$2)</f>
        <v>0</v>
      </c>
      <c r="N22" s="4">
        <f t="shared" si="0"/>
        <v>675.69</v>
      </c>
      <c r="O22" s="4">
        <f>IF(C22=0,0,(C22-SUM($N22:N22))*I22)</f>
        <v>0</v>
      </c>
      <c r="P22" s="4">
        <f>IF(D22=0,0,(D22-SUM($N22:O22))*J22)</f>
        <v>668.93309999999997</v>
      </c>
      <c r="Q22">
        <f>IF(E22=0,0,(E22-SUM($N22:P22))*K22)</f>
        <v>0</v>
      </c>
      <c r="R22">
        <f>IF(F22=0,0,(F22-SUM($N22:Q22))*L22)</f>
        <v>0</v>
      </c>
      <c r="S22">
        <f>IF(G22=0,0,(G22-SUM($N22:R22))*M22)</f>
        <v>0</v>
      </c>
      <c r="T22" s="4">
        <f>SUM(N22:S22)</f>
        <v>1344.6231</v>
      </c>
    </row>
    <row r="23" spans="1:20" x14ac:dyDescent="0.35">
      <c r="A23" t="s">
        <v>149</v>
      </c>
      <c r="B23" s="4">
        <f>SUMIFS('Sheet OS'!$D$2:$D$91,'Sheet OS'!$N$2:$N$91,Charges!$A23,'Sheet OS'!$J$2:$J$91,Charges!B$2)</f>
        <v>2100</v>
      </c>
      <c r="C23" s="4">
        <f>SUMIFS('Sheet OS'!$D$2:$D$91,'Sheet OS'!$N$2:$N$91,Charges!$A23,'Sheet OS'!$J$2:$J$91,Charges!C$2)</f>
        <v>0</v>
      </c>
      <c r="D23" s="4">
        <f>SUMIFS('Sheet OS'!$D$2:$D$91,'Sheet OS'!$N$2:$N$91,Charges!$A23,'Sheet OS'!$J$2:$J$91,Charges!D$2)</f>
        <v>2100</v>
      </c>
      <c r="E23" s="4">
        <f>SUMIFS('Sheet OS'!$D$2:$D$91,'Sheet OS'!$N$2:$N$91,Charges!$A23,'Sheet OS'!$J$2:$J$91,Charges!E$2)</f>
        <v>0</v>
      </c>
      <c r="F23" s="4">
        <f>SUMIFS('Sheet OS'!$D$2:$D$91,'Sheet OS'!$N$2:$N$91,Charges!$A23,'Sheet OS'!$J$2:$J$91,Charges!F$2)</f>
        <v>0</v>
      </c>
      <c r="G23" s="4">
        <f>SUMIFS('Sheet OS'!$D$2:$D$91,'Sheet OS'!$N$2:$N$91,Charges!$A23,'Sheet OS'!$J$2:$J$91,Charges!G$2)</f>
        <v>0</v>
      </c>
      <c r="H23" s="4">
        <f>SUMIFS('Sheet OS'!$G$2:$G$91,'Sheet OS'!$N$2:$N$91,Charges!$A23,'Sheet OS'!$J$2:$J$91,Charges!H$2)</f>
        <v>0.02</v>
      </c>
      <c r="I23" s="4">
        <f>SUMIFS('Sheet OS'!$G$2:$G$91,'Sheet OS'!$N$2:$N$91,Charges!$A23,'Sheet OS'!$J$2:$J$91,Charges!I$2)</f>
        <v>0</v>
      </c>
      <c r="J23" s="4">
        <f>SUMIFS('Sheet OS'!$G$2:$G$91,'Sheet OS'!$N$2:$N$91,Charges!$A23,'Sheet OS'!$J$2:$J$91,Charges!J$2)</f>
        <v>0.02</v>
      </c>
      <c r="K23" s="4">
        <f>SUMIFS('Sheet OS'!$G$2:$G$91,'Sheet OS'!$N$2:$N$91,Charges!$A23,'Sheet OS'!$J$2:$J$91,Charges!K$2)</f>
        <v>0</v>
      </c>
      <c r="L23" s="4">
        <f>SUMIFS('Sheet OS'!$G$2:$G$91,'Sheet OS'!$N$2:$N$91,Charges!$A23,'Sheet OS'!$J$2:$J$91,Charges!L$2)</f>
        <v>0</v>
      </c>
      <c r="M23" s="4">
        <f>SUMIFS('Sheet OS'!$G$2:$G$91,'Sheet OS'!$N$2:$N$91,Charges!$A23,'Sheet OS'!$J$2:$J$91,Charges!M$2)</f>
        <v>0</v>
      </c>
      <c r="N23" s="4">
        <f t="shared" si="0"/>
        <v>42</v>
      </c>
      <c r="O23" s="4">
        <f>IF(C23=0,0,(C23-SUM($N23:N23))*I23)</f>
        <v>0</v>
      </c>
      <c r="P23" s="4">
        <f>IF(D23=0,0,(D23-SUM($N23:O23))*J23)</f>
        <v>41.160000000000004</v>
      </c>
      <c r="Q23">
        <f>IF(E23=0,0,(E23-SUM($N23:P23))*K23)</f>
        <v>0</v>
      </c>
      <c r="R23">
        <f>IF(F23=0,0,(F23-SUM($N23:Q23))*L23)</f>
        <v>0</v>
      </c>
      <c r="S23">
        <f>IF(G23=0,0,(G23-SUM($N23:R23))*M23)</f>
        <v>0</v>
      </c>
      <c r="T23" s="4">
        <f>SUM(N23:S23)</f>
        <v>83.16</v>
      </c>
    </row>
    <row r="24" spans="1:20" x14ac:dyDescent="0.35">
      <c r="A24" t="s">
        <v>150</v>
      </c>
      <c r="B24" s="4">
        <f>SUMIFS('Sheet OS'!$D$2:$D$91,'Sheet OS'!$N$2:$N$91,Charges!$A24,'Sheet OS'!$J$2:$J$91,Charges!B$2)</f>
        <v>800</v>
      </c>
      <c r="C24" s="4">
        <f>SUMIFS('Sheet OS'!$D$2:$D$91,'Sheet OS'!$N$2:$N$91,Charges!$A24,'Sheet OS'!$J$2:$J$91,Charges!C$2)</f>
        <v>0</v>
      </c>
      <c r="D24" s="4">
        <f>SUMIFS('Sheet OS'!$D$2:$D$91,'Sheet OS'!$N$2:$N$91,Charges!$A24,'Sheet OS'!$J$2:$J$91,Charges!D$2)</f>
        <v>800</v>
      </c>
      <c r="E24" s="4">
        <f>SUMIFS('Sheet OS'!$D$2:$D$91,'Sheet OS'!$N$2:$N$91,Charges!$A24,'Sheet OS'!$J$2:$J$91,Charges!E$2)</f>
        <v>0</v>
      </c>
      <c r="F24" s="4">
        <f>SUMIFS('Sheet OS'!$D$2:$D$91,'Sheet OS'!$N$2:$N$91,Charges!$A24,'Sheet OS'!$J$2:$J$91,Charges!F$2)</f>
        <v>0</v>
      </c>
      <c r="G24" s="4">
        <f>SUMIFS('Sheet OS'!$D$2:$D$91,'Sheet OS'!$N$2:$N$91,Charges!$A24,'Sheet OS'!$J$2:$J$91,Charges!G$2)</f>
        <v>0</v>
      </c>
      <c r="H24" s="4">
        <f>SUMIFS('Sheet OS'!$G$2:$G$91,'Sheet OS'!$N$2:$N$91,Charges!$A24,'Sheet OS'!$J$2:$J$91,Charges!H$2)</f>
        <v>0.01</v>
      </c>
      <c r="I24" s="4">
        <f>SUMIFS('Sheet OS'!$G$2:$G$91,'Sheet OS'!$N$2:$N$91,Charges!$A24,'Sheet OS'!$J$2:$J$91,Charges!I$2)</f>
        <v>0</v>
      </c>
      <c r="J24" s="4">
        <f>SUMIFS('Sheet OS'!$G$2:$G$91,'Sheet OS'!$N$2:$N$91,Charges!$A24,'Sheet OS'!$J$2:$J$91,Charges!J$2)</f>
        <v>0.01</v>
      </c>
      <c r="K24" s="4">
        <f>SUMIFS('Sheet OS'!$G$2:$G$91,'Sheet OS'!$N$2:$N$91,Charges!$A24,'Sheet OS'!$J$2:$J$91,Charges!K$2)</f>
        <v>0</v>
      </c>
      <c r="L24" s="4">
        <f>SUMIFS('Sheet OS'!$G$2:$G$91,'Sheet OS'!$N$2:$N$91,Charges!$A24,'Sheet OS'!$J$2:$J$91,Charges!L$2)</f>
        <v>0</v>
      </c>
      <c r="M24" s="4">
        <f>SUMIFS('Sheet OS'!$G$2:$G$91,'Sheet OS'!$N$2:$N$91,Charges!$A24,'Sheet OS'!$J$2:$J$91,Charges!M$2)</f>
        <v>0</v>
      </c>
      <c r="N24" s="4">
        <f t="shared" si="0"/>
        <v>8</v>
      </c>
      <c r="O24" s="4">
        <f>IF(C24=0,0,(C24-SUM($N24:N24))*I24)</f>
        <v>0</v>
      </c>
      <c r="P24" s="4">
        <f>IF(D24=0,0,(D24-SUM($N24:O24))*J24)</f>
        <v>7.92</v>
      </c>
      <c r="Q24">
        <f>IF(E24=0,0,(E24-SUM($N24:P24))*K24)</f>
        <v>0</v>
      </c>
      <c r="R24">
        <f>IF(F24=0,0,(F24-SUM($N24:Q24))*L24)</f>
        <v>0</v>
      </c>
      <c r="S24">
        <f>IF(G24=0,0,(G24-SUM($N24:R24))*M24)</f>
        <v>0</v>
      </c>
      <c r="T24" s="4">
        <f>SUM(N24:S24)</f>
        <v>15.92</v>
      </c>
    </row>
    <row r="25" spans="1:20" x14ac:dyDescent="0.35">
      <c r="A25" t="s">
        <v>151</v>
      </c>
      <c r="B25" s="4">
        <f>SUMIFS('Sheet OS'!$D$2:$D$91,'Sheet OS'!$N$2:$N$91,Charges!$A25,'Sheet OS'!$J$2:$J$91,Charges!B$2)</f>
        <v>1025</v>
      </c>
      <c r="C25" s="4">
        <f>SUMIFS('Sheet OS'!$D$2:$D$91,'Sheet OS'!$N$2:$N$91,Charges!$A25,'Sheet OS'!$J$2:$J$91,Charges!C$2)</f>
        <v>0</v>
      </c>
      <c r="D25" s="4">
        <f>SUMIFS('Sheet OS'!$D$2:$D$91,'Sheet OS'!$N$2:$N$91,Charges!$A25,'Sheet OS'!$J$2:$J$91,Charges!D$2)</f>
        <v>1025</v>
      </c>
      <c r="E25" s="4">
        <f>SUMIFS('Sheet OS'!$D$2:$D$91,'Sheet OS'!$N$2:$N$91,Charges!$A25,'Sheet OS'!$J$2:$J$91,Charges!E$2)</f>
        <v>0</v>
      </c>
      <c r="F25" s="4">
        <f>SUMIFS('Sheet OS'!$D$2:$D$91,'Sheet OS'!$N$2:$N$91,Charges!$A25,'Sheet OS'!$J$2:$J$91,Charges!F$2)</f>
        <v>0</v>
      </c>
      <c r="G25" s="4">
        <f>SUMIFS('Sheet OS'!$D$2:$D$91,'Sheet OS'!$N$2:$N$91,Charges!$A25,'Sheet OS'!$J$2:$J$91,Charges!G$2)</f>
        <v>0</v>
      </c>
      <c r="H25" s="4">
        <f>SUMIFS('Sheet OS'!$G$2:$G$91,'Sheet OS'!$N$2:$N$91,Charges!$A25,'Sheet OS'!$J$2:$J$91,Charges!H$2)</f>
        <v>0.08</v>
      </c>
      <c r="I25" s="4">
        <f>SUMIFS('Sheet OS'!$G$2:$G$91,'Sheet OS'!$N$2:$N$91,Charges!$A25,'Sheet OS'!$J$2:$J$91,Charges!I$2)</f>
        <v>0</v>
      </c>
      <c r="J25" s="4">
        <f>SUMIFS('Sheet OS'!$G$2:$G$91,'Sheet OS'!$N$2:$N$91,Charges!$A25,'Sheet OS'!$J$2:$J$91,Charges!J$2)</f>
        <v>0.08</v>
      </c>
      <c r="K25" s="4">
        <f>SUMIFS('Sheet OS'!$G$2:$G$91,'Sheet OS'!$N$2:$N$91,Charges!$A25,'Sheet OS'!$J$2:$J$91,Charges!K$2)</f>
        <v>0</v>
      </c>
      <c r="L25" s="4">
        <f>SUMIFS('Sheet OS'!$G$2:$G$91,'Sheet OS'!$N$2:$N$91,Charges!$A25,'Sheet OS'!$J$2:$J$91,Charges!L$2)</f>
        <v>0</v>
      </c>
      <c r="M25" s="4">
        <f>SUMIFS('Sheet OS'!$G$2:$G$91,'Sheet OS'!$N$2:$N$91,Charges!$A25,'Sheet OS'!$J$2:$J$91,Charges!M$2)</f>
        <v>0</v>
      </c>
      <c r="N25" s="4">
        <f t="shared" si="0"/>
        <v>82</v>
      </c>
      <c r="O25" s="4">
        <f>IF(C25=0,0,(C25-SUM($N25:N25))*I25)</f>
        <v>0</v>
      </c>
      <c r="P25" s="4">
        <f>IF(D25=0,0,(D25-SUM($N25:O25))*J25)</f>
        <v>75.44</v>
      </c>
      <c r="Q25">
        <f>IF(E25=0,0,(E25-SUM($N25:P25))*K25)</f>
        <v>0</v>
      </c>
      <c r="R25">
        <f>IF(F25=0,0,(F25-SUM($N25:Q25))*L25)</f>
        <v>0</v>
      </c>
      <c r="S25">
        <f>IF(G25=0,0,(G25-SUM($N25:R25))*M25)</f>
        <v>0</v>
      </c>
      <c r="T25" s="4">
        <f>SUM(N25:S25)</f>
        <v>157.44</v>
      </c>
    </row>
    <row r="26" spans="1:20" x14ac:dyDescent="0.35">
      <c r="A26" t="s">
        <v>152</v>
      </c>
      <c r="B26" s="4">
        <f>SUMIFS('Sheet OS'!$D$2:$D$91,'Sheet OS'!$N$2:$N$91,Charges!$A26,'Sheet OS'!$J$2:$J$91,Charges!B$2)</f>
        <v>87600</v>
      </c>
      <c r="C26" s="4">
        <f>SUMIFS('Sheet OS'!$D$2:$D$91,'Sheet OS'!$N$2:$N$91,Charges!$A26,'Sheet OS'!$J$2:$J$91,Charges!C$2)</f>
        <v>0</v>
      </c>
      <c r="D26" s="4">
        <f>SUMIFS('Sheet OS'!$D$2:$D$91,'Sheet OS'!$N$2:$N$91,Charges!$A26,'Sheet OS'!$J$2:$J$91,Charges!D$2)</f>
        <v>87600</v>
      </c>
      <c r="E26" s="4">
        <f>SUMIFS('Sheet OS'!$D$2:$D$91,'Sheet OS'!$N$2:$N$91,Charges!$A26,'Sheet OS'!$J$2:$J$91,Charges!E$2)</f>
        <v>0</v>
      </c>
      <c r="F26" s="4">
        <f>SUMIFS('Sheet OS'!$D$2:$D$91,'Sheet OS'!$N$2:$N$91,Charges!$A26,'Sheet OS'!$J$2:$J$91,Charges!F$2)</f>
        <v>0</v>
      </c>
      <c r="G26" s="4">
        <f>SUMIFS('Sheet OS'!$D$2:$D$91,'Sheet OS'!$N$2:$N$91,Charges!$A26,'Sheet OS'!$J$2:$J$91,Charges!G$2)</f>
        <v>0</v>
      </c>
      <c r="H26" s="4">
        <f>SUMIFS('Sheet OS'!$G$2:$G$91,'Sheet OS'!$N$2:$N$91,Charges!$A26,'Sheet OS'!$J$2:$J$91,Charges!H$2)</f>
        <v>0.01</v>
      </c>
      <c r="I26" s="4">
        <f>SUMIFS('Sheet OS'!$G$2:$G$91,'Sheet OS'!$N$2:$N$91,Charges!$A26,'Sheet OS'!$J$2:$J$91,Charges!I$2)</f>
        <v>0</v>
      </c>
      <c r="J26" s="4">
        <f>SUMIFS('Sheet OS'!$G$2:$G$91,'Sheet OS'!$N$2:$N$91,Charges!$A26,'Sheet OS'!$J$2:$J$91,Charges!J$2)</f>
        <v>0.01</v>
      </c>
      <c r="K26" s="4">
        <f>SUMIFS('Sheet OS'!$G$2:$G$91,'Sheet OS'!$N$2:$N$91,Charges!$A26,'Sheet OS'!$J$2:$J$91,Charges!K$2)</f>
        <v>0</v>
      </c>
      <c r="L26" s="4">
        <f>SUMIFS('Sheet OS'!$G$2:$G$91,'Sheet OS'!$N$2:$N$91,Charges!$A26,'Sheet OS'!$J$2:$J$91,Charges!L$2)</f>
        <v>0</v>
      </c>
      <c r="M26" s="4">
        <f>SUMIFS('Sheet OS'!$G$2:$G$91,'Sheet OS'!$N$2:$N$91,Charges!$A26,'Sheet OS'!$J$2:$J$91,Charges!M$2)</f>
        <v>0</v>
      </c>
      <c r="N26" s="4">
        <f t="shared" si="0"/>
        <v>876</v>
      </c>
      <c r="O26" s="4">
        <f>IF(C26=0,0,(C26-SUM($N26:N26))*I26)</f>
        <v>0</v>
      </c>
      <c r="P26" s="4">
        <f>IF(D26=0,0,(D26-SUM($N26:O26))*J26)</f>
        <v>867.24</v>
      </c>
      <c r="Q26">
        <f>IF(E26=0,0,(E26-SUM($N26:P26))*K26)</f>
        <v>0</v>
      </c>
      <c r="R26">
        <f>IF(F26=0,0,(F26-SUM($N26:Q26))*L26)</f>
        <v>0</v>
      </c>
      <c r="S26">
        <f>IF(G26=0,0,(G26-SUM($N26:R26))*M26)</f>
        <v>0</v>
      </c>
      <c r="T26" s="4">
        <f>SUM(N26:S26)</f>
        <v>1743.24</v>
      </c>
    </row>
    <row r="27" spans="1:20" x14ac:dyDescent="0.35">
      <c r="A27" t="s">
        <v>153</v>
      </c>
      <c r="B27" s="4">
        <f>SUMIFS('Sheet OS'!$D$2:$D$91,'Sheet OS'!$N$2:$N$91,Charges!$A27,'Sheet OS'!$J$2:$J$91,Charges!B$2)</f>
        <v>1600</v>
      </c>
      <c r="C27" s="4">
        <f>SUMIFS('Sheet OS'!$D$2:$D$91,'Sheet OS'!$N$2:$N$91,Charges!$A27,'Sheet OS'!$J$2:$J$91,Charges!C$2)</f>
        <v>0</v>
      </c>
      <c r="D27" s="4">
        <f>SUMIFS('Sheet OS'!$D$2:$D$91,'Sheet OS'!$N$2:$N$91,Charges!$A27,'Sheet OS'!$J$2:$J$91,Charges!D$2)</f>
        <v>1600</v>
      </c>
      <c r="E27" s="4">
        <f>SUMIFS('Sheet OS'!$D$2:$D$91,'Sheet OS'!$N$2:$N$91,Charges!$A27,'Sheet OS'!$J$2:$J$91,Charges!E$2)</f>
        <v>0</v>
      </c>
      <c r="F27" s="4">
        <f>SUMIFS('Sheet OS'!$D$2:$D$91,'Sheet OS'!$N$2:$N$91,Charges!$A27,'Sheet OS'!$J$2:$J$91,Charges!F$2)</f>
        <v>0</v>
      </c>
      <c r="G27" s="4">
        <f>SUMIFS('Sheet OS'!$D$2:$D$91,'Sheet OS'!$N$2:$N$91,Charges!$A27,'Sheet OS'!$J$2:$J$91,Charges!G$2)</f>
        <v>0</v>
      </c>
      <c r="H27" s="4">
        <f>SUMIFS('Sheet OS'!$G$2:$G$91,'Sheet OS'!$N$2:$N$91,Charges!$A27,'Sheet OS'!$J$2:$J$91,Charges!H$2)</f>
        <v>0.04</v>
      </c>
      <c r="I27" s="4">
        <f>SUMIFS('Sheet OS'!$G$2:$G$91,'Sheet OS'!$N$2:$N$91,Charges!$A27,'Sheet OS'!$J$2:$J$91,Charges!I$2)</f>
        <v>0</v>
      </c>
      <c r="J27" s="4">
        <f>SUMIFS('Sheet OS'!$G$2:$G$91,'Sheet OS'!$N$2:$N$91,Charges!$A27,'Sheet OS'!$J$2:$J$91,Charges!J$2)</f>
        <v>0.01</v>
      </c>
      <c r="K27" s="4">
        <f>SUMIFS('Sheet OS'!$G$2:$G$91,'Sheet OS'!$N$2:$N$91,Charges!$A27,'Sheet OS'!$J$2:$J$91,Charges!K$2)</f>
        <v>0</v>
      </c>
      <c r="L27" s="4">
        <f>SUMIFS('Sheet OS'!$G$2:$G$91,'Sheet OS'!$N$2:$N$91,Charges!$A27,'Sheet OS'!$J$2:$J$91,Charges!L$2)</f>
        <v>0</v>
      </c>
      <c r="M27" s="4">
        <f>SUMIFS('Sheet OS'!$G$2:$G$91,'Sheet OS'!$N$2:$N$91,Charges!$A27,'Sheet OS'!$J$2:$J$91,Charges!M$2)</f>
        <v>0</v>
      </c>
      <c r="N27" s="4">
        <f t="shared" si="0"/>
        <v>64</v>
      </c>
      <c r="O27" s="4">
        <f>IF(C27=0,0,(C27-SUM($N27:N27))*I27)</f>
        <v>0</v>
      </c>
      <c r="P27" s="4">
        <f>IF(D27=0,0,(D27-SUM($N27:O27))*J27)</f>
        <v>15.36</v>
      </c>
      <c r="Q27">
        <f>IF(E27=0,0,(E27-SUM($N27:P27))*K27)</f>
        <v>0</v>
      </c>
      <c r="R27">
        <f>IF(F27=0,0,(F27-SUM($N27:Q27))*L27)</f>
        <v>0</v>
      </c>
      <c r="S27">
        <f>IF(G27=0,0,(G27-SUM($N27:R27))*M27)</f>
        <v>0</v>
      </c>
      <c r="T27" s="4">
        <f>SUM(N27:S27)</f>
        <v>79.36</v>
      </c>
    </row>
    <row r="28" spans="1:20" x14ac:dyDescent="0.35">
      <c r="A28" t="s">
        <v>154</v>
      </c>
      <c r="B28" s="4">
        <f>SUMIFS('Sheet OS'!$D$2:$D$91,'Sheet OS'!$N$2:$N$91,Charges!$A28,'Sheet OS'!$J$2:$J$91,Charges!B$2)</f>
        <v>3100</v>
      </c>
      <c r="C28" s="4">
        <f>SUMIFS('Sheet OS'!$D$2:$D$91,'Sheet OS'!$N$2:$N$91,Charges!$A28,'Sheet OS'!$J$2:$J$91,Charges!C$2)</f>
        <v>0</v>
      </c>
      <c r="D28" s="4">
        <f>SUMIFS('Sheet OS'!$D$2:$D$91,'Sheet OS'!$N$2:$N$91,Charges!$A28,'Sheet OS'!$J$2:$J$91,Charges!D$2)</f>
        <v>0</v>
      </c>
      <c r="E28" s="4">
        <f>SUMIFS('Sheet OS'!$D$2:$D$91,'Sheet OS'!$N$2:$N$91,Charges!$A28,'Sheet OS'!$J$2:$J$91,Charges!E$2)</f>
        <v>3100</v>
      </c>
      <c r="F28" s="4">
        <f>SUMIFS('Sheet OS'!$D$2:$D$91,'Sheet OS'!$N$2:$N$91,Charges!$A28,'Sheet OS'!$J$2:$J$91,Charges!F$2)</f>
        <v>0</v>
      </c>
      <c r="G28" s="4">
        <f>SUMIFS('Sheet OS'!$D$2:$D$91,'Sheet OS'!$N$2:$N$91,Charges!$A28,'Sheet OS'!$J$2:$J$91,Charges!G$2)</f>
        <v>0</v>
      </c>
      <c r="H28" s="4">
        <f>SUMIFS('Sheet OS'!$G$2:$G$91,'Sheet OS'!$N$2:$N$91,Charges!$A28,'Sheet OS'!$J$2:$J$91,Charges!H$2)</f>
        <v>0.01</v>
      </c>
      <c r="I28" s="4">
        <f>SUMIFS('Sheet OS'!$G$2:$G$91,'Sheet OS'!$N$2:$N$91,Charges!$A28,'Sheet OS'!$J$2:$J$91,Charges!I$2)</f>
        <v>0</v>
      </c>
      <c r="J28" s="4">
        <f>SUMIFS('Sheet OS'!$G$2:$G$91,'Sheet OS'!$N$2:$N$91,Charges!$A28,'Sheet OS'!$J$2:$J$91,Charges!J$2)</f>
        <v>0</v>
      </c>
      <c r="K28" s="4">
        <f>SUMIFS('Sheet OS'!$G$2:$G$91,'Sheet OS'!$N$2:$N$91,Charges!$A28,'Sheet OS'!$J$2:$J$91,Charges!K$2)</f>
        <v>0.08</v>
      </c>
      <c r="L28" s="4">
        <f>SUMIFS('Sheet OS'!$G$2:$G$91,'Sheet OS'!$N$2:$N$91,Charges!$A28,'Sheet OS'!$J$2:$J$91,Charges!L$2)</f>
        <v>0</v>
      </c>
      <c r="M28" s="4">
        <f>SUMIFS('Sheet OS'!$G$2:$G$91,'Sheet OS'!$N$2:$N$91,Charges!$A28,'Sheet OS'!$J$2:$J$91,Charges!M$2)</f>
        <v>0</v>
      </c>
      <c r="N28" s="4">
        <f t="shared" si="0"/>
        <v>31</v>
      </c>
      <c r="O28" s="4">
        <f>IF(C28=0,0,(C28-SUM($N28:N28))*I28)</f>
        <v>0</v>
      </c>
      <c r="P28" s="4">
        <f>IF(D28=0,0,(D28-SUM($N28:O28))*J28)</f>
        <v>0</v>
      </c>
      <c r="Q28">
        <f>IF(E28=0,0,(E28-SUM($N28:P28))*K28)</f>
        <v>245.52</v>
      </c>
      <c r="R28">
        <f>IF(F28=0,0,(F28-SUM($N28:Q28))*L28)</f>
        <v>0</v>
      </c>
      <c r="S28">
        <f>IF(G28=0,0,(G28-SUM($N28:R28))*M28)</f>
        <v>0</v>
      </c>
      <c r="T28" s="4">
        <f>SUM(N28:S28)</f>
        <v>276.52</v>
      </c>
    </row>
    <row r="29" spans="1:20" x14ac:dyDescent="0.35">
      <c r="A29" t="s">
        <v>155</v>
      </c>
      <c r="B29" s="4">
        <f>SUMIFS('Sheet OS'!$D$2:$D$91,'Sheet OS'!$N$2:$N$91,Charges!$A29,'Sheet OS'!$J$2:$J$91,Charges!B$2)</f>
        <v>456</v>
      </c>
      <c r="C29" s="4">
        <f>SUMIFS('Sheet OS'!$D$2:$D$91,'Sheet OS'!$N$2:$N$91,Charges!$A29,'Sheet OS'!$J$2:$J$91,Charges!C$2)</f>
        <v>0</v>
      </c>
      <c r="D29" s="4">
        <f>SUMIFS('Sheet OS'!$D$2:$D$91,'Sheet OS'!$N$2:$N$91,Charges!$A29,'Sheet OS'!$J$2:$J$91,Charges!D$2)</f>
        <v>456</v>
      </c>
      <c r="E29" s="4">
        <f>SUMIFS('Sheet OS'!$D$2:$D$91,'Sheet OS'!$N$2:$N$91,Charges!$A29,'Sheet OS'!$J$2:$J$91,Charges!E$2)</f>
        <v>0</v>
      </c>
      <c r="F29" s="4">
        <f>SUMIFS('Sheet OS'!$D$2:$D$91,'Sheet OS'!$N$2:$N$91,Charges!$A29,'Sheet OS'!$J$2:$J$91,Charges!F$2)</f>
        <v>0</v>
      </c>
      <c r="G29" s="4">
        <f>SUMIFS('Sheet OS'!$D$2:$D$91,'Sheet OS'!$N$2:$N$91,Charges!$A29,'Sheet OS'!$J$2:$J$91,Charges!G$2)</f>
        <v>0</v>
      </c>
      <c r="H29" s="4">
        <f>SUMIFS('Sheet OS'!$G$2:$G$91,'Sheet OS'!$N$2:$N$91,Charges!$A29,'Sheet OS'!$J$2:$J$91,Charges!H$2)</f>
        <v>0.02</v>
      </c>
      <c r="I29" s="4">
        <f>SUMIFS('Sheet OS'!$G$2:$G$91,'Sheet OS'!$N$2:$N$91,Charges!$A29,'Sheet OS'!$J$2:$J$91,Charges!I$2)</f>
        <v>0</v>
      </c>
      <c r="J29" s="4">
        <f>SUMIFS('Sheet OS'!$G$2:$G$91,'Sheet OS'!$N$2:$N$91,Charges!$A29,'Sheet OS'!$J$2:$J$91,Charges!J$2)</f>
        <v>0.01</v>
      </c>
      <c r="K29" s="4">
        <f>SUMIFS('Sheet OS'!$G$2:$G$91,'Sheet OS'!$N$2:$N$91,Charges!$A29,'Sheet OS'!$J$2:$J$91,Charges!K$2)</f>
        <v>0</v>
      </c>
      <c r="L29" s="4">
        <f>SUMIFS('Sheet OS'!$G$2:$G$91,'Sheet OS'!$N$2:$N$91,Charges!$A29,'Sheet OS'!$J$2:$J$91,Charges!L$2)</f>
        <v>0</v>
      </c>
      <c r="M29" s="4">
        <f>SUMIFS('Sheet OS'!$G$2:$G$91,'Sheet OS'!$N$2:$N$91,Charges!$A29,'Sheet OS'!$J$2:$J$91,Charges!M$2)</f>
        <v>0</v>
      </c>
      <c r="N29" s="4">
        <f t="shared" si="0"/>
        <v>9.120000000000001</v>
      </c>
      <c r="O29" s="4">
        <f>IF(C29=0,0,(C29-SUM($N29:N29))*I29)</f>
        <v>0</v>
      </c>
      <c r="P29" s="4">
        <f>IF(D29=0,0,(D29-SUM($N29:O29))*J29)</f>
        <v>4.4687999999999999</v>
      </c>
      <c r="Q29">
        <f>IF(E29=0,0,(E29-SUM($N29:P29))*K29)</f>
        <v>0</v>
      </c>
      <c r="R29">
        <f>IF(F29=0,0,(F29-SUM($N29:Q29))*L29)</f>
        <v>0</v>
      </c>
      <c r="S29">
        <f>IF(G29=0,0,(G29-SUM($N29:R29))*M29)</f>
        <v>0</v>
      </c>
      <c r="T29" s="4">
        <f>SUM(N29:S29)</f>
        <v>13.588800000000001</v>
      </c>
    </row>
    <row r="30" spans="1:20" x14ac:dyDescent="0.35">
      <c r="A30" t="s">
        <v>156</v>
      </c>
      <c r="B30" s="4">
        <f>SUMIFS('Sheet OS'!$D$2:$D$91,'Sheet OS'!$N$2:$N$91,Charges!$A30,'Sheet OS'!$J$2:$J$91,Charges!B$2)</f>
        <v>348</v>
      </c>
      <c r="C30" s="4">
        <f>SUMIFS('Sheet OS'!$D$2:$D$91,'Sheet OS'!$N$2:$N$91,Charges!$A30,'Sheet OS'!$J$2:$J$91,Charges!C$2)</f>
        <v>0</v>
      </c>
      <c r="D30" s="4">
        <f>SUMIFS('Sheet OS'!$D$2:$D$91,'Sheet OS'!$N$2:$N$91,Charges!$A30,'Sheet OS'!$J$2:$J$91,Charges!D$2)</f>
        <v>348</v>
      </c>
      <c r="E30" s="4">
        <f>SUMIFS('Sheet OS'!$D$2:$D$91,'Sheet OS'!$N$2:$N$91,Charges!$A30,'Sheet OS'!$J$2:$J$91,Charges!E$2)</f>
        <v>0</v>
      </c>
      <c r="F30" s="4">
        <f>SUMIFS('Sheet OS'!$D$2:$D$91,'Sheet OS'!$N$2:$N$91,Charges!$A30,'Sheet OS'!$J$2:$J$91,Charges!F$2)</f>
        <v>0</v>
      </c>
      <c r="G30" s="4">
        <f>SUMIFS('Sheet OS'!$D$2:$D$91,'Sheet OS'!$N$2:$N$91,Charges!$A30,'Sheet OS'!$J$2:$J$91,Charges!G$2)</f>
        <v>0</v>
      </c>
      <c r="H30" s="4">
        <f>SUMIFS('Sheet OS'!$G$2:$G$91,'Sheet OS'!$N$2:$N$91,Charges!$A30,'Sheet OS'!$J$2:$J$91,Charges!H$2)</f>
        <v>7.0000000000000007E-2</v>
      </c>
      <c r="I30" s="4">
        <f>SUMIFS('Sheet OS'!$G$2:$G$91,'Sheet OS'!$N$2:$N$91,Charges!$A30,'Sheet OS'!$J$2:$J$91,Charges!I$2)</f>
        <v>0</v>
      </c>
      <c r="J30" s="4">
        <f>SUMIFS('Sheet OS'!$G$2:$G$91,'Sheet OS'!$N$2:$N$91,Charges!$A30,'Sheet OS'!$J$2:$J$91,Charges!J$2)</f>
        <v>0.01</v>
      </c>
      <c r="K30" s="4">
        <f>SUMIFS('Sheet OS'!$G$2:$G$91,'Sheet OS'!$N$2:$N$91,Charges!$A30,'Sheet OS'!$J$2:$J$91,Charges!K$2)</f>
        <v>0</v>
      </c>
      <c r="L30" s="4">
        <f>SUMIFS('Sheet OS'!$G$2:$G$91,'Sheet OS'!$N$2:$N$91,Charges!$A30,'Sheet OS'!$J$2:$J$91,Charges!L$2)</f>
        <v>0</v>
      </c>
      <c r="M30" s="4">
        <f>SUMIFS('Sheet OS'!$G$2:$G$91,'Sheet OS'!$N$2:$N$91,Charges!$A30,'Sheet OS'!$J$2:$J$91,Charges!M$2)</f>
        <v>0</v>
      </c>
      <c r="N30" s="4">
        <f t="shared" si="0"/>
        <v>24.360000000000003</v>
      </c>
      <c r="O30" s="4">
        <f>IF(C30=0,0,(C30-SUM($N30:N30))*I30)</f>
        <v>0</v>
      </c>
      <c r="P30" s="4">
        <f>IF(D30=0,0,(D30-SUM($N30:O30))*J30)</f>
        <v>3.2363999999999997</v>
      </c>
      <c r="Q30">
        <f>IF(E30=0,0,(E30-SUM($N30:P30))*K30)</f>
        <v>0</v>
      </c>
      <c r="R30">
        <f>IF(F30=0,0,(F30-SUM($N30:Q30))*L30)</f>
        <v>0</v>
      </c>
      <c r="S30">
        <f>IF(G30=0,0,(G30-SUM($N30:R30))*M30)</f>
        <v>0</v>
      </c>
      <c r="T30" s="4">
        <f>SUM(N30:S30)</f>
        <v>27.596400000000003</v>
      </c>
    </row>
    <row r="31" spans="1:20" x14ac:dyDescent="0.35">
      <c r="A31" t="s">
        <v>157</v>
      </c>
      <c r="B31" s="4">
        <f>SUMIFS('Sheet OS'!$D$2:$D$91,'Sheet OS'!$N$2:$N$91,Charges!$A31,'Sheet OS'!$J$2:$J$91,Charges!B$2)</f>
        <v>67569</v>
      </c>
      <c r="C31" s="4">
        <f>SUMIFS('Sheet OS'!$D$2:$D$91,'Sheet OS'!$N$2:$N$91,Charges!$A31,'Sheet OS'!$J$2:$J$91,Charges!C$2)</f>
        <v>0</v>
      </c>
      <c r="D31" s="4">
        <f>SUMIFS('Sheet OS'!$D$2:$D$91,'Sheet OS'!$N$2:$N$91,Charges!$A31,'Sheet OS'!$J$2:$J$91,Charges!D$2)</f>
        <v>67569</v>
      </c>
      <c r="E31" s="4">
        <f>SUMIFS('Sheet OS'!$D$2:$D$91,'Sheet OS'!$N$2:$N$91,Charges!$A31,'Sheet OS'!$J$2:$J$91,Charges!E$2)</f>
        <v>0</v>
      </c>
      <c r="F31" s="4">
        <f>SUMIFS('Sheet OS'!$D$2:$D$91,'Sheet OS'!$N$2:$N$91,Charges!$A31,'Sheet OS'!$J$2:$J$91,Charges!F$2)</f>
        <v>0</v>
      </c>
      <c r="G31" s="4">
        <f>SUMIFS('Sheet OS'!$D$2:$D$91,'Sheet OS'!$N$2:$N$91,Charges!$A31,'Sheet OS'!$J$2:$J$91,Charges!G$2)</f>
        <v>0</v>
      </c>
      <c r="H31" s="4">
        <f>SUMIFS('Sheet OS'!$G$2:$G$91,'Sheet OS'!$N$2:$N$91,Charges!$A31,'Sheet OS'!$J$2:$J$91,Charges!H$2)</f>
        <v>0.01</v>
      </c>
      <c r="I31" s="4">
        <f>SUMIFS('Sheet OS'!$G$2:$G$91,'Sheet OS'!$N$2:$N$91,Charges!$A31,'Sheet OS'!$J$2:$J$91,Charges!I$2)</f>
        <v>0</v>
      </c>
      <c r="J31" s="4">
        <f>SUMIFS('Sheet OS'!$G$2:$G$91,'Sheet OS'!$N$2:$N$91,Charges!$A31,'Sheet OS'!$J$2:$J$91,Charges!J$2)</f>
        <v>0.08</v>
      </c>
      <c r="K31" s="4">
        <f>SUMIFS('Sheet OS'!$G$2:$G$91,'Sheet OS'!$N$2:$N$91,Charges!$A31,'Sheet OS'!$J$2:$J$91,Charges!K$2)</f>
        <v>0</v>
      </c>
      <c r="L31" s="4">
        <f>SUMIFS('Sheet OS'!$G$2:$G$91,'Sheet OS'!$N$2:$N$91,Charges!$A31,'Sheet OS'!$J$2:$J$91,Charges!L$2)</f>
        <v>0</v>
      </c>
      <c r="M31" s="4">
        <f>SUMIFS('Sheet OS'!$G$2:$G$91,'Sheet OS'!$N$2:$N$91,Charges!$A31,'Sheet OS'!$J$2:$J$91,Charges!M$2)</f>
        <v>0</v>
      </c>
      <c r="N31" s="4">
        <f t="shared" si="0"/>
        <v>675.69</v>
      </c>
      <c r="O31" s="4">
        <f>IF(C31=0,0,(C31-SUM($N31:N31))*I31)</f>
        <v>0</v>
      </c>
      <c r="P31" s="4">
        <f>IF(D31=0,0,(D31-SUM($N31:O31))*J31)</f>
        <v>5351.4647999999997</v>
      </c>
      <c r="Q31">
        <f>IF(E31=0,0,(E31-SUM($N31:P31))*K31)</f>
        <v>0</v>
      </c>
      <c r="R31">
        <f>IF(F31=0,0,(F31-SUM($N31:Q31))*L31)</f>
        <v>0</v>
      </c>
      <c r="S31">
        <f>IF(G31=0,0,(G31-SUM($N31:R31))*M31)</f>
        <v>0</v>
      </c>
      <c r="T31" s="4">
        <f>SUM(N31:S31)</f>
        <v>6027.1548000000003</v>
      </c>
    </row>
    <row r="32" spans="1:20" x14ac:dyDescent="0.35">
      <c r="A32" t="s">
        <v>158</v>
      </c>
      <c r="B32" s="4">
        <f>SUMIFS('Sheet OS'!$D$2:$D$91,'Sheet OS'!$N$2:$N$91,Charges!$A32,'Sheet OS'!$J$2:$J$91,Charges!B$2)</f>
        <v>1100</v>
      </c>
      <c r="C32" s="4">
        <f>SUMIFS('Sheet OS'!$D$2:$D$91,'Sheet OS'!$N$2:$N$91,Charges!$A32,'Sheet OS'!$J$2:$J$91,Charges!C$2)</f>
        <v>1100</v>
      </c>
      <c r="D32" s="4">
        <f>SUMIFS('Sheet OS'!$D$2:$D$91,'Sheet OS'!$N$2:$N$91,Charges!$A32,'Sheet OS'!$J$2:$J$91,Charges!D$2)</f>
        <v>0</v>
      </c>
      <c r="E32" s="4">
        <f>SUMIFS('Sheet OS'!$D$2:$D$91,'Sheet OS'!$N$2:$N$91,Charges!$A32,'Sheet OS'!$J$2:$J$91,Charges!E$2)</f>
        <v>0</v>
      </c>
      <c r="F32" s="4">
        <f>SUMIFS('Sheet OS'!$D$2:$D$91,'Sheet OS'!$N$2:$N$91,Charges!$A32,'Sheet OS'!$J$2:$J$91,Charges!F$2)</f>
        <v>0</v>
      </c>
      <c r="G32" s="4">
        <f>SUMIFS('Sheet OS'!$D$2:$D$91,'Sheet OS'!$N$2:$N$91,Charges!$A32,'Sheet OS'!$J$2:$J$91,Charges!G$2)</f>
        <v>0</v>
      </c>
      <c r="H32" s="4">
        <f>SUMIFS('Sheet OS'!$G$2:$G$91,'Sheet OS'!$N$2:$N$91,Charges!$A32,'Sheet OS'!$J$2:$J$91,Charges!H$2)</f>
        <v>0.01</v>
      </c>
      <c r="I32" s="4">
        <f>SUMIFS('Sheet OS'!$G$2:$G$91,'Sheet OS'!$N$2:$N$91,Charges!$A32,'Sheet OS'!$J$2:$J$91,Charges!I$2)</f>
        <v>0.01</v>
      </c>
      <c r="J32" s="4">
        <f>SUMIFS('Sheet OS'!$G$2:$G$91,'Sheet OS'!$N$2:$N$91,Charges!$A32,'Sheet OS'!$J$2:$J$91,Charges!J$2)</f>
        <v>0</v>
      </c>
      <c r="K32" s="4">
        <f>SUMIFS('Sheet OS'!$G$2:$G$91,'Sheet OS'!$N$2:$N$91,Charges!$A32,'Sheet OS'!$J$2:$J$91,Charges!K$2)</f>
        <v>0</v>
      </c>
      <c r="L32" s="4">
        <f>SUMIFS('Sheet OS'!$G$2:$G$91,'Sheet OS'!$N$2:$N$91,Charges!$A32,'Sheet OS'!$J$2:$J$91,Charges!L$2)</f>
        <v>0</v>
      </c>
      <c r="M32" s="4">
        <f>SUMIFS('Sheet OS'!$G$2:$G$91,'Sheet OS'!$N$2:$N$91,Charges!$A32,'Sheet OS'!$J$2:$J$91,Charges!M$2)</f>
        <v>0</v>
      </c>
      <c r="N32" s="4">
        <f t="shared" si="0"/>
        <v>11</v>
      </c>
      <c r="O32" s="4">
        <f>IF(C32=0,0,(C32-SUM($N32:N32))*I32)</f>
        <v>10.89</v>
      </c>
      <c r="P32" s="4">
        <f>IF(D32=0,0,(D32-SUM($N32:O32))*J32)</f>
        <v>0</v>
      </c>
      <c r="Q32">
        <f>IF(E32=0,0,(E32-SUM($N32:P32))*K32)</f>
        <v>0</v>
      </c>
      <c r="R32">
        <f>IF(F32=0,0,(F32-SUM($N32:Q32))*L32)</f>
        <v>0</v>
      </c>
      <c r="S32">
        <f>IF(G32=0,0,(G32-SUM($N32:R32))*M32)</f>
        <v>0</v>
      </c>
      <c r="T32" s="4">
        <f>SUM(N32:S32)</f>
        <v>21.89</v>
      </c>
    </row>
    <row r="33" spans="1:20" x14ac:dyDescent="0.35">
      <c r="A33" t="s">
        <v>159</v>
      </c>
      <c r="B33" s="4">
        <f>SUMIFS('Sheet OS'!$D$2:$D$91,'Sheet OS'!$N$2:$N$91,Charges!$A33,'Sheet OS'!$J$2:$J$91,Charges!B$2)</f>
        <v>12100</v>
      </c>
      <c r="C33" s="4">
        <f>SUMIFS('Sheet OS'!$D$2:$D$91,'Sheet OS'!$N$2:$N$91,Charges!$A33,'Sheet OS'!$J$2:$J$91,Charges!C$2)</f>
        <v>0</v>
      </c>
      <c r="D33" s="4">
        <f>SUMIFS('Sheet OS'!$D$2:$D$91,'Sheet OS'!$N$2:$N$91,Charges!$A33,'Sheet OS'!$J$2:$J$91,Charges!D$2)</f>
        <v>12100</v>
      </c>
      <c r="E33" s="4">
        <f>SUMIFS('Sheet OS'!$D$2:$D$91,'Sheet OS'!$N$2:$N$91,Charges!$A33,'Sheet OS'!$J$2:$J$91,Charges!E$2)</f>
        <v>0</v>
      </c>
      <c r="F33" s="4">
        <f>SUMIFS('Sheet OS'!$D$2:$D$91,'Sheet OS'!$N$2:$N$91,Charges!$A33,'Sheet OS'!$J$2:$J$91,Charges!F$2)</f>
        <v>0</v>
      </c>
      <c r="G33" s="4">
        <f>SUMIFS('Sheet OS'!$D$2:$D$91,'Sheet OS'!$N$2:$N$91,Charges!$A33,'Sheet OS'!$J$2:$J$91,Charges!G$2)</f>
        <v>0</v>
      </c>
      <c r="H33" s="4">
        <f>SUMIFS('Sheet OS'!$G$2:$G$91,'Sheet OS'!$N$2:$N$91,Charges!$A33,'Sheet OS'!$J$2:$J$91,Charges!H$2)</f>
        <v>0.08</v>
      </c>
      <c r="I33" s="4">
        <f>SUMIFS('Sheet OS'!$G$2:$G$91,'Sheet OS'!$N$2:$N$91,Charges!$A33,'Sheet OS'!$J$2:$J$91,Charges!I$2)</f>
        <v>0</v>
      </c>
      <c r="J33" s="4">
        <f>SUMIFS('Sheet OS'!$G$2:$G$91,'Sheet OS'!$N$2:$N$91,Charges!$A33,'Sheet OS'!$J$2:$J$91,Charges!J$2)</f>
        <v>0.08</v>
      </c>
      <c r="K33" s="4">
        <f>SUMIFS('Sheet OS'!$G$2:$G$91,'Sheet OS'!$N$2:$N$91,Charges!$A33,'Sheet OS'!$J$2:$J$91,Charges!K$2)</f>
        <v>0</v>
      </c>
      <c r="L33" s="4">
        <f>SUMIFS('Sheet OS'!$G$2:$G$91,'Sheet OS'!$N$2:$N$91,Charges!$A33,'Sheet OS'!$J$2:$J$91,Charges!L$2)</f>
        <v>0</v>
      </c>
      <c r="M33" s="4">
        <f>SUMIFS('Sheet OS'!$G$2:$G$91,'Sheet OS'!$N$2:$N$91,Charges!$A33,'Sheet OS'!$J$2:$J$91,Charges!M$2)</f>
        <v>0</v>
      </c>
      <c r="N33" s="4">
        <f t="shared" si="0"/>
        <v>968</v>
      </c>
      <c r="O33" s="4">
        <f>IF(C33=0,0,(C33-SUM($N33:N33))*I33)</f>
        <v>0</v>
      </c>
      <c r="P33" s="4">
        <f>IF(D33=0,0,(D33-SUM($N33:O33))*J33)</f>
        <v>890.56000000000006</v>
      </c>
      <c r="Q33">
        <f>IF(E33=0,0,(E33-SUM($N33:P33))*K33)</f>
        <v>0</v>
      </c>
      <c r="R33">
        <f>IF(F33=0,0,(F33-SUM($N33:Q33))*L33)</f>
        <v>0</v>
      </c>
      <c r="S33">
        <f>IF(G33=0,0,(G33-SUM($N33:R33))*M33)</f>
        <v>0</v>
      </c>
      <c r="T33" s="4">
        <f>SUM(N33:S33)</f>
        <v>1858.56</v>
      </c>
    </row>
    <row r="34" spans="1:20" x14ac:dyDescent="0.35">
      <c r="A34" t="s">
        <v>160</v>
      </c>
      <c r="B34" s="4">
        <f>SUMIFS('Sheet OS'!$D$2:$D$91,'Sheet OS'!$N$2:$N$91,Charges!$A34,'Sheet OS'!$J$2:$J$91,Charges!B$2)</f>
        <v>10000</v>
      </c>
      <c r="C34" s="4">
        <f>SUMIFS('Sheet OS'!$D$2:$D$91,'Sheet OS'!$N$2:$N$91,Charges!$A34,'Sheet OS'!$J$2:$J$91,Charges!C$2)</f>
        <v>0</v>
      </c>
      <c r="D34" s="4">
        <f>SUMIFS('Sheet OS'!$D$2:$D$91,'Sheet OS'!$N$2:$N$91,Charges!$A34,'Sheet OS'!$J$2:$J$91,Charges!D$2)</f>
        <v>10000</v>
      </c>
      <c r="E34" s="4">
        <f>SUMIFS('Sheet OS'!$D$2:$D$91,'Sheet OS'!$N$2:$N$91,Charges!$A34,'Sheet OS'!$J$2:$J$91,Charges!E$2)</f>
        <v>0</v>
      </c>
      <c r="F34" s="4">
        <f>SUMIFS('Sheet OS'!$D$2:$D$91,'Sheet OS'!$N$2:$N$91,Charges!$A34,'Sheet OS'!$J$2:$J$91,Charges!F$2)</f>
        <v>0</v>
      </c>
      <c r="G34" s="4">
        <f>SUMIFS('Sheet OS'!$D$2:$D$91,'Sheet OS'!$N$2:$N$91,Charges!$A34,'Sheet OS'!$J$2:$J$91,Charges!G$2)</f>
        <v>0</v>
      </c>
      <c r="H34" s="4">
        <f>SUMIFS('Sheet OS'!$G$2:$G$91,'Sheet OS'!$N$2:$N$91,Charges!$A34,'Sheet OS'!$J$2:$J$91,Charges!H$2)</f>
        <v>0.02</v>
      </c>
      <c r="I34" s="4">
        <f>SUMIFS('Sheet OS'!$G$2:$G$91,'Sheet OS'!$N$2:$N$91,Charges!$A34,'Sheet OS'!$J$2:$J$91,Charges!I$2)</f>
        <v>0</v>
      </c>
      <c r="J34" s="4">
        <f>SUMIFS('Sheet OS'!$G$2:$G$91,'Sheet OS'!$N$2:$N$91,Charges!$A34,'Sheet OS'!$J$2:$J$91,Charges!J$2)</f>
        <v>1.4999999999999999E-2</v>
      </c>
      <c r="K34" s="4">
        <f>SUMIFS('Sheet OS'!$G$2:$G$91,'Sheet OS'!$N$2:$N$91,Charges!$A34,'Sheet OS'!$J$2:$J$91,Charges!K$2)</f>
        <v>0</v>
      </c>
      <c r="L34" s="4">
        <f>SUMIFS('Sheet OS'!$G$2:$G$91,'Sheet OS'!$N$2:$N$91,Charges!$A34,'Sheet OS'!$J$2:$J$91,Charges!L$2)</f>
        <v>0</v>
      </c>
      <c r="M34" s="4">
        <f>SUMIFS('Sheet OS'!$G$2:$G$91,'Sheet OS'!$N$2:$N$91,Charges!$A34,'Sheet OS'!$J$2:$J$91,Charges!M$2)</f>
        <v>0</v>
      </c>
      <c r="N34" s="4">
        <f t="shared" si="0"/>
        <v>200</v>
      </c>
      <c r="O34" s="4">
        <f>IF(C34=0,0,(C34-SUM($N34:N34))*I34)</f>
        <v>0</v>
      </c>
      <c r="P34" s="4">
        <f>IF(D34=0,0,(D34-SUM($N34:O34))*J34)</f>
        <v>147</v>
      </c>
      <c r="Q34">
        <f>IF(E34=0,0,(E34-SUM($N34:P34))*K34)</f>
        <v>0</v>
      </c>
      <c r="R34">
        <f>IF(F34=0,0,(F34-SUM($N34:Q34))*L34)</f>
        <v>0</v>
      </c>
      <c r="S34">
        <f>IF(G34=0,0,(G34-SUM($N34:R34))*M34)</f>
        <v>0</v>
      </c>
      <c r="T34" s="4">
        <f>SUM(N34:S34)</f>
        <v>347</v>
      </c>
    </row>
    <row r="35" spans="1:20" x14ac:dyDescent="0.35">
      <c r="A35" t="s">
        <v>161</v>
      </c>
      <c r="B35" s="4">
        <f>SUMIFS('Sheet OS'!$D$2:$D$91,'Sheet OS'!$N$2:$N$91,Charges!$A35,'Sheet OS'!$J$2:$J$91,Charges!B$2)</f>
        <v>2345</v>
      </c>
      <c r="C35" s="4">
        <f>SUMIFS('Sheet OS'!$D$2:$D$91,'Sheet OS'!$N$2:$N$91,Charges!$A35,'Sheet OS'!$J$2:$J$91,Charges!C$2)</f>
        <v>2345</v>
      </c>
      <c r="D35" s="4">
        <f>SUMIFS('Sheet OS'!$D$2:$D$91,'Sheet OS'!$N$2:$N$91,Charges!$A35,'Sheet OS'!$J$2:$J$91,Charges!D$2)</f>
        <v>2345</v>
      </c>
      <c r="E35" s="4">
        <f>SUMIFS('Sheet OS'!$D$2:$D$91,'Sheet OS'!$N$2:$N$91,Charges!$A35,'Sheet OS'!$J$2:$J$91,Charges!E$2)</f>
        <v>0</v>
      </c>
      <c r="F35" s="4">
        <f>SUMIFS('Sheet OS'!$D$2:$D$91,'Sheet OS'!$N$2:$N$91,Charges!$A35,'Sheet OS'!$J$2:$J$91,Charges!F$2)</f>
        <v>0</v>
      </c>
      <c r="G35" s="4">
        <f>SUMIFS('Sheet OS'!$D$2:$D$91,'Sheet OS'!$N$2:$N$91,Charges!$A35,'Sheet OS'!$J$2:$J$91,Charges!G$2)</f>
        <v>0</v>
      </c>
      <c r="H35" s="4">
        <f>SUMIFS('Sheet OS'!$G$2:$G$91,'Sheet OS'!$N$2:$N$91,Charges!$A35,'Sheet OS'!$J$2:$J$91,Charges!H$2)</f>
        <v>0.02</v>
      </c>
      <c r="I35" s="4">
        <f>SUMIFS('Sheet OS'!$G$2:$G$91,'Sheet OS'!$N$2:$N$91,Charges!$A35,'Sheet OS'!$J$2:$J$91,Charges!I$2)</f>
        <v>0.01</v>
      </c>
      <c r="J35" s="4">
        <f>SUMIFS('Sheet OS'!$G$2:$G$91,'Sheet OS'!$N$2:$N$91,Charges!$A35,'Sheet OS'!$J$2:$J$91,Charges!J$2)</f>
        <v>0.02</v>
      </c>
      <c r="K35" s="4">
        <f>SUMIFS('Sheet OS'!$G$2:$G$91,'Sheet OS'!$N$2:$N$91,Charges!$A35,'Sheet OS'!$J$2:$J$91,Charges!K$2)</f>
        <v>0</v>
      </c>
      <c r="L35" s="4">
        <f>SUMIFS('Sheet OS'!$G$2:$G$91,'Sheet OS'!$N$2:$N$91,Charges!$A35,'Sheet OS'!$J$2:$J$91,Charges!L$2)</f>
        <v>0</v>
      </c>
      <c r="M35" s="4">
        <f>SUMIFS('Sheet OS'!$G$2:$G$91,'Sheet OS'!$N$2:$N$91,Charges!$A35,'Sheet OS'!$J$2:$J$91,Charges!M$2)</f>
        <v>0</v>
      </c>
      <c r="N35" s="4">
        <f t="shared" si="0"/>
        <v>46.9</v>
      </c>
      <c r="O35" s="4">
        <f>IF(C35=0,0,(C35-SUM($N35:N35))*I35)</f>
        <v>22.980999999999998</v>
      </c>
      <c r="P35" s="4">
        <f>IF(D35=0,0,(D35-SUM($N35:O35))*J35)</f>
        <v>45.502380000000002</v>
      </c>
      <c r="Q35">
        <f>IF(E35=0,0,(E35-SUM($N35:P35))*K35)</f>
        <v>0</v>
      </c>
      <c r="R35">
        <f>IF(F35=0,0,(F35-SUM($N35:Q35))*L35)</f>
        <v>0</v>
      </c>
      <c r="S35">
        <f>IF(G35=0,0,(G35-SUM($N35:R35))*M35)</f>
        <v>0</v>
      </c>
      <c r="T35" s="4">
        <f>SUM(N35:S35)</f>
        <v>115.38338</v>
      </c>
    </row>
    <row r="36" spans="1:20" x14ac:dyDescent="0.35">
      <c r="A36" t="s">
        <v>162</v>
      </c>
      <c r="B36" s="4">
        <f>SUMIFS('Sheet OS'!$D$2:$D$91,'Sheet OS'!$N$2:$N$91,Charges!$A36,'Sheet OS'!$J$2:$J$91,Charges!B$2)</f>
        <v>7890</v>
      </c>
      <c r="C36" s="4">
        <f>SUMIFS('Sheet OS'!$D$2:$D$91,'Sheet OS'!$N$2:$N$91,Charges!$A36,'Sheet OS'!$J$2:$J$91,Charges!C$2)</f>
        <v>7890</v>
      </c>
      <c r="D36" s="4">
        <f>SUMIFS('Sheet OS'!$D$2:$D$91,'Sheet OS'!$N$2:$N$91,Charges!$A36,'Sheet OS'!$J$2:$J$91,Charges!D$2)</f>
        <v>7890</v>
      </c>
      <c r="E36" s="4">
        <f>SUMIFS('Sheet OS'!$D$2:$D$91,'Sheet OS'!$N$2:$N$91,Charges!$A36,'Sheet OS'!$J$2:$J$91,Charges!E$2)</f>
        <v>0</v>
      </c>
      <c r="F36" s="4">
        <f>SUMIFS('Sheet OS'!$D$2:$D$91,'Sheet OS'!$N$2:$N$91,Charges!$A36,'Sheet OS'!$J$2:$J$91,Charges!F$2)</f>
        <v>0</v>
      </c>
      <c r="G36" s="4">
        <f>SUMIFS('Sheet OS'!$D$2:$D$91,'Sheet OS'!$N$2:$N$91,Charges!$A36,'Sheet OS'!$J$2:$J$91,Charges!G$2)</f>
        <v>0</v>
      </c>
      <c r="H36" s="4">
        <f>SUMIFS('Sheet OS'!$G$2:$G$91,'Sheet OS'!$N$2:$N$91,Charges!$A36,'Sheet OS'!$J$2:$J$91,Charges!H$2)</f>
        <v>0.01</v>
      </c>
      <c r="I36" s="4">
        <f>SUMIFS('Sheet OS'!$G$2:$G$91,'Sheet OS'!$N$2:$N$91,Charges!$A36,'Sheet OS'!$J$2:$J$91,Charges!I$2)</f>
        <v>1.4999999999999999E-2</v>
      </c>
      <c r="J36" s="4">
        <f>SUMIFS('Sheet OS'!$G$2:$G$91,'Sheet OS'!$N$2:$N$91,Charges!$A36,'Sheet OS'!$J$2:$J$91,Charges!J$2)</f>
        <v>1.4999999999999999E-2</v>
      </c>
      <c r="K36" s="4">
        <f>SUMIFS('Sheet OS'!$G$2:$G$91,'Sheet OS'!$N$2:$N$91,Charges!$A36,'Sheet OS'!$J$2:$J$91,Charges!K$2)</f>
        <v>0</v>
      </c>
      <c r="L36" s="4">
        <f>SUMIFS('Sheet OS'!$G$2:$G$91,'Sheet OS'!$N$2:$N$91,Charges!$A36,'Sheet OS'!$J$2:$J$91,Charges!L$2)</f>
        <v>0</v>
      </c>
      <c r="M36" s="4">
        <f>SUMIFS('Sheet OS'!$G$2:$G$91,'Sheet OS'!$N$2:$N$91,Charges!$A36,'Sheet OS'!$J$2:$J$91,Charges!M$2)</f>
        <v>0</v>
      </c>
      <c r="N36" s="4">
        <f t="shared" si="0"/>
        <v>78.900000000000006</v>
      </c>
      <c r="O36" s="4">
        <f>IF(C36=0,0,(C36-SUM($N36:N36))*I36)</f>
        <v>117.1665</v>
      </c>
      <c r="P36" s="4">
        <f>IF(D36=0,0,(D36-SUM($N36:O36))*J36)</f>
        <v>115.4090025</v>
      </c>
      <c r="Q36">
        <f>IF(E36=0,0,(E36-SUM($N36:P36))*K36)</f>
        <v>0</v>
      </c>
      <c r="R36">
        <f>IF(F36=0,0,(F36-SUM($N36:Q36))*L36)</f>
        <v>0</v>
      </c>
      <c r="S36">
        <f>IF(G36=0,0,(G36-SUM($N36:R36))*M36)</f>
        <v>0</v>
      </c>
      <c r="T36" s="4">
        <f>SUM(N36:S36)</f>
        <v>311.4755025</v>
      </c>
    </row>
    <row r="37" spans="1:20" x14ac:dyDescent="0.35">
      <c r="A37" t="s">
        <v>174</v>
      </c>
      <c r="B37" s="4">
        <f>SUMIFS('Sheet OS'!$D$2:$D$91,'Sheet OS'!$N$2:$N$91,Charges!$A37,'Sheet OS'!$J$2:$J$91,Charges!B$2)</f>
        <v>12000</v>
      </c>
      <c r="C37" s="4">
        <f>SUMIFS('Sheet OS'!$D$2:$D$91,'Sheet OS'!$N$2:$N$91,Charges!$A37,'Sheet OS'!$J$2:$J$91,Charges!C$2)</f>
        <v>0</v>
      </c>
      <c r="D37" s="4">
        <f>SUMIFS('Sheet OS'!$D$2:$D$91,'Sheet OS'!$N$2:$N$91,Charges!$A37,'Sheet OS'!$J$2:$J$91,Charges!D$2)</f>
        <v>12000</v>
      </c>
      <c r="E37" s="4">
        <f>SUMIFS('Sheet OS'!$D$2:$D$91,'Sheet OS'!$N$2:$N$91,Charges!$A37,'Sheet OS'!$J$2:$J$91,Charges!E$2)</f>
        <v>0</v>
      </c>
      <c r="F37" s="4">
        <f>SUMIFS('Sheet OS'!$D$2:$D$91,'Sheet OS'!$N$2:$N$91,Charges!$A37,'Sheet OS'!$J$2:$J$91,Charges!F$2)</f>
        <v>0</v>
      </c>
      <c r="G37" s="4">
        <f>SUMIFS('Sheet OS'!$D$2:$D$91,'Sheet OS'!$N$2:$N$91,Charges!$A37,'Sheet OS'!$J$2:$J$91,Charges!G$2)</f>
        <v>0</v>
      </c>
      <c r="H37" s="4">
        <f>SUMIFS('Sheet OS'!$G$2:$G$91,'Sheet OS'!$N$2:$N$91,Charges!$A37,'Sheet OS'!$J$2:$J$91,Charges!H$2)</f>
        <v>0.02</v>
      </c>
      <c r="I37" s="4">
        <f>SUMIFS('Sheet OS'!$G$2:$G$91,'Sheet OS'!$N$2:$N$91,Charges!$A37,'Sheet OS'!$J$2:$J$91,Charges!I$2)</f>
        <v>0</v>
      </c>
      <c r="J37" s="4">
        <f>SUMIFS('Sheet OS'!$G$2:$G$91,'Sheet OS'!$N$2:$N$91,Charges!$A37,'Sheet OS'!$J$2:$J$91,Charges!J$2)</f>
        <v>0.01</v>
      </c>
      <c r="K37" s="4">
        <f>SUMIFS('Sheet OS'!$G$2:$G$91,'Sheet OS'!$N$2:$N$91,Charges!$A37,'Sheet OS'!$J$2:$J$91,Charges!K$2)</f>
        <v>0</v>
      </c>
      <c r="L37" s="4">
        <f>SUMIFS('Sheet OS'!$G$2:$G$91,'Sheet OS'!$N$2:$N$91,Charges!$A37,'Sheet OS'!$J$2:$J$91,Charges!L$2)</f>
        <v>0</v>
      </c>
      <c r="M37" s="4">
        <f>SUMIFS('Sheet OS'!$G$2:$G$91,'Sheet OS'!$N$2:$N$91,Charges!$A37,'Sheet OS'!$J$2:$J$91,Charges!M$2)</f>
        <v>0</v>
      </c>
      <c r="N37" s="4">
        <f t="shared" si="0"/>
        <v>240</v>
      </c>
      <c r="O37" s="4">
        <f>IF(C37=0,0,(C37-SUM($N37:N37))*I37)</f>
        <v>0</v>
      </c>
      <c r="P37" s="4">
        <f>IF(D37=0,0,(D37-SUM($N37:O37))*J37)</f>
        <v>117.60000000000001</v>
      </c>
      <c r="Q37">
        <f>IF(E37=0,0,(E37-SUM($N37:P37))*K37)</f>
        <v>0</v>
      </c>
      <c r="R37">
        <f>IF(F37=0,0,(F37-SUM($N37:Q37))*L37)</f>
        <v>0</v>
      </c>
      <c r="S37">
        <f>IF(G37=0,0,(G37-SUM($N37:R37))*M37)</f>
        <v>0</v>
      </c>
      <c r="T37" s="4">
        <f>SUM(N37:S37)</f>
        <v>357.6</v>
      </c>
    </row>
    <row r="38" spans="1:20" x14ac:dyDescent="0.35">
      <c r="A38" t="s">
        <v>163</v>
      </c>
      <c r="B38" s="4">
        <f>SUMIFS('Sheet OS'!$D$2:$D$91,'Sheet OS'!$N$2:$N$91,Charges!$A38,'Sheet OS'!$J$2:$J$91,Charges!B$2)</f>
        <v>12000</v>
      </c>
      <c r="C38" s="4">
        <f>SUMIFS('Sheet OS'!$D$2:$D$91,'Sheet OS'!$N$2:$N$91,Charges!$A38,'Sheet OS'!$J$2:$J$91,Charges!C$2)</f>
        <v>0</v>
      </c>
      <c r="D38" s="4">
        <f>SUMIFS('Sheet OS'!$D$2:$D$91,'Sheet OS'!$N$2:$N$91,Charges!$A38,'Sheet OS'!$J$2:$J$91,Charges!D$2)</f>
        <v>0</v>
      </c>
      <c r="E38" s="4">
        <f>SUMIFS('Sheet OS'!$D$2:$D$91,'Sheet OS'!$N$2:$N$91,Charges!$A38,'Sheet OS'!$J$2:$J$91,Charges!E$2)</f>
        <v>12000</v>
      </c>
      <c r="F38" s="4">
        <f>SUMIFS('Sheet OS'!$D$2:$D$91,'Sheet OS'!$N$2:$N$91,Charges!$A38,'Sheet OS'!$J$2:$J$91,Charges!F$2)</f>
        <v>0</v>
      </c>
      <c r="G38" s="4">
        <f>SUMIFS('Sheet OS'!$D$2:$D$91,'Sheet OS'!$N$2:$N$91,Charges!$A38,'Sheet OS'!$J$2:$J$91,Charges!G$2)</f>
        <v>0</v>
      </c>
      <c r="H38" s="4">
        <f>SUMIFS('Sheet OS'!$G$2:$G$91,'Sheet OS'!$N$2:$N$91,Charges!$A38,'Sheet OS'!$J$2:$J$91,Charges!H$2)</f>
        <v>0.02</v>
      </c>
      <c r="I38" s="4">
        <f>SUMIFS('Sheet OS'!$G$2:$G$91,'Sheet OS'!$N$2:$N$91,Charges!$A38,'Sheet OS'!$J$2:$J$91,Charges!I$2)</f>
        <v>0</v>
      </c>
      <c r="J38" s="4">
        <f>SUMIFS('Sheet OS'!$G$2:$G$91,'Sheet OS'!$N$2:$N$91,Charges!$A38,'Sheet OS'!$J$2:$J$91,Charges!J$2)</f>
        <v>0</v>
      </c>
      <c r="K38" s="4">
        <f>SUMIFS('Sheet OS'!$G$2:$G$91,'Sheet OS'!$N$2:$N$91,Charges!$A38,'Sheet OS'!$J$2:$J$91,Charges!K$2)</f>
        <v>0.03</v>
      </c>
      <c r="L38" s="4">
        <f>SUMIFS('Sheet OS'!$G$2:$G$91,'Sheet OS'!$N$2:$N$91,Charges!$A38,'Sheet OS'!$J$2:$J$91,Charges!L$2)</f>
        <v>0</v>
      </c>
      <c r="M38" s="4">
        <f>SUMIFS('Sheet OS'!$G$2:$G$91,'Sheet OS'!$N$2:$N$91,Charges!$A38,'Sheet OS'!$J$2:$J$91,Charges!M$2)</f>
        <v>0</v>
      </c>
      <c r="N38" s="4">
        <f t="shared" si="0"/>
        <v>240</v>
      </c>
      <c r="O38" s="4">
        <f>IF(C38=0,0,(C38-SUM($N38:N38))*I38)</f>
        <v>0</v>
      </c>
      <c r="P38" s="4">
        <f>IF(D38=0,0,(D38-SUM($N38:O38))*J38)</f>
        <v>0</v>
      </c>
      <c r="Q38">
        <f>IF(E38=0,0,(E38-SUM($N38:P38))*K38)</f>
        <v>352.8</v>
      </c>
      <c r="R38">
        <f>IF(F38=0,0,(F38-SUM($N38:Q38))*L38)</f>
        <v>0</v>
      </c>
      <c r="S38">
        <f>IF(G38=0,0,(G38-SUM($N38:R38))*M38)</f>
        <v>0</v>
      </c>
      <c r="T38" s="4">
        <f>SUM(N38:S38)</f>
        <v>592.79999999999995</v>
      </c>
    </row>
    <row r="39" spans="1:20" x14ac:dyDescent="0.35">
      <c r="A39" t="s">
        <v>164</v>
      </c>
      <c r="B39" s="4">
        <f>SUMIFS('Sheet OS'!$D$2:$D$91,'Sheet OS'!$N$2:$N$91,Charges!$A39,'Sheet OS'!$J$2:$J$91,Charges!B$2)</f>
        <v>30000</v>
      </c>
      <c r="C39" s="4">
        <f>SUMIFS('Sheet OS'!$D$2:$D$91,'Sheet OS'!$N$2:$N$91,Charges!$A39,'Sheet OS'!$J$2:$J$91,Charges!C$2)</f>
        <v>0</v>
      </c>
      <c r="D39" s="4">
        <f>SUMIFS('Sheet OS'!$D$2:$D$91,'Sheet OS'!$N$2:$N$91,Charges!$A39,'Sheet OS'!$J$2:$J$91,Charges!D$2)</f>
        <v>0</v>
      </c>
      <c r="E39" s="4">
        <f>SUMIFS('Sheet OS'!$D$2:$D$91,'Sheet OS'!$N$2:$N$91,Charges!$A39,'Sheet OS'!$J$2:$J$91,Charges!E$2)</f>
        <v>0</v>
      </c>
      <c r="F39" s="4">
        <f>SUMIFS('Sheet OS'!$D$2:$D$91,'Sheet OS'!$N$2:$N$91,Charges!$A39,'Sheet OS'!$J$2:$J$91,Charges!F$2)</f>
        <v>0</v>
      </c>
      <c r="G39" s="4">
        <f>SUMIFS('Sheet OS'!$D$2:$D$91,'Sheet OS'!$N$2:$N$91,Charges!$A39,'Sheet OS'!$J$2:$J$91,Charges!G$2)</f>
        <v>0</v>
      </c>
      <c r="H39" s="4">
        <f>SUMIFS('Sheet OS'!$G$2:$G$91,'Sheet OS'!$N$2:$N$91,Charges!$A39,'Sheet OS'!$J$2:$J$91,Charges!H$2)</f>
        <v>0.02</v>
      </c>
      <c r="I39" s="4">
        <f>SUMIFS('Sheet OS'!$G$2:$G$91,'Sheet OS'!$N$2:$N$91,Charges!$A39,'Sheet OS'!$J$2:$J$91,Charges!I$2)</f>
        <v>0</v>
      </c>
      <c r="J39" s="4">
        <f>SUMIFS('Sheet OS'!$G$2:$G$91,'Sheet OS'!$N$2:$N$91,Charges!$A39,'Sheet OS'!$J$2:$J$91,Charges!J$2)</f>
        <v>0</v>
      </c>
      <c r="K39" s="4">
        <f>SUMIFS('Sheet OS'!$G$2:$G$91,'Sheet OS'!$N$2:$N$91,Charges!$A39,'Sheet OS'!$J$2:$J$91,Charges!K$2)</f>
        <v>0</v>
      </c>
      <c r="L39" s="4">
        <f>SUMIFS('Sheet OS'!$G$2:$G$91,'Sheet OS'!$N$2:$N$91,Charges!$A39,'Sheet OS'!$J$2:$J$91,Charges!L$2)</f>
        <v>0</v>
      </c>
      <c r="M39" s="4">
        <f>SUMIFS('Sheet OS'!$G$2:$G$91,'Sheet OS'!$N$2:$N$91,Charges!$A39,'Sheet OS'!$J$2:$J$91,Charges!M$2)</f>
        <v>0</v>
      </c>
      <c r="N39" s="4">
        <f t="shared" ref="N39:N43" si="1">IF(B39=0,0,B39*H39)</f>
        <v>600</v>
      </c>
      <c r="O39" s="4">
        <f>IF(C39=0,0,(C39-SUM($N39:N39))*I39)</f>
        <v>0</v>
      </c>
      <c r="P39" s="4">
        <f>IF(D39=0,0,(D39-SUM($N39:O39))*J39)</f>
        <v>0</v>
      </c>
      <c r="Q39">
        <f>IF(E39=0,0,(E39-SUM($N39:P39))*K39)</f>
        <v>0</v>
      </c>
      <c r="R39">
        <f>IF(F39=0,0,(F39-SUM($N39:Q39))*L39)</f>
        <v>0</v>
      </c>
      <c r="S39">
        <f>IF(G39=0,0,(G39-SUM($N39:R39))*M39)</f>
        <v>0</v>
      </c>
      <c r="T39" s="4">
        <f t="shared" ref="T39:T43" si="2">SUM(N39:S39)</f>
        <v>600</v>
      </c>
    </row>
    <row r="40" spans="1:20" x14ac:dyDescent="0.35">
      <c r="A40" t="s">
        <v>175</v>
      </c>
      <c r="B40" s="4">
        <f>SUMIFS('Sheet OS'!$D$2:$D$91,'Sheet OS'!$N$2:$N$91,Charges!$A40,'Sheet OS'!$J$2:$J$91,Charges!B$2)</f>
        <v>0</v>
      </c>
      <c r="C40" s="4">
        <f>SUMIFS('Sheet OS'!$D$2:$D$91,'Sheet OS'!$N$2:$N$91,Charges!$A40,'Sheet OS'!$J$2:$J$91,Charges!C$2)</f>
        <v>0</v>
      </c>
      <c r="D40" s="4">
        <f>SUMIFS('Sheet OS'!$D$2:$D$91,'Sheet OS'!$N$2:$N$91,Charges!$A40,'Sheet OS'!$J$2:$J$91,Charges!D$2)</f>
        <v>3000</v>
      </c>
      <c r="E40" s="4">
        <f>SUMIFS('Sheet OS'!$D$2:$D$91,'Sheet OS'!$N$2:$N$91,Charges!$A40,'Sheet OS'!$J$2:$J$91,Charges!E$2)</f>
        <v>0</v>
      </c>
      <c r="F40" s="4">
        <f>SUMIFS('Sheet OS'!$D$2:$D$91,'Sheet OS'!$N$2:$N$91,Charges!$A40,'Sheet OS'!$J$2:$J$91,Charges!F$2)</f>
        <v>0</v>
      </c>
      <c r="G40" s="4">
        <f>SUMIFS('Sheet OS'!$D$2:$D$91,'Sheet OS'!$N$2:$N$91,Charges!$A40,'Sheet OS'!$J$2:$J$91,Charges!G$2)</f>
        <v>0</v>
      </c>
      <c r="H40" s="4">
        <f>SUMIFS('Sheet OS'!$G$2:$G$91,'Sheet OS'!$N$2:$N$91,Charges!$A40,'Sheet OS'!$J$2:$J$91,Charges!H$2)</f>
        <v>0</v>
      </c>
      <c r="I40" s="4">
        <f>SUMIFS('Sheet OS'!$G$2:$G$91,'Sheet OS'!$N$2:$N$91,Charges!$A40,'Sheet OS'!$J$2:$J$91,Charges!I$2)</f>
        <v>0</v>
      </c>
      <c r="J40" s="4">
        <f>SUMIFS('Sheet OS'!$G$2:$G$91,'Sheet OS'!$N$2:$N$91,Charges!$A40,'Sheet OS'!$J$2:$J$91,Charges!J$2)</f>
        <v>0.01</v>
      </c>
      <c r="K40" s="4">
        <f>SUMIFS('Sheet OS'!$G$2:$G$91,'Sheet OS'!$N$2:$N$91,Charges!$A40,'Sheet OS'!$J$2:$J$91,Charges!K$2)</f>
        <v>0</v>
      </c>
      <c r="L40" s="4">
        <f>SUMIFS('Sheet OS'!$G$2:$G$91,'Sheet OS'!$N$2:$N$91,Charges!$A40,'Sheet OS'!$J$2:$J$91,Charges!L$2)</f>
        <v>0</v>
      </c>
      <c r="M40" s="4">
        <f>SUMIFS('Sheet OS'!$G$2:$G$91,'Sheet OS'!$N$2:$N$91,Charges!$A40,'Sheet OS'!$J$2:$J$91,Charges!M$2)</f>
        <v>0</v>
      </c>
      <c r="N40" s="4">
        <f t="shared" si="1"/>
        <v>0</v>
      </c>
      <c r="O40" s="4">
        <f>IF(C40=0,0,(C40-SUM($N40:N40))*I40)</f>
        <v>0</v>
      </c>
      <c r="P40" s="4">
        <f>IF(D40=0,0,(D40-SUM($N40:O40))*J40)</f>
        <v>30</v>
      </c>
      <c r="Q40">
        <f>IF(E40=0,0,(E40-SUM($N40:P40))*K40)</f>
        <v>0</v>
      </c>
      <c r="R40">
        <f>IF(F40=0,0,(F40-SUM($N40:Q40))*L40)</f>
        <v>0</v>
      </c>
      <c r="S40">
        <f>IF(G40=0,0,(G40-SUM($N40:R40))*M40)</f>
        <v>0</v>
      </c>
      <c r="T40" s="4">
        <f t="shared" si="2"/>
        <v>30</v>
      </c>
    </row>
    <row r="41" spans="1:20" x14ac:dyDescent="0.35">
      <c r="A41" t="s">
        <v>165</v>
      </c>
      <c r="B41" s="4">
        <f>SUMIFS('Sheet OS'!$D$2:$D$91,'Sheet OS'!$N$2:$N$91,Charges!$A41,'Sheet OS'!$J$2:$J$91,Charges!B$2)</f>
        <v>12400</v>
      </c>
      <c r="C41" s="4">
        <f>SUMIFS('Sheet OS'!$D$2:$D$91,'Sheet OS'!$N$2:$N$91,Charges!$A41,'Sheet OS'!$J$2:$J$91,Charges!C$2)</f>
        <v>0</v>
      </c>
      <c r="D41" s="4">
        <f>SUMIFS('Sheet OS'!$D$2:$D$91,'Sheet OS'!$N$2:$N$91,Charges!$A41,'Sheet OS'!$J$2:$J$91,Charges!D$2)</f>
        <v>0</v>
      </c>
      <c r="E41" s="4">
        <f>SUMIFS('Sheet OS'!$D$2:$D$91,'Sheet OS'!$N$2:$N$91,Charges!$A41,'Sheet OS'!$J$2:$J$91,Charges!E$2)</f>
        <v>0</v>
      </c>
      <c r="F41" s="4">
        <f>SUMIFS('Sheet OS'!$D$2:$D$91,'Sheet OS'!$N$2:$N$91,Charges!$A41,'Sheet OS'!$J$2:$J$91,Charges!F$2)</f>
        <v>24800</v>
      </c>
      <c r="G41" s="4">
        <f>SUMIFS('Sheet OS'!$D$2:$D$91,'Sheet OS'!$N$2:$N$91,Charges!$A41,'Sheet OS'!$J$2:$J$91,Charges!G$2)</f>
        <v>0</v>
      </c>
      <c r="H41" s="4">
        <f>SUMIFS('Sheet OS'!$G$2:$G$91,'Sheet OS'!$N$2:$N$91,Charges!$A41,'Sheet OS'!$J$2:$J$91,Charges!H$2)</f>
        <v>0.02</v>
      </c>
      <c r="I41" s="4">
        <f>SUMIFS('Sheet OS'!$G$2:$G$91,'Sheet OS'!$N$2:$N$91,Charges!$A41,'Sheet OS'!$J$2:$J$91,Charges!I$2)</f>
        <v>0</v>
      </c>
      <c r="J41" s="4">
        <f>SUMIFS('Sheet OS'!$G$2:$G$91,'Sheet OS'!$N$2:$N$91,Charges!$A41,'Sheet OS'!$J$2:$J$91,Charges!J$2)</f>
        <v>0</v>
      </c>
      <c r="K41" s="4">
        <f>SUMIFS('Sheet OS'!$G$2:$G$91,'Sheet OS'!$N$2:$N$91,Charges!$A41,'Sheet OS'!$J$2:$J$91,Charges!K$2)</f>
        <v>0</v>
      </c>
      <c r="L41" s="4">
        <f>SUMIFS('Sheet OS'!$G$2:$G$91,'Sheet OS'!$N$2:$N$91,Charges!$A41,'Sheet OS'!$J$2:$J$91,Charges!L$2)</f>
        <v>0.09</v>
      </c>
      <c r="M41" s="4">
        <f>SUMIFS('Sheet OS'!$G$2:$G$91,'Sheet OS'!$N$2:$N$91,Charges!$A41,'Sheet OS'!$J$2:$J$91,Charges!M$2)</f>
        <v>0</v>
      </c>
      <c r="N41" s="4">
        <f t="shared" si="1"/>
        <v>248</v>
      </c>
      <c r="O41" s="4">
        <f>IF(C41=0,0,(C41-SUM($N41:N41))*I41)</f>
        <v>0</v>
      </c>
      <c r="P41" s="4">
        <f>IF(D41=0,0,(D41-SUM($N41:O41))*J41)</f>
        <v>0</v>
      </c>
      <c r="Q41">
        <f>IF(E41=0,0,(E41-SUM($N41:P41))*K41)</f>
        <v>0</v>
      </c>
      <c r="R41">
        <f>IF(F41=0,0,(F41-SUM($N41:Q41))*L41)</f>
        <v>2209.6799999999998</v>
      </c>
      <c r="S41">
        <f>IF(G41=0,0,(G41-SUM($N41:R41))*M41)</f>
        <v>0</v>
      </c>
      <c r="T41" s="4">
        <f t="shared" si="2"/>
        <v>2457.6799999999998</v>
      </c>
    </row>
    <row r="42" spans="1:20" x14ac:dyDescent="0.35">
      <c r="A42" t="s">
        <v>166</v>
      </c>
      <c r="B42" s="4">
        <f>SUMIFS('Sheet OS'!$D$2:$D$91,'Sheet OS'!$N$2:$N$91,Charges!$A42,'Sheet OS'!$J$2:$J$91,Charges!B$2)</f>
        <v>17430</v>
      </c>
      <c r="C42" s="4">
        <f>SUMIFS('Sheet OS'!$D$2:$D$91,'Sheet OS'!$N$2:$N$91,Charges!$A42,'Sheet OS'!$J$2:$J$91,Charges!C$2)</f>
        <v>17430</v>
      </c>
      <c r="D42" s="4">
        <f>SUMIFS('Sheet OS'!$D$2:$D$91,'Sheet OS'!$N$2:$N$91,Charges!$A42,'Sheet OS'!$J$2:$J$91,Charges!D$2)</f>
        <v>0</v>
      </c>
      <c r="E42" s="4">
        <f>SUMIFS('Sheet OS'!$D$2:$D$91,'Sheet OS'!$N$2:$N$91,Charges!$A42,'Sheet OS'!$J$2:$J$91,Charges!E$2)</f>
        <v>17430</v>
      </c>
      <c r="F42" s="4">
        <f>SUMIFS('Sheet OS'!$D$2:$D$91,'Sheet OS'!$N$2:$N$91,Charges!$A42,'Sheet OS'!$J$2:$J$91,Charges!F$2)</f>
        <v>0</v>
      </c>
      <c r="G42" s="4">
        <f>SUMIFS('Sheet OS'!$D$2:$D$91,'Sheet OS'!$N$2:$N$91,Charges!$A42,'Sheet OS'!$J$2:$J$91,Charges!G$2)</f>
        <v>0</v>
      </c>
      <c r="H42" s="4">
        <f>SUMIFS('Sheet OS'!$G$2:$G$91,'Sheet OS'!$N$2:$N$91,Charges!$A42,'Sheet OS'!$J$2:$J$91,Charges!H$2)</f>
        <v>0.01</v>
      </c>
      <c r="I42" s="4">
        <f>SUMIFS('Sheet OS'!$G$2:$G$91,'Sheet OS'!$N$2:$N$91,Charges!$A42,'Sheet OS'!$J$2:$J$91,Charges!I$2)</f>
        <v>0.02</v>
      </c>
      <c r="J42" s="4">
        <f>SUMIFS('Sheet OS'!$G$2:$G$91,'Sheet OS'!$N$2:$N$91,Charges!$A42,'Sheet OS'!$J$2:$J$91,Charges!J$2)</f>
        <v>0</v>
      </c>
      <c r="K42" s="4">
        <f>SUMIFS('Sheet OS'!$G$2:$G$91,'Sheet OS'!$N$2:$N$91,Charges!$A42,'Sheet OS'!$J$2:$J$91,Charges!K$2)</f>
        <v>0.01</v>
      </c>
      <c r="L42" s="4">
        <f>SUMIFS('Sheet OS'!$G$2:$G$91,'Sheet OS'!$N$2:$N$91,Charges!$A42,'Sheet OS'!$J$2:$J$91,Charges!L$2)</f>
        <v>0</v>
      </c>
      <c r="M42" s="4">
        <f>SUMIFS('Sheet OS'!$G$2:$G$91,'Sheet OS'!$N$2:$N$91,Charges!$A42,'Sheet OS'!$J$2:$J$91,Charges!M$2)</f>
        <v>0</v>
      </c>
      <c r="N42" s="4">
        <f t="shared" si="1"/>
        <v>174.3</v>
      </c>
      <c r="O42" s="4">
        <f>IF(C42=0,0,(C42-SUM($N42:N42))*I42)</f>
        <v>345.11400000000003</v>
      </c>
      <c r="P42" s="4">
        <f>IF(D42=0,0,(D42-SUM($N42:O42))*J42)</f>
        <v>0</v>
      </c>
      <c r="Q42">
        <f>IF(E42=0,0,(E42-SUM($N42:P42))*K42)</f>
        <v>169.10586000000001</v>
      </c>
      <c r="R42">
        <f>IF(F42=0,0,(F42-SUM($N42:Q42))*L42)</f>
        <v>0</v>
      </c>
      <c r="S42">
        <f>IF(G42=0,0,(G42-SUM($N42:R42))*M42)</f>
        <v>0</v>
      </c>
      <c r="T42" s="4">
        <f t="shared" si="2"/>
        <v>688.51985999999999</v>
      </c>
    </row>
    <row r="43" spans="1:20" x14ac:dyDescent="0.35">
      <c r="A43" t="s">
        <v>167</v>
      </c>
      <c r="B43" s="4">
        <f>SUMIFS('Sheet OS'!$D$2:$D$91,'Sheet OS'!$N$2:$N$91,Charges!$A43,'Sheet OS'!$J$2:$J$91,Charges!B$2)</f>
        <v>12000</v>
      </c>
      <c r="C43" s="4">
        <f>SUMIFS('Sheet OS'!$D$2:$D$91,'Sheet OS'!$N$2:$N$91,Charges!$A43,'Sheet OS'!$J$2:$J$91,Charges!C$2)</f>
        <v>24000</v>
      </c>
      <c r="D43" s="4">
        <f>SUMIFS('Sheet OS'!$D$2:$D$91,'Sheet OS'!$N$2:$N$91,Charges!$A43,'Sheet OS'!$J$2:$J$91,Charges!D$2)</f>
        <v>0</v>
      </c>
      <c r="E43" s="4">
        <f>SUMIFS('Sheet OS'!$D$2:$D$91,'Sheet OS'!$N$2:$N$91,Charges!$A43,'Sheet OS'!$J$2:$J$91,Charges!E$2)</f>
        <v>0</v>
      </c>
      <c r="F43" s="4">
        <f>SUMIFS('Sheet OS'!$D$2:$D$91,'Sheet OS'!$N$2:$N$91,Charges!$A43,'Sheet OS'!$J$2:$J$91,Charges!F$2)</f>
        <v>0</v>
      </c>
      <c r="G43" s="4">
        <f>SUMIFS('Sheet OS'!$D$2:$D$91,'Sheet OS'!$N$2:$N$91,Charges!$A43,'Sheet OS'!$J$2:$J$91,Charges!G$2)</f>
        <v>0</v>
      </c>
      <c r="H43" s="4">
        <f>SUMIFS('Sheet OS'!$G$2:$G$91,'Sheet OS'!$N$2:$N$91,Charges!$A43,'Sheet OS'!$J$2:$J$91,Charges!H$2)</f>
        <v>0.01</v>
      </c>
      <c r="I43" s="4">
        <f>SUMIFS('Sheet OS'!$G$2:$G$91,'Sheet OS'!$N$2:$N$91,Charges!$A43,'Sheet OS'!$J$2:$J$91,Charges!I$2)</f>
        <v>0.03</v>
      </c>
      <c r="J43" s="4">
        <f>SUMIFS('Sheet OS'!$G$2:$G$91,'Sheet OS'!$N$2:$N$91,Charges!$A43,'Sheet OS'!$J$2:$J$91,Charges!J$2)</f>
        <v>0</v>
      </c>
      <c r="K43" s="4">
        <f>SUMIFS('Sheet OS'!$G$2:$G$91,'Sheet OS'!$N$2:$N$91,Charges!$A43,'Sheet OS'!$J$2:$J$91,Charges!K$2)</f>
        <v>0</v>
      </c>
      <c r="L43" s="4">
        <f>SUMIFS('Sheet OS'!$G$2:$G$91,'Sheet OS'!$N$2:$N$91,Charges!$A43,'Sheet OS'!$J$2:$J$91,Charges!L$2)</f>
        <v>0</v>
      </c>
      <c r="M43" s="4">
        <f>SUMIFS('Sheet OS'!$G$2:$G$91,'Sheet OS'!$N$2:$N$91,Charges!$A43,'Sheet OS'!$J$2:$J$91,Charges!M$2)</f>
        <v>0</v>
      </c>
      <c r="N43" s="4">
        <f t="shared" si="1"/>
        <v>120</v>
      </c>
      <c r="O43" s="4">
        <f>IF(C43=0,0,(C43-SUM($N43:N43))*I43)</f>
        <v>716.4</v>
      </c>
      <c r="P43" s="4">
        <f>IF(D43=0,0,(D43-SUM($N43:O43))*J43)</f>
        <v>0</v>
      </c>
      <c r="Q43">
        <f>IF(E43=0,0,(E43-SUM($N43:P43))*K43)</f>
        <v>0</v>
      </c>
      <c r="R43">
        <f>IF(F43=0,0,(F43-SUM($N43:Q43))*L43)</f>
        <v>0</v>
      </c>
      <c r="S43">
        <f>IF(G43=0,0,(G43-SUM($N43:R43))*M43)</f>
        <v>0</v>
      </c>
      <c r="T43" s="4">
        <f t="shared" si="2"/>
        <v>836.4</v>
      </c>
    </row>
  </sheetData>
  <autoFilter ref="A4:C38" xr:uid="{E696A89E-917A-4B42-88D2-26C248F71D6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129-34A2-4758-98A5-4FE6D78C58AF}">
  <dimension ref="A1:B8"/>
  <sheetViews>
    <sheetView workbookViewId="0">
      <selection activeCell="B6" sqref="B6"/>
    </sheetView>
  </sheetViews>
  <sheetFormatPr baseColWidth="10" defaultRowHeight="14.5" x14ac:dyDescent="0.35"/>
  <sheetData>
    <row r="1" spans="1:2" x14ac:dyDescent="0.35">
      <c r="A1" t="s">
        <v>180</v>
      </c>
      <c r="B1" t="s">
        <v>188</v>
      </c>
    </row>
    <row r="2" spans="1:2" x14ac:dyDescent="0.35">
      <c r="A2" t="s">
        <v>181</v>
      </c>
      <c r="B2" t="s">
        <v>189</v>
      </c>
    </row>
    <row r="3" spans="1:2" x14ac:dyDescent="0.35">
      <c r="A3" t="s">
        <v>182</v>
      </c>
      <c r="B3" t="s">
        <v>193</v>
      </c>
    </row>
    <row r="4" spans="1:2" x14ac:dyDescent="0.35">
      <c r="A4" t="s">
        <v>183</v>
      </c>
      <c r="B4" t="s">
        <v>190</v>
      </c>
    </row>
    <row r="5" spans="1:2" x14ac:dyDescent="0.35">
      <c r="A5" t="s">
        <v>184</v>
      </c>
      <c r="B5" t="s">
        <v>194</v>
      </c>
    </row>
    <row r="6" spans="1:2" x14ac:dyDescent="0.35">
      <c r="A6" t="s">
        <v>185</v>
      </c>
      <c r="B6" t="s">
        <v>195</v>
      </c>
    </row>
    <row r="7" spans="1:2" x14ac:dyDescent="0.35">
      <c r="A7" t="s">
        <v>186</v>
      </c>
      <c r="B7" t="s">
        <v>191</v>
      </c>
    </row>
    <row r="8" spans="1:2" x14ac:dyDescent="0.35">
      <c r="A8" t="s">
        <v>187</v>
      </c>
      <c r="B8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0A2B-B11F-44A7-AB9F-02ADF0B8E838}">
  <dimension ref="A1:C43"/>
  <sheetViews>
    <sheetView workbookViewId="0">
      <selection activeCell="A2" sqref="A2"/>
    </sheetView>
  </sheetViews>
  <sheetFormatPr baseColWidth="10" defaultRowHeight="14.5" x14ac:dyDescent="0.35"/>
  <cols>
    <col min="2" max="2" width="11.81640625" bestFit="1" customWidth="1"/>
  </cols>
  <sheetData>
    <row r="1" spans="1:3" x14ac:dyDescent="0.35">
      <c r="A1" t="s">
        <v>132</v>
      </c>
      <c r="B1" t="s">
        <v>196</v>
      </c>
      <c r="C1" t="s">
        <v>203</v>
      </c>
    </row>
    <row r="2" spans="1:3" x14ac:dyDescent="0.35">
      <c r="A2" t="s">
        <v>39</v>
      </c>
      <c r="B2">
        <v>44272.65625</v>
      </c>
      <c r="C2" t="s">
        <v>124</v>
      </c>
    </row>
    <row r="3" spans="1:3" x14ac:dyDescent="0.35">
      <c r="A3" t="s">
        <v>134</v>
      </c>
      <c r="B3">
        <v>44273.59375</v>
      </c>
      <c r="C3" t="s">
        <v>124</v>
      </c>
    </row>
    <row r="4" spans="1:3" x14ac:dyDescent="0.35">
      <c r="A4" t="s">
        <v>135</v>
      </c>
      <c r="B4">
        <v>44503.731944444444</v>
      </c>
      <c r="C4" t="s">
        <v>124</v>
      </c>
    </row>
    <row r="5" spans="1:3" x14ac:dyDescent="0.35">
      <c r="A5" t="s">
        <v>171</v>
      </c>
      <c r="B5">
        <v>44271.522222222222</v>
      </c>
      <c r="C5" t="s">
        <v>124</v>
      </c>
    </row>
    <row r="6" spans="1:3" x14ac:dyDescent="0.35">
      <c r="A6" t="s">
        <v>136</v>
      </c>
      <c r="B6">
        <v>44271.731944444444</v>
      </c>
      <c r="C6" t="s">
        <v>126</v>
      </c>
    </row>
    <row r="7" spans="1:3" x14ac:dyDescent="0.35">
      <c r="A7" t="s">
        <v>137</v>
      </c>
      <c r="B7">
        <v>44276.523611111108</v>
      </c>
      <c r="C7" t="s">
        <v>124</v>
      </c>
    </row>
    <row r="8" spans="1:3" x14ac:dyDescent="0.35">
      <c r="A8" t="s">
        <v>138</v>
      </c>
      <c r="B8">
        <v>44248.709722222222</v>
      </c>
      <c r="C8" t="s">
        <v>127</v>
      </c>
    </row>
    <row r="9" spans="1:3" x14ac:dyDescent="0.35">
      <c r="A9" t="s">
        <v>139</v>
      </c>
      <c r="B9">
        <v>44253.756944444445</v>
      </c>
      <c r="C9" t="s">
        <v>126</v>
      </c>
    </row>
    <row r="10" spans="1:3" x14ac:dyDescent="0.35">
      <c r="A10" t="s">
        <v>140</v>
      </c>
      <c r="B10">
        <v>44572.76458333333</v>
      </c>
      <c r="C10" t="s">
        <v>125</v>
      </c>
    </row>
    <row r="11" spans="1:3" x14ac:dyDescent="0.35">
      <c r="A11" t="s">
        <v>141</v>
      </c>
      <c r="B11">
        <v>44235.722916666666</v>
      </c>
      <c r="C11" t="s">
        <v>124</v>
      </c>
    </row>
    <row r="12" spans="1:3" x14ac:dyDescent="0.35">
      <c r="A12" t="s">
        <v>142</v>
      </c>
      <c r="B12">
        <v>44258.756944444445</v>
      </c>
      <c r="C12" t="s">
        <v>124</v>
      </c>
    </row>
    <row r="13" spans="1:3" x14ac:dyDescent="0.35">
      <c r="A13" t="s">
        <v>143</v>
      </c>
      <c r="B13">
        <v>44524.613888888889</v>
      </c>
      <c r="C13" t="s">
        <v>124</v>
      </c>
    </row>
    <row r="14" spans="1:3" x14ac:dyDescent="0.35">
      <c r="A14" t="s">
        <v>172</v>
      </c>
      <c r="B14">
        <v>44521.480555555558</v>
      </c>
      <c r="C14" t="s">
        <v>124</v>
      </c>
    </row>
    <row r="15" spans="1:3" x14ac:dyDescent="0.35">
      <c r="A15" t="s">
        <v>144</v>
      </c>
      <c r="B15">
        <v>44211.756944444445</v>
      </c>
      <c r="C15" t="s">
        <v>123</v>
      </c>
    </row>
    <row r="16" spans="1:3" x14ac:dyDescent="0.35">
      <c r="A16" t="s">
        <v>145</v>
      </c>
      <c r="B16">
        <v>44209.605555555558</v>
      </c>
      <c r="C16" t="s">
        <v>123</v>
      </c>
    </row>
    <row r="17" spans="1:3" x14ac:dyDescent="0.35">
      <c r="A17" t="s">
        <v>145</v>
      </c>
      <c r="B17">
        <v>44209.605555555558</v>
      </c>
      <c r="C17" t="s">
        <v>124</v>
      </c>
    </row>
    <row r="18" spans="1:3" x14ac:dyDescent="0.35">
      <c r="A18" t="s">
        <v>146</v>
      </c>
      <c r="B18">
        <v>44210.654861111114</v>
      </c>
      <c r="C18" t="s">
        <v>123</v>
      </c>
    </row>
    <row r="19" spans="1:3" x14ac:dyDescent="0.35">
      <c r="A19" t="s">
        <v>146</v>
      </c>
      <c r="B19">
        <v>44210.654861111114</v>
      </c>
      <c r="C19" t="s">
        <v>124</v>
      </c>
    </row>
    <row r="20" spans="1:3" x14ac:dyDescent="0.35">
      <c r="A20" t="s">
        <v>147</v>
      </c>
      <c r="B20">
        <v>44201.722222222219</v>
      </c>
      <c r="C20" t="s">
        <v>126</v>
      </c>
    </row>
    <row r="21" spans="1:3" x14ac:dyDescent="0.35">
      <c r="A21" t="s">
        <v>173</v>
      </c>
      <c r="B21">
        <v>44224.798611111109</v>
      </c>
      <c r="C21" t="s">
        <v>124</v>
      </c>
    </row>
    <row r="22" spans="1:3" x14ac:dyDescent="0.35">
      <c r="A22" t="s">
        <v>148</v>
      </c>
      <c r="B22">
        <v>44209.53125</v>
      </c>
      <c r="C22" t="s">
        <v>124</v>
      </c>
    </row>
    <row r="23" spans="1:3" x14ac:dyDescent="0.35">
      <c r="A23" t="s">
        <v>149</v>
      </c>
      <c r="B23">
        <v>44277.715277777781</v>
      </c>
      <c r="C23" t="s">
        <v>124</v>
      </c>
    </row>
    <row r="24" spans="1:3" x14ac:dyDescent="0.35">
      <c r="A24" t="s">
        <v>150</v>
      </c>
      <c r="B24">
        <v>44157.715277777781</v>
      </c>
      <c r="C24" t="s">
        <v>124</v>
      </c>
    </row>
    <row r="25" spans="1:3" x14ac:dyDescent="0.35">
      <c r="A25" t="s">
        <v>151</v>
      </c>
      <c r="B25">
        <v>44155.881944444445</v>
      </c>
      <c r="C25" t="s">
        <v>124</v>
      </c>
    </row>
    <row r="26" spans="1:3" x14ac:dyDescent="0.35">
      <c r="A26" t="s">
        <v>152</v>
      </c>
      <c r="B26">
        <v>44156.591666666667</v>
      </c>
      <c r="C26" t="s">
        <v>124</v>
      </c>
    </row>
    <row r="27" spans="1:3" x14ac:dyDescent="0.35">
      <c r="A27" t="s">
        <v>153</v>
      </c>
      <c r="B27">
        <v>44162.763888888891</v>
      </c>
      <c r="C27" t="s">
        <v>124</v>
      </c>
    </row>
    <row r="28" spans="1:3" x14ac:dyDescent="0.35">
      <c r="A28" t="s">
        <v>154</v>
      </c>
      <c r="B28">
        <v>44256.756944444445</v>
      </c>
      <c r="C28" t="s">
        <v>126</v>
      </c>
    </row>
    <row r="29" spans="1:3" x14ac:dyDescent="0.35">
      <c r="A29" t="s">
        <v>155</v>
      </c>
      <c r="B29">
        <v>44256.800000000003</v>
      </c>
      <c r="C29" t="s">
        <v>124</v>
      </c>
    </row>
    <row r="30" spans="1:3" x14ac:dyDescent="0.35">
      <c r="A30" t="s">
        <v>156</v>
      </c>
      <c r="B30">
        <v>44211.527083333334</v>
      </c>
      <c r="C30" t="s">
        <v>124</v>
      </c>
    </row>
    <row r="31" spans="1:3" x14ac:dyDescent="0.35">
      <c r="A31" t="s">
        <v>157</v>
      </c>
      <c r="B31">
        <v>44218.730555555558</v>
      </c>
      <c r="C31" t="s">
        <v>124</v>
      </c>
    </row>
    <row r="32" spans="1:3" x14ac:dyDescent="0.35">
      <c r="A32" t="s">
        <v>158</v>
      </c>
      <c r="B32">
        <v>44258.648611111108</v>
      </c>
      <c r="C32" t="s">
        <v>125</v>
      </c>
    </row>
    <row r="33" spans="1:3" x14ac:dyDescent="0.35">
      <c r="A33" t="s">
        <v>159</v>
      </c>
      <c r="B33">
        <v>44278.523611111108</v>
      </c>
      <c r="C33" t="s">
        <v>124</v>
      </c>
    </row>
    <row r="34" spans="1:3" x14ac:dyDescent="0.35">
      <c r="A34" t="s">
        <v>160</v>
      </c>
      <c r="B34">
        <v>44223.533333333333</v>
      </c>
      <c r="C34" t="s">
        <v>124</v>
      </c>
    </row>
    <row r="35" spans="1:3" x14ac:dyDescent="0.35">
      <c r="A35" t="s">
        <v>161</v>
      </c>
      <c r="B35">
        <v>44550.561805555553</v>
      </c>
      <c r="C35" t="s">
        <v>125</v>
      </c>
    </row>
    <row r="36" spans="1:3" x14ac:dyDescent="0.35">
      <c r="A36" t="s">
        <v>162</v>
      </c>
      <c r="B36">
        <v>44299.756944444445</v>
      </c>
      <c r="C36" t="s">
        <v>124</v>
      </c>
    </row>
    <row r="37" spans="1:3" x14ac:dyDescent="0.35">
      <c r="A37" t="s">
        <v>174</v>
      </c>
      <c r="B37">
        <v>44241.522222222222</v>
      </c>
      <c r="C37" t="s">
        <v>124</v>
      </c>
    </row>
    <row r="38" spans="1:3" x14ac:dyDescent="0.35">
      <c r="A38" t="s">
        <v>163</v>
      </c>
      <c r="B38">
        <v>44388.731944444444</v>
      </c>
      <c r="C38" t="s">
        <v>126</v>
      </c>
    </row>
    <row r="39" spans="1:3" x14ac:dyDescent="0.35">
      <c r="A39" t="s">
        <v>164</v>
      </c>
      <c r="B39">
        <v>44305.551388888889</v>
      </c>
      <c r="C39" t="s">
        <v>123</v>
      </c>
    </row>
    <row r="40" spans="1:3" x14ac:dyDescent="0.35">
      <c r="A40" t="s">
        <v>175</v>
      </c>
      <c r="B40">
        <v>44306.523611111108</v>
      </c>
      <c r="C40" t="s">
        <v>124</v>
      </c>
    </row>
    <row r="41" spans="1:3" x14ac:dyDescent="0.35">
      <c r="A41" t="s">
        <v>165</v>
      </c>
      <c r="B41">
        <v>44455.709722222222</v>
      </c>
      <c r="C41" t="s">
        <v>127</v>
      </c>
    </row>
    <row r="42" spans="1:3" x14ac:dyDescent="0.35">
      <c r="A42" t="s">
        <v>166</v>
      </c>
      <c r="B42">
        <v>44390.756944444445</v>
      </c>
      <c r="C42" t="s">
        <v>126</v>
      </c>
    </row>
    <row r="43" spans="1:3" x14ac:dyDescent="0.35">
      <c r="A43" t="s">
        <v>167</v>
      </c>
      <c r="B43">
        <v>44476.76458333333</v>
      </c>
      <c r="C4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Sheet OS</vt:lpstr>
      <vt:lpstr>Feuil6</vt:lpstr>
      <vt:lpstr>Feuil7</vt:lpstr>
      <vt:lpstr>Transac par mois</vt:lpstr>
      <vt:lpstr>AvgTime</vt:lpstr>
      <vt:lpstr>Charges</vt:lpstr>
      <vt:lpstr>Feuil3</vt:lpstr>
      <vt:lpstr>Last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Shavrina</dc:creator>
  <cp:lastModifiedBy>Olga Shavrina</cp:lastModifiedBy>
  <dcterms:created xsi:type="dcterms:W3CDTF">2022-01-21T11:32:23Z</dcterms:created>
  <dcterms:modified xsi:type="dcterms:W3CDTF">2022-01-21T16:29:30Z</dcterms:modified>
</cp:coreProperties>
</file>