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chel\git2\LabsDataAnalyticsIronhack\module_2\Lab_18_Dasboards_in_Excel_Google_Sheets\"/>
    </mc:Choice>
  </mc:AlternateContent>
  <xr:revisionPtr revIDLastSave="0" documentId="13_ncr:1_{E3DDFB73-3789-4A62-8458-C7E77EEA16E5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DASHBOARD" sheetId="3" r:id="rId1"/>
    <sheet name="Data" sheetId="1" r:id="rId2"/>
    <sheet name="Data to work with" sheetId="2" r:id="rId3"/>
    <sheet name="Services" sheetId="4" r:id="rId4"/>
  </sheets>
  <definedNames>
    <definedName name="Z_3A85B77D_9C6B_40E9_9F9B_F96032D2154A_.wvu.FilterData" localSheetId="1" hidden="1">Data!$A$1:$AJ$260</definedName>
  </definedNames>
  <calcPr calcId="181029"/>
  <customWorkbookViews>
    <customWorkbookView name="Filter 1" guid="{3A85B77D-9C6B-40E9-9F9B-F96032D2154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4" l="1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H3" i="4"/>
  <c r="AE3" i="4"/>
  <c r="AC3" i="4"/>
  <c r="Z3" i="4"/>
  <c r="W3" i="4"/>
  <c r="U3" i="4"/>
  <c r="R3" i="4"/>
  <c r="O3" i="4"/>
  <c r="M3" i="4"/>
  <c r="J3" i="4"/>
  <c r="G3" i="4"/>
  <c r="E3" i="4"/>
  <c r="D3" i="4"/>
  <c r="AB3" i="4" s="1"/>
  <c r="A3" i="4"/>
  <c r="A2" i="4"/>
  <c r="D11" i="3"/>
  <c r="AG21" i="2"/>
  <c r="AG20" i="2"/>
  <c r="AG19" i="2"/>
  <c r="AG18" i="2"/>
  <c r="AG17" i="2"/>
  <c r="AG16" i="2"/>
  <c r="AG15" i="2"/>
  <c r="AG14" i="2"/>
  <c r="AG13" i="2"/>
  <c r="AG12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F3" i="4" l="1"/>
  <c r="N3" i="4"/>
  <c r="V3" i="4"/>
  <c r="AD3" i="4"/>
  <c r="H3" i="4"/>
  <c r="P3" i="4"/>
  <c r="X3" i="4"/>
  <c r="AF3" i="4"/>
  <c r="I3" i="4"/>
  <c r="Q3" i="4"/>
  <c r="Y3" i="4"/>
  <c r="AG3" i="4"/>
  <c r="K3" i="4"/>
  <c r="S3" i="4"/>
  <c r="AA3" i="4"/>
  <c r="AI3" i="4"/>
  <c r="L3" i="4"/>
  <c r="T3" i="4"/>
</calcChain>
</file>

<file path=xl/sharedStrings.xml><?xml version="1.0" encoding="utf-8"?>
<sst xmlns="http://schemas.openxmlformats.org/spreadsheetml/2006/main" count="1092" uniqueCount="533">
  <si>
    <t>Country Name</t>
  </si>
  <si>
    <t>Country Code</t>
  </si>
  <si>
    <t>Indicator Name</t>
  </si>
  <si>
    <t>Indicator Code</t>
  </si>
  <si>
    <t>Difference</t>
  </si>
  <si>
    <t>Aruba</t>
  </si>
  <si>
    <t>ABW</t>
  </si>
  <si>
    <t>Forest area (% of land area)</t>
  </si>
  <si>
    <t>AG.LND.FRST.ZS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</si>
  <si>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</si>
  <si>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</si>
  <si>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</si>
  <si>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</si>
  <si>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</si>
  <si>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</si>
  <si>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</si>
  <si>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</si>
  <si>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</si>
  <si>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</si>
  <si>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</si>
  <si>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</si>
  <si>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</si>
  <si>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</si>
  <si>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</si>
  <si>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</si>
  <si>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</si>
  <si>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</si>
  <si>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</si>
  <si>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</si>
  <si>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</si>
  <si>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</si>
  <si>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</si>
  <si>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</si>
  <si>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</si>
  <si>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</si>
  <si>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</si>
  <si>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</si>
  <si>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</si>
  <si>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</si>
  <si>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</si>
  <si>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</si>
  <si>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</si>
  <si>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</si>
  <si>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</si>
  <si>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</si>
  <si>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</si>
  <si>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</si>
  <si>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</si>
  <si>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</si>
  <si>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</si>
  <si>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</si>
  <si>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</si>
  <si>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</si>
  <si>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</si>
  <si>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</si>
  <si>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</si>
  <si>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</si>
  <si>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</si>
  <si>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</si>
  <si>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</si>
  <si>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</si>
  <si>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</si>
  <si>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</si>
  <si>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</si>
  <si>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</si>
  <si>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</si>
  <si>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</si>
  <si>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</si>
  <si>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</si>
  <si>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</si>
  <si>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</si>
  <si>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</si>
  <si>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</si>
  <si>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</si>
  <si>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</si>
  <si>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</si>
  <si>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</si>
  <si>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</si>
  <si>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</si>
  <si>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</si>
  <si>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</si>
  <si>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</si>
  <si>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</si>
  <si>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</si>
  <si>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</si>
  <si>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</si>
  <si>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</si>
  <si>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</si>
  <si>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</si>
  <si>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</si>
  <si>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</si>
  <si>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</si>
  <si>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</si>
  <si>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</si>
  <si>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</si>
  <si>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</si>
  <si>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</si>
  <si>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</si>
  <si>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</si>
  <si>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</si>
  <si>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</si>
  <si>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</si>
  <si>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</si>
  <si>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</si>
  <si>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</si>
  <si>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</si>
  <si>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</si>
  <si>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</si>
  <si>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</si>
  <si>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</si>
  <si>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</si>
  <si>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</si>
  <si>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</si>
  <si>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</si>
  <si>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</si>
  <si>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</si>
  <si>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</si>
  <si>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</si>
  <si>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</si>
  <si>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</si>
  <si>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</si>
  <si>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</si>
  <si>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</si>
  <si>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</si>
  <si>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</si>
  <si>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</si>
  <si>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</si>
  <si>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</si>
  <si>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</si>
  <si>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</si>
  <si>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</si>
  <si>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</si>
  <si>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</si>
  <si>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</si>
  <si>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</si>
  <si>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</si>
  <si>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</si>
  <si>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</si>
  <si>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</si>
  <si>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</si>
  <si>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</si>
  <si>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</si>
  <si>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</si>
  <si>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</si>
  <si>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</si>
  <si>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</si>
  <si>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</si>
  <si>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</si>
  <si>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</si>
  <si>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</si>
  <si>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</si>
  <si>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</si>
  <si>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</si>
  <si>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</si>
  <si>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</si>
  <si>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</si>
  <si>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</si>
  <si>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</si>
  <si>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</si>
  <si>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</si>
  <si>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</si>
  <si>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</si>
  <si>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</si>
  <si>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</si>
  <si>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</si>
  <si>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</si>
  <si>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</si>
  <si>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</si>
  <si>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</si>
  <si>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</si>
  <si>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</si>
  <si>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</si>
  <si>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</si>
  <si>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</si>
  <si>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</si>
  <si>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</si>
  <si>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</si>
  <si>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</si>
  <si>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</si>
  <si>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</si>
  <si>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</si>
  <si>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</si>
  <si>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</si>
  <si>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</si>
  <si>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</si>
  <si>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</si>
  <si>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</si>
  <si>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</si>
  <si>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</si>
  <si>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</si>
  <si>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</si>
  <si>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</si>
  <si>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</si>
  <si>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</si>
  <si>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</si>
  <si>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</si>
  <si>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</si>
  <si>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</si>
  <si>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</si>
  <si>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</si>
  <si>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</si>
  <si>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</si>
  <si>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</si>
  <si>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</si>
  <si>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</si>
  <si>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</si>
  <si>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</si>
  <si>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</si>
  <si>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</si>
  <si>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</si>
  <si>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</si>
  <si>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</si>
  <si>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</si>
  <si>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</si>
  <si>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</si>
  <si>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</si>
  <si>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</si>
  <si>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</si>
  <si>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</si>
  <si>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</si>
  <si>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</si>
  <si>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</si>
  <si>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</si>
  <si>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</si>
  <si>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</si>
  <si>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</si>
  <si>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</si>
  <si>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</si>
  <si>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</si>
  <si>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</si>
  <si>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</si>
  <si>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</si>
  <si>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</si>
  <si>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</si>
  <si>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</si>
  <si>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</si>
  <si>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</si>
  <si>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</si>
  <si>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</si>
  <si>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</si>
  <si>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</si>
  <si>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</si>
  <si>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</si>
  <si>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</si>
  <si>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</si>
  <si>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</si>
  <si>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</si>
  <si>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</si>
  <si>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</si>
  <si>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</si>
  <si>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</si>
  <si>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</si>
  <si>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</si>
  <si>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</si>
  <si>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</si>
  <si>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</si>
  <si>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</si>
  <si>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</si>
  <si>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</si>
  <si>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</si>
  <si>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</si>
  <si>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</si>
  <si>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</si>
  <si>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</si>
  <si>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</si>
  <si>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</si>
  <si>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</si>
  <si>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</si>
  <si>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</si>
  <si>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</si>
  <si>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</si>
  <si>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</si>
  <si>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</si>
  <si>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</si>
  <si>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</si>
  <si>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</si>
  <si>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</si>
  <si>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</si>
  <si>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</si>
  <si>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</si>
  <si>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</si>
  <si>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</si>
  <si>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</si>
  <si>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</si>
  <si>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</si>
  <si>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</si>
  <si>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</si>
  <si>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</si>
  <si>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</si>
  <si>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</si>
  <si>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</si>
  <si>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</si>
  <si>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</si>
  <si>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</si>
  <si>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</si>
  <si>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St. Martin (French part)</t>
  </si>
  <si>
    <t>MAF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</si>
  <si>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</si>
  <si>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</si>
  <si>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</si>
  <si>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</si>
  <si>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</si>
  <si>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</si>
  <si>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</si>
  <si>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</si>
  <si>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</si>
  <si>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</si>
  <si>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</si>
  <si>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</si>
  <si>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</si>
  <si>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</si>
  <si>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</si>
  <si>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</si>
  <si>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</si>
  <si>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</si>
  <si>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</si>
  <si>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</si>
  <si>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</si>
  <si>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</si>
  <si>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</si>
  <si>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</si>
  <si>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</si>
  <si>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</si>
  <si>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</si>
  <si>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</si>
  <si>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</si>
  <si>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</si>
  <si>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</si>
  <si>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</si>
  <si>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</si>
  <si>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</si>
  <si>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</si>
  <si>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</si>
  <si>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</si>
  <si>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</si>
  <si>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</si>
  <si>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</si>
  <si>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</si>
  <si>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</si>
  <si>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</si>
  <si>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</si>
  <si>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</si>
  <si>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</si>
  <si>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</si>
  <si>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</si>
  <si>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</si>
  <si>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</si>
  <si>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</si>
  <si>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</si>
  <si>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</si>
  <si>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</si>
  <si>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</si>
  <si>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</si>
  <si>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</si>
  <si>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</si>
  <si>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</si>
  <si>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</si>
  <si>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</si>
  <si>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</si>
  <si>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</si>
  <si>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</si>
  <si>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</si>
  <si>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</si>
  <si>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</si>
  <si>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</si>
  <si>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</si>
  <si>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</si>
  <si>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</si>
  <si>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</si>
  <si>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</si>
  <si>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</si>
  <si>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</si>
  <si>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</si>
  <si>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</si>
  <si>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</si>
  <si>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</si>
  <si>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</si>
  <si>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</si>
  <si>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</si>
  <si>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</si>
  <si>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</si>
  <si>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</si>
  <si>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</si>
  <si>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</si>
  <si>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</si>
  <si>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</si>
  <si>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</si>
  <si>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</si>
  <si>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</si>
  <si>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</si>
  <si>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</si>
  <si>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</si>
  <si>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</si>
  <si>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</si>
  <si>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</si>
  <si>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</si>
  <si>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</si>
  <si>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</si>
  <si>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</si>
  <si>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</si>
  <si>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</si>
  <si>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</si>
  <si>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</si>
  <si>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</si>
  <si>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</si>
  <si>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</si>
  <si>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</si>
  <si>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</si>
  <si>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</si>
  <si>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</si>
  <si>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</si>
  <si>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</si>
  <si>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</si>
  <si>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</si>
  <si>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</si>
  <si>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</si>
  <si>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</si>
  <si>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</si>
  <si>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</si>
  <si>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</si>
  <si>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</si>
  <si>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</si>
  <si>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</si>
  <si>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</si>
  <si>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</si>
  <si>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</si>
  <si>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</si>
  <si>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</si>
  <si>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</si>
  <si>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</si>
  <si>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</si>
  <si>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</si>
  <si>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</si>
  <si>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</si>
  <si>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</si>
  <si>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</si>
  <si>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</si>
  <si>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</si>
  <si>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</si>
  <si>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</si>
  <si>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</si>
  <si>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</si>
  <si>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</si>
  <si>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</si>
  <si>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</si>
  <si>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</si>
  <si>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</si>
  <si>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</si>
  <si>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</si>
  <si>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</si>
  <si>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</si>
  <si>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</si>
  <si>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</si>
  <si>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</si>
  <si>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</si>
  <si>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</si>
  <si>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</si>
  <si>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</si>
  <si>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</si>
  <si>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</si>
  <si>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</si>
  <si>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</si>
  <si>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</si>
  <si>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</si>
  <si>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</si>
  <si>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</si>
  <si>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</si>
  <si>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</si>
  <si>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</si>
  <si>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</si>
  <si>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</si>
  <si>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</si>
  <si>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</si>
  <si>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</si>
  <si>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</si>
  <si>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</si>
  <si>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</si>
  <si>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</si>
  <si>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</si>
  <si>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</si>
  <si>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</si>
  <si>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</si>
  <si>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</si>
  <si>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</si>
  <si>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</si>
  <si>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</si>
  <si>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</si>
  <si>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</si>
  <si>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</si>
  <si>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</si>
  <si>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</si>
  <si>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</si>
  <si>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</si>
  <si>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</si>
  <si>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</si>
  <si>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</si>
  <si>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</si>
  <si>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</si>
  <si>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</si>
  <si>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</si>
  <si>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</si>
  <si>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</si>
  <si>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</si>
  <si>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</si>
  <si>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</si>
  <si>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</si>
  <si>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</si>
  <si>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</si>
  <si>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</si>
  <si>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</si>
  <si>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</si>
  <si>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</si>
  <si>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</si>
  <si>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</si>
  <si>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</si>
  <si>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</si>
  <si>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</si>
  <si>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</si>
  <si>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</si>
  <si>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</si>
  <si>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</si>
  <si>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</si>
  <si>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</si>
  <si>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</si>
  <si>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</si>
  <si>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TOP 20 Countries with the highest forest area increase between 1990 - 2020</t>
  </si>
  <si>
    <t xml:space="preserve">TOP 20 FORSEST Countries </t>
  </si>
  <si>
    <t>SECTION 1</t>
  </si>
  <si>
    <t>SECTION 2</t>
  </si>
  <si>
    <t>Select a country</t>
  </si>
  <si>
    <t>FOREST Area in 2020</t>
  </si>
  <si>
    <t>Choose countries to compare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</si>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</sst>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Inconsolata"/>
    </font>
    <font>
      <b/>
      <sz val="24"/>
      <color rgb="FF073763"/>
      <name val="Arial"/>
      <family val="2"/>
    </font>
    <font>
      <sz val="36"/>
      <color theme="1"/>
      <name val="Arial"/>
      <family val="2"/>
    </font>
    <font>
      <b/>
      <sz val="18"/>
      <color rgb="FF1C4587"/>
      <name val="Arial"/>
      <family val="2"/>
    </font>
    <font>
      <b/>
      <sz val="18"/>
      <color rgb="FF073763"/>
      <name val="Arial"/>
      <family val="2"/>
    </font>
    <font>
      <b/>
      <sz val="18"/>
      <color rgb="FF3D85C6"/>
      <name val="Arial"/>
      <family val="2"/>
    </font>
    <font>
      <b/>
      <sz val="14"/>
      <color rgb="FF07376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ED6EB"/>
        <bgColor rgb="FFBED6EB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4" fillId="2" borderId="0" xfId="0" applyFont="1" applyFill="1"/>
    <xf numFmtId="0" fontId="2" fillId="3" borderId="0" xfId="0" applyFont="1" applyFill="1"/>
    <xf numFmtId="0" fontId="6" fillId="3" borderId="0" xfId="0" applyFont="1" applyFill="1" applyAlignment="1"/>
    <xf numFmtId="0" fontId="2" fillId="4" borderId="0" xfId="0" applyFont="1" applyFill="1"/>
    <xf numFmtId="0" fontId="2" fillId="5" borderId="0" xfId="0" applyFont="1" applyFill="1"/>
    <xf numFmtId="0" fontId="7" fillId="4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0" fontId="2" fillId="5" borderId="0" xfId="0" applyFont="1" applyFill="1" applyAlignment="1"/>
    <xf numFmtId="0" fontId="5" fillId="3" borderId="0" xfId="0" applyFont="1" applyFill="1" applyAlignment="1">
      <alignment horizontal="right" wrapText="1"/>
    </xf>
    <xf numFmtId="0" fontId="0" fillId="0" borderId="0" xfId="0" applyFont="1" applyAlignment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right" wrapText="1"/>
    </xf>
    <xf numFmtId="0" fontId="10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1155CC"/>
                </a:solidFill>
                <a:latin typeface="+mn-lt"/>
              </a:defRPr>
            </a:pPr>
            <a:r>
              <a:rPr lang="fr-FR" b="1">
                <a:solidFill>
                  <a:srgbClr val="1155CC"/>
                </a:solidFill>
                <a:latin typeface="+mn-lt"/>
              </a:rPr>
              <a:t>Forest Area%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Services!$E$2:$AI$2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Services!$E$3:$AI$3</c:f>
              <c:numCache>
                <c:formatCode>General</c:formatCode>
                <c:ptCount val="31"/>
                <c:pt idx="0">
                  <c:v>28.805677599999999</c:v>
                </c:pt>
                <c:pt idx="1">
                  <c:v>29.545528300000001</c:v>
                </c:pt>
                <c:pt idx="2">
                  <c:v>30.285378999999999</c:v>
                </c:pt>
                <c:pt idx="3">
                  <c:v>31.025229700000001</c:v>
                </c:pt>
                <c:pt idx="4">
                  <c:v>31.765080300000001</c:v>
                </c:pt>
                <c:pt idx="5">
                  <c:v>32.504930999999999</c:v>
                </c:pt>
                <c:pt idx="6">
                  <c:v>33.244781699999997</c:v>
                </c:pt>
                <c:pt idx="7">
                  <c:v>33.984632400000002</c:v>
                </c:pt>
                <c:pt idx="8">
                  <c:v>34.7244831</c:v>
                </c:pt>
                <c:pt idx="9">
                  <c:v>35.464333799999999</c:v>
                </c:pt>
                <c:pt idx="10">
                  <c:v>37.883687999999999</c:v>
                </c:pt>
                <c:pt idx="11">
                  <c:v>38.395628299999998</c:v>
                </c:pt>
                <c:pt idx="12">
                  <c:v>38.978882599999999</c:v>
                </c:pt>
                <c:pt idx="13">
                  <c:v>39.556513000000002</c:v>
                </c:pt>
                <c:pt idx="14">
                  <c:v>40.073802700000002</c:v>
                </c:pt>
                <c:pt idx="15">
                  <c:v>40.5910923</c:v>
                </c:pt>
                <c:pt idx="16">
                  <c:v>41.108381999999999</c:v>
                </c:pt>
                <c:pt idx="17">
                  <c:v>41.625671599999997</c:v>
                </c:pt>
                <c:pt idx="18">
                  <c:v>42.142961300000003</c:v>
                </c:pt>
                <c:pt idx="19">
                  <c:v>42.660250900000001</c:v>
                </c:pt>
                <c:pt idx="20">
                  <c:v>43.1775406</c:v>
                </c:pt>
                <c:pt idx="21">
                  <c:v>43.612152100000003</c:v>
                </c:pt>
                <c:pt idx="22">
                  <c:v>44.046763599999998</c:v>
                </c:pt>
                <c:pt idx="23">
                  <c:v>44.481375200000002</c:v>
                </c:pt>
                <c:pt idx="24">
                  <c:v>44.915986699999998</c:v>
                </c:pt>
                <c:pt idx="25">
                  <c:v>45.350598300000001</c:v>
                </c:pt>
                <c:pt idx="26">
                  <c:v>46.369142500000002</c:v>
                </c:pt>
                <c:pt idx="27">
                  <c:v>46.490760199999997</c:v>
                </c:pt>
                <c:pt idx="28">
                  <c:v>46.7355436</c:v>
                </c:pt>
                <c:pt idx="29">
                  <c:v>46.980327000000003</c:v>
                </c:pt>
                <c:pt idx="30">
                  <c:v>47.2251105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2-48F2-81C6-27B89EB0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3408"/>
        <c:axId val="1992687780"/>
      </c:lineChart>
      <c:catAx>
        <c:axId val="7292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92687780"/>
        <c:crosses val="autoZero"/>
        <c:auto val="1"/>
        <c:lblAlgn val="ctr"/>
        <c:lblOffset val="100"/>
        <c:noMultiLvlLbl val="1"/>
      </c:catAx>
      <c:valAx>
        <c:axId val="199268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29234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'Data to work with'!$AH$2</c:f>
              <c:strCache>
                <c:ptCount val="1"/>
                <c:pt idx="0">
                  <c:v>Puerto Rico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with'!$AI$2:$BM$2</c:f>
              <c:numCache>
                <c:formatCode>General</c:formatCode>
                <c:ptCount val="31"/>
                <c:pt idx="0">
                  <c:v>36.113866999999999</c:v>
                </c:pt>
                <c:pt idx="1">
                  <c:v>37.340699000000001</c:v>
                </c:pt>
                <c:pt idx="2">
                  <c:v>38.567531000000002</c:v>
                </c:pt>
                <c:pt idx="3">
                  <c:v>39.794362999999997</c:v>
                </c:pt>
                <c:pt idx="4">
                  <c:v>41.021194999999999</c:v>
                </c:pt>
                <c:pt idx="5">
                  <c:v>42.248027100000002</c:v>
                </c:pt>
                <c:pt idx="6">
                  <c:v>43.474859100000003</c:v>
                </c:pt>
                <c:pt idx="7">
                  <c:v>44.701691099999998</c:v>
                </c:pt>
                <c:pt idx="8">
                  <c:v>45.9285231</c:v>
                </c:pt>
                <c:pt idx="9">
                  <c:v>47.155355100000001</c:v>
                </c:pt>
                <c:pt idx="10">
                  <c:v>48.382187100000003</c:v>
                </c:pt>
                <c:pt idx="11">
                  <c:v>49.084554699999998</c:v>
                </c:pt>
                <c:pt idx="12">
                  <c:v>49.786922199999999</c:v>
                </c:pt>
                <c:pt idx="13">
                  <c:v>50.4892897</c:v>
                </c:pt>
                <c:pt idx="14">
                  <c:v>51.191657300000003</c:v>
                </c:pt>
                <c:pt idx="15">
                  <c:v>51.894024799999997</c:v>
                </c:pt>
                <c:pt idx="16">
                  <c:v>52.596392299999998</c:v>
                </c:pt>
                <c:pt idx="17">
                  <c:v>53.2987599</c:v>
                </c:pt>
                <c:pt idx="18">
                  <c:v>54.001127400000001</c:v>
                </c:pt>
                <c:pt idx="19">
                  <c:v>54.703494900000003</c:v>
                </c:pt>
                <c:pt idx="20">
                  <c:v>55.405862499999998</c:v>
                </c:pt>
                <c:pt idx="21">
                  <c:v>55.460653899999997</c:v>
                </c:pt>
                <c:pt idx="22">
                  <c:v>55.515445300000003</c:v>
                </c:pt>
                <c:pt idx="23">
                  <c:v>55.570236800000004</c:v>
                </c:pt>
                <c:pt idx="24">
                  <c:v>55.625028200000003</c:v>
                </c:pt>
                <c:pt idx="25">
                  <c:v>55.679819600000002</c:v>
                </c:pt>
                <c:pt idx="26">
                  <c:v>55.735061999999999</c:v>
                </c:pt>
                <c:pt idx="27">
                  <c:v>55.790304399999997</c:v>
                </c:pt>
                <c:pt idx="28">
                  <c:v>55.845546800000001</c:v>
                </c:pt>
                <c:pt idx="29">
                  <c:v>55.900789199999998</c:v>
                </c:pt>
                <c:pt idx="30">
                  <c:v>55.956031600000003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4-4E20-8AF0-C169E17FE38A}"/>
            </c:ext>
          </c:extLst>
        </c:ser>
        <c:ser>
          <c:idx val="1"/>
          <c:order val="1"/>
          <c:tx>
            <c:strRef>
              <c:f>'Data to work with'!$AH$3</c:f>
              <c:strCache>
                <c:ptCount val="1"/>
                <c:pt idx="0">
                  <c:v>Cuba</c:v>
                </c:pt>
              </c:strCache>
            </c:strRef>
          </c:tx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with'!$AI$3:$BM$3</c:f>
              <c:numCache>
                <c:formatCode>General</c:formatCode>
                <c:ptCount val="31"/>
                <c:pt idx="0">
                  <c:v>19.162011199999998</c:v>
                </c:pt>
                <c:pt idx="1">
                  <c:v>19.5130354</c:v>
                </c:pt>
                <c:pt idx="2">
                  <c:v>19.864059600000001</c:v>
                </c:pt>
                <c:pt idx="3">
                  <c:v>20.215083799999999</c:v>
                </c:pt>
                <c:pt idx="4">
                  <c:v>20.566108</c:v>
                </c:pt>
                <c:pt idx="5">
                  <c:v>20.917132200000001</c:v>
                </c:pt>
                <c:pt idx="6">
                  <c:v>21.268156399999999</c:v>
                </c:pt>
                <c:pt idx="7">
                  <c:v>21.6191806</c:v>
                </c:pt>
                <c:pt idx="8">
                  <c:v>21.970204800000001</c:v>
                </c:pt>
                <c:pt idx="9">
                  <c:v>22.3212291</c:v>
                </c:pt>
                <c:pt idx="10">
                  <c:v>22.672253300000001</c:v>
                </c:pt>
                <c:pt idx="11">
                  <c:v>23.1350093</c:v>
                </c:pt>
                <c:pt idx="12">
                  <c:v>23.821787799999999</c:v>
                </c:pt>
                <c:pt idx="13">
                  <c:v>24.2866541</c:v>
                </c:pt>
                <c:pt idx="14">
                  <c:v>24.7514331</c:v>
                </c:pt>
                <c:pt idx="15">
                  <c:v>25.211386699999998</c:v>
                </c:pt>
                <c:pt idx="16">
                  <c:v>25.680729100000001</c:v>
                </c:pt>
                <c:pt idx="17">
                  <c:v>26.145246100000001</c:v>
                </c:pt>
                <c:pt idx="18">
                  <c:v>26.6121759</c:v>
                </c:pt>
                <c:pt idx="19">
                  <c:v>27.079105599999998</c:v>
                </c:pt>
                <c:pt idx="20">
                  <c:v>27.5460353</c:v>
                </c:pt>
                <c:pt idx="21">
                  <c:v>27.9086307</c:v>
                </c:pt>
                <c:pt idx="22">
                  <c:v>28.437209899999999</c:v>
                </c:pt>
                <c:pt idx="23">
                  <c:v>29.5835732</c:v>
                </c:pt>
                <c:pt idx="24">
                  <c:v>30.124976</c:v>
                </c:pt>
                <c:pt idx="25">
                  <c:v>30.585975000000001</c:v>
                </c:pt>
                <c:pt idx="26">
                  <c:v>31.151480200000002</c:v>
                </c:pt>
                <c:pt idx="27">
                  <c:v>31.2331407</c:v>
                </c:pt>
                <c:pt idx="28">
                  <c:v>31.2331407</c:v>
                </c:pt>
                <c:pt idx="29">
                  <c:v>31.2331407</c:v>
                </c:pt>
                <c:pt idx="30">
                  <c:v>31.2331407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4-4E20-8AF0-C169E17FE38A}"/>
            </c:ext>
          </c:extLst>
        </c:ser>
        <c:ser>
          <c:idx val="2"/>
          <c:order val="2"/>
          <c:tx>
            <c:strRef>
              <c:f>'Data to work with'!$AH$4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with'!$AI$4:$BM$4</c:f>
              <c:numCache>
                <c:formatCode>General</c:formatCode>
                <c:ptCount val="31"/>
                <c:pt idx="0">
                  <c:v>33.013661800000001</c:v>
                </c:pt>
                <c:pt idx="1">
                  <c:v>33.795239100000003</c:v>
                </c:pt>
                <c:pt idx="2">
                  <c:v>34.576816399999998</c:v>
                </c:pt>
                <c:pt idx="3">
                  <c:v>35.358393700000001</c:v>
                </c:pt>
                <c:pt idx="4">
                  <c:v>36.139971000000003</c:v>
                </c:pt>
                <c:pt idx="5">
                  <c:v>36.921548299999998</c:v>
                </c:pt>
                <c:pt idx="6">
                  <c:v>37.7031256</c:v>
                </c:pt>
                <c:pt idx="7">
                  <c:v>38.484703000000003</c:v>
                </c:pt>
                <c:pt idx="8">
                  <c:v>39.266280299999998</c:v>
                </c:pt>
                <c:pt idx="9">
                  <c:v>40.0478576</c:v>
                </c:pt>
                <c:pt idx="10">
                  <c:v>40.829434900000003</c:v>
                </c:pt>
                <c:pt idx="11">
                  <c:v>41.037776899999997</c:v>
                </c:pt>
                <c:pt idx="12">
                  <c:v>41.246118799999998</c:v>
                </c:pt>
                <c:pt idx="13">
                  <c:v>41.4544608</c:v>
                </c:pt>
                <c:pt idx="14">
                  <c:v>41.6628027</c:v>
                </c:pt>
                <c:pt idx="15">
                  <c:v>41.871144700000002</c:v>
                </c:pt>
                <c:pt idx="16">
                  <c:v>42.079486600000003</c:v>
                </c:pt>
                <c:pt idx="17">
                  <c:v>42.287828599999997</c:v>
                </c:pt>
                <c:pt idx="18">
                  <c:v>42.496170599999999</c:v>
                </c:pt>
                <c:pt idx="19">
                  <c:v>42.7045125</c:v>
                </c:pt>
                <c:pt idx="20">
                  <c:v>42.912854500000002</c:v>
                </c:pt>
                <c:pt idx="21">
                  <c:v>43.039246499999997</c:v>
                </c:pt>
                <c:pt idx="22">
                  <c:v>43.165638600000001</c:v>
                </c:pt>
                <c:pt idx="23">
                  <c:v>43.292030599999997</c:v>
                </c:pt>
                <c:pt idx="24">
                  <c:v>43.418422700000001</c:v>
                </c:pt>
                <c:pt idx="25">
                  <c:v>43.544814700000003</c:v>
                </c:pt>
                <c:pt idx="26">
                  <c:v>43.712274899999997</c:v>
                </c:pt>
                <c:pt idx="27">
                  <c:v>43.879734999999997</c:v>
                </c:pt>
                <c:pt idx="28">
                  <c:v>44.047195199999997</c:v>
                </c:pt>
                <c:pt idx="29">
                  <c:v>44.214655399999998</c:v>
                </c:pt>
                <c:pt idx="30">
                  <c:v>44.382115499999998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4-4E20-8AF0-C169E17FE38A}"/>
            </c:ext>
          </c:extLst>
        </c:ser>
        <c:ser>
          <c:idx val="3"/>
          <c:order val="3"/>
          <c:tx>
            <c:strRef>
              <c:f>'Data to work with'!$AH$5</c:f>
              <c:strCache>
                <c:ptCount val="1"/>
                <c:pt idx="0">
                  <c:v>Fiji</c:v>
                </c:pt>
              </c:strCache>
            </c:strRef>
          </c:tx>
          <c:spPr>
            <a:ln cmpd="sng">
              <a:solidFill>
                <a:srgbClr val="134F5C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with'!$AI$5:$BM$5</c:f>
              <c:numCache>
                <c:formatCode>General</c:formatCode>
                <c:ptCount val="31"/>
                <c:pt idx="0">
                  <c:v>51.433497500000001</c:v>
                </c:pt>
                <c:pt idx="1">
                  <c:v>51.799014800000002</c:v>
                </c:pt>
                <c:pt idx="2">
                  <c:v>52.164532000000001</c:v>
                </c:pt>
                <c:pt idx="3">
                  <c:v>52.530049300000002</c:v>
                </c:pt>
                <c:pt idx="4">
                  <c:v>52.895566500000001</c:v>
                </c:pt>
                <c:pt idx="5">
                  <c:v>53.2610837</c:v>
                </c:pt>
                <c:pt idx="6">
                  <c:v>53.626601000000001</c:v>
                </c:pt>
                <c:pt idx="7">
                  <c:v>53.9921182</c:v>
                </c:pt>
                <c:pt idx="8">
                  <c:v>54.357635500000001</c:v>
                </c:pt>
                <c:pt idx="9">
                  <c:v>54.7231527</c:v>
                </c:pt>
                <c:pt idx="10">
                  <c:v>55.08867</c:v>
                </c:pt>
                <c:pt idx="11">
                  <c:v>55.4541325</c:v>
                </c:pt>
                <c:pt idx="12">
                  <c:v>55.819595</c:v>
                </c:pt>
                <c:pt idx="13">
                  <c:v>56.185057499999999</c:v>
                </c:pt>
                <c:pt idx="14">
                  <c:v>56.550519999999999</c:v>
                </c:pt>
                <c:pt idx="15">
                  <c:v>56.915982499999998</c:v>
                </c:pt>
                <c:pt idx="16">
                  <c:v>57.281444999999998</c:v>
                </c:pt>
                <c:pt idx="17">
                  <c:v>57.646907499999998</c:v>
                </c:pt>
                <c:pt idx="18">
                  <c:v>58.012369999999997</c:v>
                </c:pt>
                <c:pt idx="19">
                  <c:v>58.377832499999997</c:v>
                </c:pt>
                <c:pt idx="20">
                  <c:v>58.743295000000003</c:v>
                </c:pt>
                <c:pt idx="21">
                  <c:v>59.108702800000003</c:v>
                </c:pt>
                <c:pt idx="22">
                  <c:v>59.474110600000003</c:v>
                </c:pt>
                <c:pt idx="23">
                  <c:v>59.839518300000002</c:v>
                </c:pt>
                <c:pt idx="24">
                  <c:v>60.204926100000002</c:v>
                </c:pt>
                <c:pt idx="25">
                  <c:v>60.570333900000001</c:v>
                </c:pt>
                <c:pt idx="26">
                  <c:v>60.935960600000001</c:v>
                </c:pt>
                <c:pt idx="27">
                  <c:v>61.301587300000001</c:v>
                </c:pt>
                <c:pt idx="28">
                  <c:v>61.667214000000001</c:v>
                </c:pt>
                <c:pt idx="29">
                  <c:v>62.032840700000001</c:v>
                </c:pt>
                <c:pt idx="30">
                  <c:v>62.398467400000001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4-4E20-8AF0-C169E17FE38A}"/>
            </c:ext>
          </c:extLst>
        </c:ser>
        <c:ser>
          <c:idx val="4"/>
          <c:order val="4"/>
          <c:tx>
            <c:strRef>
              <c:f>'Data to work with'!$AH$6</c:f>
              <c:strCache>
                <c:ptCount val="1"/>
                <c:pt idx="0">
                  <c:v>Cabo Verde</c:v>
                </c:pt>
              </c:strCache>
            </c:strRef>
          </c:tx>
          <c:spPr>
            <a:ln cmpd="sng">
              <a:solidFill>
                <a:srgbClr val="20124D">
                  <a:alpha val="100000"/>
                </a:srgbClr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20124D">
                  <a:alpha val="100000"/>
                </a:srgbClr>
              </a:solidFill>
              <a:ln cmpd="sng">
                <a:solidFill>
                  <a:srgbClr val="20124D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with'!$AI$6:$BM$6</c:f>
              <c:numCache>
                <c:formatCode>General</c:formatCode>
                <c:ptCount val="31"/>
                <c:pt idx="0">
                  <c:v>3.81637717</c:v>
                </c:pt>
                <c:pt idx="1">
                  <c:v>4.4203473899999999</c:v>
                </c:pt>
                <c:pt idx="2">
                  <c:v>5.0243176199999997</c:v>
                </c:pt>
                <c:pt idx="3">
                  <c:v>5.6282878399999996</c:v>
                </c:pt>
                <c:pt idx="4">
                  <c:v>6.2322580600000004</c:v>
                </c:pt>
                <c:pt idx="5">
                  <c:v>6.8362282900000002</c:v>
                </c:pt>
                <c:pt idx="6">
                  <c:v>7.4401985100000001</c:v>
                </c:pt>
                <c:pt idx="7">
                  <c:v>8.0441687300000009</c:v>
                </c:pt>
                <c:pt idx="8">
                  <c:v>8.6481389600000007</c:v>
                </c:pt>
                <c:pt idx="9">
                  <c:v>9.2521091799999997</c:v>
                </c:pt>
                <c:pt idx="10">
                  <c:v>9.8560794000000005</c:v>
                </c:pt>
                <c:pt idx="11">
                  <c:v>9.9305210899999992</c:v>
                </c:pt>
                <c:pt idx="12">
                  <c:v>10.004962799999999</c:v>
                </c:pt>
                <c:pt idx="13">
                  <c:v>10.079404500000001</c:v>
                </c:pt>
                <c:pt idx="14">
                  <c:v>10.1538462</c:v>
                </c:pt>
                <c:pt idx="15">
                  <c:v>10.2282878</c:v>
                </c:pt>
                <c:pt idx="16">
                  <c:v>10.3027295</c:v>
                </c:pt>
                <c:pt idx="17">
                  <c:v>10.377171199999999</c:v>
                </c:pt>
                <c:pt idx="18">
                  <c:v>10.451612900000001</c:v>
                </c:pt>
                <c:pt idx="19">
                  <c:v>10.5260546</c:v>
                </c:pt>
                <c:pt idx="20">
                  <c:v>10.6004963</c:v>
                </c:pt>
                <c:pt idx="21">
                  <c:v>10.674937999999999</c:v>
                </c:pt>
                <c:pt idx="22">
                  <c:v>10.7493797</c:v>
                </c:pt>
                <c:pt idx="23">
                  <c:v>10.823821300000001</c:v>
                </c:pt>
                <c:pt idx="24">
                  <c:v>10.898263</c:v>
                </c:pt>
                <c:pt idx="25">
                  <c:v>10.9727047</c:v>
                </c:pt>
                <c:pt idx="26">
                  <c:v>11.047146400000001</c:v>
                </c:pt>
                <c:pt idx="27">
                  <c:v>11.1215881</c:v>
                </c:pt>
                <c:pt idx="28">
                  <c:v>11.1960298</c:v>
                </c:pt>
                <c:pt idx="29">
                  <c:v>11.270471499999999</c:v>
                </c:pt>
                <c:pt idx="30">
                  <c:v>11.344913200000001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4-4E20-8AF0-C169E17FE38A}"/>
            </c:ext>
          </c:extLst>
        </c:ser>
        <c:ser>
          <c:idx val="5"/>
          <c:order val="5"/>
          <c:tx>
            <c:strRef>
              <c:f>'Data to work with'!$AH$7</c:f>
              <c:strCache>
                <c:ptCount val="1"/>
                <c:pt idx="0">
                  <c:v>Guam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with'!$AI$7:$BM$7</c:f>
              <c:numCache>
                <c:formatCode>General</c:formatCode>
                <c:ptCount val="31"/>
                <c:pt idx="0">
                  <c:v>44.444444400000002</c:v>
                </c:pt>
                <c:pt idx="1">
                  <c:v>44.444444400000002</c:v>
                </c:pt>
                <c:pt idx="2">
                  <c:v>44.444444400000002</c:v>
                </c:pt>
                <c:pt idx="3">
                  <c:v>44.444444400000002</c:v>
                </c:pt>
                <c:pt idx="4">
                  <c:v>44.444444400000002</c:v>
                </c:pt>
                <c:pt idx="5">
                  <c:v>44.444444400000002</c:v>
                </c:pt>
                <c:pt idx="6">
                  <c:v>44.444444400000002</c:v>
                </c:pt>
                <c:pt idx="7">
                  <c:v>44.444444400000002</c:v>
                </c:pt>
                <c:pt idx="8">
                  <c:v>44.444444400000002</c:v>
                </c:pt>
                <c:pt idx="9">
                  <c:v>44.444444400000002</c:v>
                </c:pt>
                <c:pt idx="10">
                  <c:v>44.444444400000002</c:v>
                </c:pt>
                <c:pt idx="11">
                  <c:v>44.444444400000002</c:v>
                </c:pt>
                <c:pt idx="12">
                  <c:v>44.444444400000002</c:v>
                </c:pt>
                <c:pt idx="13">
                  <c:v>44.444444400000002</c:v>
                </c:pt>
                <c:pt idx="14">
                  <c:v>44.444444400000002</c:v>
                </c:pt>
                <c:pt idx="15">
                  <c:v>44.444444400000002</c:v>
                </c:pt>
                <c:pt idx="16">
                  <c:v>44.444444400000002</c:v>
                </c:pt>
                <c:pt idx="17">
                  <c:v>44.444444400000002</c:v>
                </c:pt>
                <c:pt idx="18">
                  <c:v>44.444444400000002</c:v>
                </c:pt>
                <c:pt idx="19">
                  <c:v>44.444444400000002</c:v>
                </c:pt>
                <c:pt idx="20">
                  <c:v>44.444444400000002</c:v>
                </c:pt>
                <c:pt idx="21">
                  <c:v>44.814814800000001</c:v>
                </c:pt>
                <c:pt idx="22">
                  <c:v>45.185185199999999</c:v>
                </c:pt>
                <c:pt idx="23">
                  <c:v>45.555555599999998</c:v>
                </c:pt>
                <c:pt idx="24">
                  <c:v>45.925925900000003</c:v>
                </c:pt>
                <c:pt idx="25">
                  <c:v>46.296296300000002</c:v>
                </c:pt>
                <c:pt idx="26">
                  <c:v>51.8518519</c:v>
                </c:pt>
                <c:pt idx="27">
                  <c:v>51.8518519</c:v>
                </c:pt>
                <c:pt idx="28">
                  <c:v>51.8518519</c:v>
                </c:pt>
                <c:pt idx="29">
                  <c:v>51.8518519</c:v>
                </c:pt>
                <c:pt idx="30">
                  <c:v>51.8518519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4-4E20-8AF0-C169E17FE38A}"/>
            </c:ext>
          </c:extLst>
        </c:ser>
        <c:ser>
          <c:idx val="6"/>
          <c:order val="6"/>
          <c:tx>
            <c:strRef>
              <c:f>'Data to work with'!$AH$8</c:f>
              <c:strCache>
                <c:ptCount val="1"/>
                <c:pt idx="0">
                  <c:v>Uruguay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10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with'!$AI$8:$BM$8</c:f>
              <c:numCache>
                <c:formatCode>General</c:formatCode>
                <c:ptCount val="31"/>
                <c:pt idx="0">
                  <c:v>4.5594789200000001</c:v>
                </c:pt>
                <c:pt idx="1">
                  <c:v>4.8857273499999998</c:v>
                </c:pt>
                <c:pt idx="2">
                  <c:v>5.2119757699999996</c:v>
                </c:pt>
                <c:pt idx="3">
                  <c:v>5.5382242000000002</c:v>
                </c:pt>
                <c:pt idx="4">
                  <c:v>5.8644726299999999</c:v>
                </c:pt>
                <c:pt idx="5">
                  <c:v>6.1907210600000004</c:v>
                </c:pt>
                <c:pt idx="6">
                  <c:v>6.5169694900000001</c:v>
                </c:pt>
                <c:pt idx="7">
                  <c:v>6.8432179199999998</c:v>
                </c:pt>
                <c:pt idx="8">
                  <c:v>7.1694663500000004</c:v>
                </c:pt>
                <c:pt idx="9">
                  <c:v>7.4957147800000001</c:v>
                </c:pt>
                <c:pt idx="10">
                  <c:v>7.8219631999999999</c:v>
                </c:pt>
                <c:pt idx="11">
                  <c:v>8.02896812</c:v>
                </c:pt>
                <c:pt idx="12">
                  <c:v>8.2359730300000003</c:v>
                </c:pt>
                <c:pt idx="13">
                  <c:v>8.4429779499999995</c:v>
                </c:pt>
                <c:pt idx="14">
                  <c:v>8.6499828599999997</c:v>
                </c:pt>
                <c:pt idx="15">
                  <c:v>8.8569877699999999</c:v>
                </c:pt>
                <c:pt idx="16">
                  <c:v>9.0639926899999992</c:v>
                </c:pt>
                <c:pt idx="17">
                  <c:v>9.2709975999999994</c:v>
                </c:pt>
                <c:pt idx="18">
                  <c:v>9.4780025099999996</c:v>
                </c:pt>
                <c:pt idx="19">
                  <c:v>9.6850074300000006</c:v>
                </c:pt>
                <c:pt idx="20">
                  <c:v>9.8920123400000008</c:v>
                </c:pt>
                <c:pt idx="21">
                  <c:v>10.107644799999999</c:v>
                </c:pt>
                <c:pt idx="22">
                  <c:v>10.323277300000001</c:v>
                </c:pt>
                <c:pt idx="23">
                  <c:v>10.538909800000001</c:v>
                </c:pt>
                <c:pt idx="24">
                  <c:v>10.754542300000001</c:v>
                </c:pt>
                <c:pt idx="25">
                  <c:v>10.970174800000001</c:v>
                </c:pt>
                <c:pt idx="26">
                  <c:v>11.1244429</c:v>
                </c:pt>
                <c:pt idx="27">
                  <c:v>11.244429200000001</c:v>
                </c:pt>
                <c:pt idx="28">
                  <c:v>11.3644155</c:v>
                </c:pt>
                <c:pt idx="29">
                  <c:v>11.484401800000001</c:v>
                </c:pt>
                <c:pt idx="30">
                  <c:v>11.6043881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4-4E20-8AF0-C169E17FE38A}"/>
            </c:ext>
          </c:extLst>
        </c:ser>
        <c:ser>
          <c:idx val="7"/>
          <c:order val="7"/>
          <c:tx>
            <c:strRef>
              <c:f>'Data to work with'!$AH$9</c:f>
              <c:strCache>
                <c:ptCount val="1"/>
                <c:pt idx="0">
                  <c:v>St. Martin (French part)</c:v>
                </c:pt>
              </c:strCache>
            </c:strRef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3C78D8">
                  <a:alpha val="100000"/>
                </a:srgbClr>
              </a:solidFill>
              <a:ln cmpd="sng">
                <a:solidFill>
                  <a:srgbClr val="3C78D8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with'!$AI$9:$BM$9</c:f>
              <c:numCache>
                <c:formatCode>General</c:formatCode>
                <c:ptCount val="31"/>
                <c:pt idx="0">
                  <c:v>18.382352900000001</c:v>
                </c:pt>
                <c:pt idx="1">
                  <c:v>18.382352900000001</c:v>
                </c:pt>
                <c:pt idx="2">
                  <c:v>18.382352900000001</c:v>
                </c:pt>
                <c:pt idx="3">
                  <c:v>18.382352900000001</c:v>
                </c:pt>
                <c:pt idx="4">
                  <c:v>18.382352900000001</c:v>
                </c:pt>
                <c:pt idx="5">
                  <c:v>18.382352900000001</c:v>
                </c:pt>
                <c:pt idx="6">
                  <c:v>18.382352900000001</c:v>
                </c:pt>
                <c:pt idx="7">
                  <c:v>18.382352900000001</c:v>
                </c:pt>
                <c:pt idx="8">
                  <c:v>18.382352900000001</c:v>
                </c:pt>
                <c:pt idx="9">
                  <c:v>18.382352900000001</c:v>
                </c:pt>
                <c:pt idx="10">
                  <c:v>22.7941176</c:v>
                </c:pt>
                <c:pt idx="11">
                  <c:v>18.382352900000001</c:v>
                </c:pt>
                <c:pt idx="12">
                  <c:v>18.382352900000001</c:v>
                </c:pt>
                <c:pt idx="13">
                  <c:v>18.382352900000001</c:v>
                </c:pt>
                <c:pt idx="14">
                  <c:v>18.382352900000001</c:v>
                </c:pt>
                <c:pt idx="15">
                  <c:v>18.382352900000001</c:v>
                </c:pt>
                <c:pt idx="16">
                  <c:v>18.382352900000001</c:v>
                </c:pt>
                <c:pt idx="17">
                  <c:v>18.382352900000001</c:v>
                </c:pt>
                <c:pt idx="18">
                  <c:v>18.382352900000001</c:v>
                </c:pt>
                <c:pt idx="19">
                  <c:v>18.382352900000001</c:v>
                </c:pt>
                <c:pt idx="20">
                  <c:v>22.7941176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24.8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4-4E20-8AF0-C169E17FE38A}"/>
            </c:ext>
          </c:extLst>
        </c:ser>
        <c:ser>
          <c:idx val="8"/>
          <c:order val="8"/>
          <c:tx>
            <c:strRef>
              <c:f>'Data to work with'!$AH$10</c:f>
              <c:strCache>
                <c:ptCount val="1"/>
                <c:pt idx="0">
                  <c:v>Belarus</c:v>
                </c:pt>
              </c:strCache>
            </c:strRef>
          </c:tx>
          <c:spPr>
            <a:ln cmpd="sng">
              <a:solidFill>
                <a:srgbClr val="1155CC">
                  <a:alpha val="100000"/>
                </a:srgbClr>
              </a:solidFill>
              <a:prstDash val="dashDot"/>
            </a:ln>
          </c:spPr>
          <c:marker>
            <c:symbol val="circle"/>
            <c:size val="10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with'!$AI$10:$BM$10</c:f>
              <c:numCache>
                <c:formatCode>General</c:formatCode>
                <c:ptCount val="31"/>
                <c:pt idx="0">
                  <c:v>38.355353999999998</c:v>
                </c:pt>
                <c:pt idx="1">
                  <c:v>38.841451399999997</c:v>
                </c:pt>
                <c:pt idx="2">
                  <c:v>38.841451399999997</c:v>
                </c:pt>
                <c:pt idx="3">
                  <c:v>39.0845001</c:v>
                </c:pt>
                <c:pt idx="4">
                  <c:v>39.327548800000002</c:v>
                </c:pt>
                <c:pt idx="5">
                  <c:v>39.570597499999998</c:v>
                </c:pt>
                <c:pt idx="6">
                  <c:v>39.813646200000001</c:v>
                </c:pt>
                <c:pt idx="7">
                  <c:v>40.056694899999997</c:v>
                </c:pt>
                <c:pt idx="8">
                  <c:v>40.299743599999999</c:v>
                </c:pt>
                <c:pt idx="9">
                  <c:v>40.542792300000002</c:v>
                </c:pt>
                <c:pt idx="10">
                  <c:v>40.785841099999999</c:v>
                </c:pt>
                <c:pt idx="11">
                  <c:v>40.961841800000002</c:v>
                </c:pt>
                <c:pt idx="12">
                  <c:v>41.139870799999997</c:v>
                </c:pt>
                <c:pt idx="13">
                  <c:v>41.315880300000003</c:v>
                </c:pt>
                <c:pt idx="14">
                  <c:v>41.495981499999999</c:v>
                </c:pt>
                <c:pt idx="15">
                  <c:v>41.667899200000001</c:v>
                </c:pt>
                <c:pt idx="16">
                  <c:v>41.829472600000003</c:v>
                </c:pt>
                <c:pt idx="17">
                  <c:v>42.005421400000003</c:v>
                </c:pt>
                <c:pt idx="18">
                  <c:v>42.181370100000002</c:v>
                </c:pt>
                <c:pt idx="19">
                  <c:v>42.374026200000003</c:v>
                </c:pt>
                <c:pt idx="20">
                  <c:v>42.533267600000002</c:v>
                </c:pt>
                <c:pt idx="21">
                  <c:v>42.534621299999998</c:v>
                </c:pt>
                <c:pt idx="22">
                  <c:v>42.538071100000003</c:v>
                </c:pt>
                <c:pt idx="23">
                  <c:v>42.541940199999999</c:v>
                </c:pt>
                <c:pt idx="24">
                  <c:v>42.531765300000004</c:v>
                </c:pt>
                <c:pt idx="25">
                  <c:v>42.534166300000003</c:v>
                </c:pt>
                <c:pt idx="26">
                  <c:v>42.9069699</c:v>
                </c:pt>
                <c:pt idx="27">
                  <c:v>42.9779792</c:v>
                </c:pt>
                <c:pt idx="28">
                  <c:v>43.051532199999997</c:v>
                </c:pt>
                <c:pt idx="29">
                  <c:v>43.122967799999998</c:v>
                </c:pt>
                <c:pt idx="30">
                  <c:v>43.194403399999999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64-4E20-8AF0-C169E17FE38A}"/>
            </c:ext>
          </c:extLst>
        </c:ser>
        <c:ser>
          <c:idx val="9"/>
          <c:order val="9"/>
          <c:tx>
            <c:strRef>
              <c:f>'Data to work with'!$AH$11</c:f>
              <c:strCache>
                <c:ptCount val="1"/>
                <c:pt idx="0">
                  <c:v>Greece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circle"/>
            <c:size val="10"/>
            <c:spPr>
              <a:solidFill>
                <a:srgbClr val="71C287"/>
              </a:solidFill>
              <a:ln cmpd="sng">
                <a:solidFill>
                  <a:srgbClr val="71C287"/>
                </a:solidFill>
              </a:ln>
            </c:spPr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with'!$AI$11:$BM$11</c:f>
              <c:numCache>
                <c:formatCode>General</c:formatCode>
                <c:ptCount val="31"/>
                <c:pt idx="0">
                  <c:v>25.59</c:v>
                </c:pt>
                <c:pt idx="1">
                  <c:v>25.824041099999999</c:v>
                </c:pt>
                <c:pt idx="2">
                  <c:v>26.0580815</c:v>
                </c:pt>
                <c:pt idx="3">
                  <c:v>26.292122599999999</c:v>
                </c:pt>
                <c:pt idx="4">
                  <c:v>26.526162899999999</c:v>
                </c:pt>
                <c:pt idx="5">
                  <c:v>26.760204000000002</c:v>
                </c:pt>
                <c:pt idx="6">
                  <c:v>26.994245200000002</c:v>
                </c:pt>
                <c:pt idx="7">
                  <c:v>27.228285499999998</c:v>
                </c:pt>
                <c:pt idx="8">
                  <c:v>27.462326600000001</c:v>
                </c:pt>
                <c:pt idx="9">
                  <c:v>27.696366999999999</c:v>
                </c:pt>
                <c:pt idx="10">
                  <c:v>27.930408100000001</c:v>
                </c:pt>
                <c:pt idx="11">
                  <c:v>28.164366999999999</c:v>
                </c:pt>
                <c:pt idx="12">
                  <c:v>28.398326600000001</c:v>
                </c:pt>
                <c:pt idx="13">
                  <c:v>28.632285499999998</c:v>
                </c:pt>
                <c:pt idx="14">
                  <c:v>28.866245200000002</c:v>
                </c:pt>
                <c:pt idx="15">
                  <c:v>29.100204000000002</c:v>
                </c:pt>
                <c:pt idx="16">
                  <c:v>29.334162899999999</c:v>
                </c:pt>
                <c:pt idx="17">
                  <c:v>29.568122599999999</c:v>
                </c:pt>
                <c:pt idx="18">
                  <c:v>29.8020815</c:v>
                </c:pt>
                <c:pt idx="19">
                  <c:v>30.036041099999998</c:v>
                </c:pt>
                <c:pt idx="20">
                  <c:v>30.27</c:v>
                </c:pt>
                <c:pt idx="21">
                  <c:v>30.27</c:v>
                </c:pt>
                <c:pt idx="22">
                  <c:v>30.27</c:v>
                </c:pt>
                <c:pt idx="23">
                  <c:v>30.27</c:v>
                </c:pt>
                <c:pt idx="24">
                  <c:v>30.27</c:v>
                </c:pt>
                <c:pt idx="25">
                  <c:v>30.27</c:v>
                </c:pt>
                <c:pt idx="26">
                  <c:v>30.269976700000001</c:v>
                </c:pt>
                <c:pt idx="27">
                  <c:v>30.269976700000001</c:v>
                </c:pt>
                <c:pt idx="28">
                  <c:v>30.269976700000001</c:v>
                </c:pt>
                <c:pt idx="29">
                  <c:v>30.269976700000001</c:v>
                </c:pt>
                <c:pt idx="30">
                  <c:v>30.269976700000001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4-4E20-8AF0-C169E17F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949461"/>
        <c:axId val="464095346"/>
      </c:lineChart>
      <c:catAx>
        <c:axId val="1667949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64095346"/>
        <c:crosses val="autoZero"/>
        <c:auto val="1"/>
        <c:lblAlgn val="ctr"/>
        <c:lblOffset val="100"/>
        <c:noMultiLvlLbl val="1"/>
      </c:catAx>
      <c:valAx>
        <c:axId val="464095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6794946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'Data to work with'!$AH$2</c:f>
              <c:strCache>
                <c:ptCount val="1"/>
                <c:pt idx="0">
                  <c:v>Puerto Rico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with'!$AI$2:$BM$2</c:f>
              <c:numCache>
                <c:formatCode>General</c:formatCode>
                <c:ptCount val="31"/>
                <c:pt idx="0">
                  <c:v>36.113866999999999</c:v>
                </c:pt>
                <c:pt idx="1">
                  <c:v>37.340699000000001</c:v>
                </c:pt>
                <c:pt idx="2">
                  <c:v>38.567531000000002</c:v>
                </c:pt>
                <c:pt idx="3">
                  <c:v>39.794362999999997</c:v>
                </c:pt>
                <c:pt idx="4">
                  <c:v>41.021194999999999</c:v>
                </c:pt>
                <c:pt idx="5">
                  <c:v>42.248027100000002</c:v>
                </c:pt>
                <c:pt idx="6">
                  <c:v>43.474859100000003</c:v>
                </c:pt>
                <c:pt idx="7">
                  <c:v>44.701691099999998</c:v>
                </c:pt>
                <c:pt idx="8">
                  <c:v>45.9285231</c:v>
                </c:pt>
                <c:pt idx="9">
                  <c:v>47.155355100000001</c:v>
                </c:pt>
                <c:pt idx="10">
                  <c:v>48.382187100000003</c:v>
                </c:pt>
                <c:pt idx="11">
                  <c:v>49.084554699999998</c:v>
                </c:pt>
                <c:pt idx="12">
                  <c:v>49.786922199999999</c:v>
                </c:pt>
                <c:pt idx="13">
                  <c:v>50.4892897</c:v>
                </c:pt>
                <c:pt idx="14">
                  <c:v>51.191657300000003</c:v>
                </c:pt>
                <c:pt idx="15">
                  <c:v>51.894024799999997</c:v>
                </c:pt>
                <c:pt idx="16">
                  <c:v>52.596392299999998</c:v>
                </c:pt>
                <c:pt idx="17">
                  <c:v>53.2987599</c:v>
                </c:pt>
                <c:pt idx="18">
                  <c:v>54.001127400000001</c:v>
                </c:pt>
                <c:pt idx="19">
                  <c:v>54.703494900000003</c:v>
                </c:pt>
                <c:pt idx="20">
                  <c:v>55.405862499999998</c:v>
                </c:pt>
                <c:pt idx="21">
                  <c:v>55.460653899999997</c:v>
                </c:pt>
                <c:pt idx="22">
                  <c:v>55.515445300000003</c:v>
                </c:pt>
                <c:pt idx="23">
                  <c:v>55.570236800000004</c:v>
                </c:pt>
                <c:pt idx="24">
                  <c:v>55.625028200000003</c:v>
                </c:pt>
                <c:pt idx="25">
                  <c:v>55.679819600000002</c:v>
                </c:pt>
                <c:pt idx="26">
                  <c:v>55.735061999999999</c:v>
                </c:pt>
                <c:pt idx="27">
                  <c:v>55.790304399999997</c:v>
                </c:pt>
                <c:pt idx="28">
                  <c:v>55.845546800000001</c:v>
                </c:pt>
                <c:pt idx="29">
                  <c:v>55.900789199999998</c:v>
                </c:pt>
                <c:pt idx="30">
                  <c:v>55.956031600000003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2-4232-BFC5-ECEA7C32B871}"/>
            </c:ext>
          </c:extLst>
        </c:ser>
        <c:ser>
          <c:idx val="1"/>
          <c:order val="1"/>
          <c:tx>
            <c:strRef>
              <c:f>'Data to work with'!$AH$3</c:f>
              <c:strCache>
                <c:ptCount val="1"/>
                <c:pt idx="0">
                  <c:v>Cuba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with'!$AI$3:$BM$3</c:f>
              <c:numCache>
                <c:formatCode>General</c:formatCode>
                <c:ptCount val="31"/>
                <c:pt idx="0">
                  <c:v>19.162011199999998</c:v>
                </c:pt>
                <c:pt idx="1">
                  <c:v>19.5130354</c:v>
                </c:pt>
                <c:pt idx="2">
                  <c:v>19.864059600000001</c:v>
                </c:pt>
                <c:pt idx="3">
                  <c:v>20.215083799999999</c:v>
                </c:pt>
                <c:pt idx="4">
                  <c:v>20.566108</c:v>
                </c:pt>
                <c:pt idx="5">
                  <c:v>20.917132200000001</c:v>
                </c:pt>
                <c:pt idx="6">
                  <c:v>21.268156399999999</c:v>
                </c:pt>
                <c:pt idx="7">
                  <c:v>21.6191806</c:v>
                </c:pt>
                <c:pt idx="8">
                  <c:v>21.970204800000001</c:v>
                </c:pt>
                <c:pt idx="9">
                  <c:v>22.3212291</c:v>
                </c:pt>
                <c:pt idx="10">
                  <c:v>22.672253300000001</c:v>
                </c:pt>
                <c:pt idx="11">
                  <c:v>23.1350093</c:v>
                </c:pt>
                <c:pt idx="12">
                  <c:v>23.821787799999999</c:v>
                </c:pt>
                <c:pt idx="13">
                  <c:v>24.2866541</c:v>
                </c:pt>
                <c:pt idx="14">
                  <c:v>24.7514331</c:v>
                </c:pt>
                <c:pt idx="15">
                  <c:v>25.211386699999998</c:v>
                </c:pt>
                <c:pt idx="16">
                  <c:v>25.680729100000001</c:v>
                </c:pt>
                <c:pt idx="17">
                  <c:v>26.145246100000001</c:v>
                </c:pt>
                <c:pt idx="18">
                  <c:v>26.6121759</c:v>
                </c:pt>
                <c:pt idx="19">
                  <c:v>27.079105599999998</c:v>
                </c:pt>
                <c:pt idx="20">
                  <c:v>27.5460353</c:v>
                </c:pt>
                <c:pt idx="21">
                  <c:v>27.9086307</c:v>
                </c:pt>
                <c:pt idx="22">
                  <c:v>28.437209899999999</c:v>
                </c:pt>
                <c:pt idx="23">
                  <c:v>29.5835732</c:v>
                </c:pt>
                <c:pt idx="24">
                  <c:v>30.124976</c:v>
                </c:pt>
                <c:pt idx="25">
                  <c:v>30.585975000000001</c:v>
                </c:pt>
                <c:pt idx="26">
                  <c:v>31.151480200000002</c:v>
                </c:pt>
                <c:pt idx="27">
                  <c:v>31.2331407</c:v>
                </c:pt>
                <c:pt idx="28">
                  <c:v>31.2331407</c:v>
                </c:pt>
                <c:pt idx="29">
                  <c:v>31.2331407</c:v>
                </c:pt>
                <c:pt idx="30">
                  <c:v>31.2331407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2-4232-BFC5-ECEA7C32B871}"/>
            </c:ext>
          </c:extLst>
        </c:ser>
        <c:ser>
          <c:idx val="2"/>
          <c:order val="2"/>
          <c:tx>
            <c:strRef>
              <c:f>'Data to work with'!$AH$4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with'!$AI$4:$BM$4</c:f>
              <c:numCache>
                <c:formatCode>General</c:formatCode>
                <c:ptCount val="31"/>
                <c:pt idx="0">
                  <c:v>33.013661800000001</c:v>
                </c:pt>
                <c:pt idx="1">
                  <c:v>33.795239100000003</c:v>
                </c:pt>
                <c:pt idx="2">
                  <c:v>34.576816399999998</c:v>
                </c:pt>
                <c:pt idx="3">
                  <c:v>35.358393700000001</c:v>
                </c:pt>
                <c:pt idx="4">
                  <c:v>36.139971000000003</c:v>
                </c:pt>
                <c:pt idx="5">
                  <c:v>36.921548299999998</c:v>
                </c:pt>
                <c:pt idx="6">
                  <c:v>37.7031256</c:v>
                </c:pt>
                <c:pt idx="7">
                  <c:v>38.484703000000003</c:v>
                </c:pt>
                <c:pt idx="8">
                  <c:v>39.266280299999998</c:v>
                </c:pt>
                <c:pt idx="9">
                  <c:v>40.0478576</c:v>
                </c:pt>
                <c:pt idx="10">
                  <c:v>40.829434900000003</c:v>
                </c:pt>
                <c:pt idx="11">
                  <c:v>41.037776899999997</c:v>
                </c:pt>
                <c:pt idx="12">
                  <c:v>41.246118799999998</c:v>
                </c:pt>
                <c:pt idx="13">
                  <c:v>41.4544608</c:v>
                </c:pt>
                <c:pt idx="14">
                  <c:v>41.6628027</c:v>
                </c:pt>
                <c:pt idx="15">
                  <c:v>41.871144700000002</c:v>
                </c:pt>
                <c:pt idx="16">
                  <c:v>42.079486600000003</c:v>
                </c:pt>
                <c:pt idx="17">
                  <c:v>42.287828599999997</c:v>
                </c:pt>
                <c:pt idx="18">
                  <c:v>42.496170599999999</c:v>
                </c:pt>
                <c:pt idx="19">
                  <c:v>42.7045125</c:v>
                </c:pt>
                <c:pt idx="20">
                  <c:v>42.912854500000002</c:v>
                </c:pt>
                <c:pt idx="21">
                  <c:v>43.039246499999997</c:v>
                </c:pt>
                <c:pt idx="22">
                  <c:v>43.165638600000001</c:v>
                </c:pt>
                <c:pt idx="23">
                  <c:v>43.292030599999997</c:v>
                </c:pt>
                <c:pt idx="24">
                  <c:v>43.418422700000001</c:v>
                </c:pt>
                <c:pt idx="25">
                  <c:v>43.544814700000003</c:v>
                </c:pt>
                <c:pt idx="26">
                  <c:v>43.712274899999997</c:v>
                </c:pt>
                <c:pt idx="27">
                  <c:v>43.879734999999997</c:v>
                </c:pt>
                <c:pt idx="28">
                  <c:v>44.047195199999997</c:v>
                </c:pt>
                <c:pt idx="29">
                  <c:v>44.214655399999998</c:v>
                </c:pt>
                <c:pt idx="30">
                  <c:v>44.382115499999998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2-4232-BFC5-ECEA7C32B871}"/>
            </c:ext>
          </c:extLst>
        </c:ser>
        <c:ser>
          <c:idx val="3"/>
          <c:order val="3"/>
          <c:tx>
            <c:strRef>
              <c:f>'Data to work with'!$AH$5</c:f>
              <c:strCache>
                <c:ptCount val="1"/>
                <c:pt idx="0">
                  <c:v>Fiji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with'!$AI$5:$BM$5</c:f>
              <c:numCache>
                <c:formatCode>General</c:formatCode>
                <c:ptCount val="31"/>
                <c:pt idx="0">
                  <c:v>51.433497500000001</c:v>
                </c:pt>
                <c:pt idx="1">
                  <c:v>51.799014800000002</c:v>
                </c:pt>
                <c:pt idx="2">
                  <c:v>52.164532000000001</c:v>
                </c:pt>
                <c:pt idx="3">
                  <c:v>52.530049300000002</c:v>
                </c:pt>
                <c:pt idx="4">
                  <c:v>52.895566500000001</c:v>
                </c:pt>
                <c:pt idx="5">
                  <c:v>53.2610837</c:v>
                </c:pt>
                <c:pt idx="6">
                  <c:v>53.626601000000001</c:v>
                </c:pt>
                <c:pt idx="7">
                  <c:v>53.9921182</c:v>
                </c:pt>
                <c:pt idx="8">
                  <c:v>54.357635500000001</c:v>
                </c:pt>
                <c:pt idx="9">
                  <c:v>54.7231527</c:v>
                </c:pt>
                <c:pt idx="10">
                  <c:v>55.08867</c:v>
                </c:pt>
                <c:pt idx="11">
                  <c:v>55.4541325</c:v>
                </c:pt>
                <c:pt idx="12">
                  <c:v>55.819595</c:v>
                </c:pt>
                <c:pt idx="13">
                  <c:v>56.185057499999999</c:v>
                </c:pt>
                <c:pt idx="14">
                  <c:v>56.550519999999999</c:v>
                </c:pt>
                <c:pt idx="15">
                  <c:v>56.915982499999998</c:v>
                </c:pt>
                <c:pt idx="16">
                  <c:v>57.281444999999998</c:v>
                </c:pt>
                <c:pt idx="17">
                  <c:v>57.646907499999998</c:v>
                </c:pt>
                <c:pt idx="18">
                  <c:v>58.012369999999997</c:v>
                </c:pt>
                <c:pt idx="19">
                  <c:v>58.377832499999997</c:v>
                </c:pt>
                <c:pt idx="20">
                  <c:v>58.743295000000003</c:v>
                </c:pt>
                <c:pt idx="21">
                  <c:v>59.108702800000003</c:v>
                </c:pt>
                <c:pt idx="22">
                  <c:v>59.474110600000003</c:v>
                </c:pt>
                <c:pt idx="23">
                  <c:v>59.839518300000002</c:v>
                </c:pt>
                <c:pt idx="24">
                  <c:v>60.204926100000002</c:v>
                </c:pt>
                <c:pt idx="25">
                  <c:v>60.570333900000001</c:v>
                </c:pt>
                <c:pt idx="26">
                  <c:v>60.935960600000001</c:v>
                </c:pt>
                <c:pt idx="27">
                  <c:v>61.301587300000001</c:v>
                </c:pt>
                <c:pt idx="28">
                  <c:v>61.667214000000001</c:v>
                </c:pt>
                <c:pt idx="29">
                  <c:v>62.032840700000001</c:v>
                </c:pt>
                <c:pt idx="30">
                  <c:v>62.398467400000001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2-4232-BFC5-ECEA7C32B871}"/>
            </c:ext>
          </c:extLst>
        </c:ser>
        <c:ser>
          <c:idx val="4"/>
          <c:order val="4"/>
          <c:tx>
            <c:strRef>
              <c:f>'Data to work with'!$AH$6</c:f>
              <c:strCache>
                <c:ptCount val="1"/>
                <c:pt idx="0">
                  <c:v>Cabo Verde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with'!$AI$6:$BM$6</c:f>
              <c:numCache>
                <c:formatCode>General</c:formatCode>
                <c:ptCount val="31"/>
                <c:pt idx="0">
                  <c:v>3.81637717</c:v>
                </c:pt>
                <c:pt idx="1">
                  <c:v>4.4203473899999999</c:v>
                </c:pt>
                <c:pt idx="2">
                  <c:v>5.0243176199999997</c:v>
                </c:pt>
                <c:pt idx="3">
                  <c:v>5.6282878399999996</c:v>
                </c:pt>
                <c:pt idx="4">
                  <c:v>6.2322580600000004</c:v>
                </c:pt>
                <c:pt idx="5">
                  <c:v>6.8362282900000002</c:v>
                </c:pt>
                <c:pt idx="6">
                  <c:v>7.4401985100000001</c:v>
                </c:pt>
                <c:pt idx="7">
                  <c:v>8.0441687300000009</c:v>
                </c:pt>
                <c:pt idx="8">
                  <c:v>8.6481389600000007</c:v>
                </c:pt>
                <c:pt idx="9">
                  <c:v>9.2521091799999997</c:v>
                </c:pt>
                <c:pt idx="10">
                  <c:v>9.8560794000000005</c:v>
                </c:pt>
                <c:pt idx="11">
                  <c:v>9.9305210899999992</c:v>
                </c:pt>
                <c:pt idx="12">
                  <c:v>10.004962799999999</c:v>
                </c:pt>
                <c:pt idx="13">
                  <c:v>10.079404500000001</c:v>
                </c:pt>
                <c:pt idx="14">
                  <c:v>10.1538462</c:v>
                </c:pt>
                <c:pt idx="15">
                  <c:v>10.2282878</c:v>
                </c:pt>
                <c:pt idx="16">
                  <c:v>10.3027295</c:v>
                </c:pt>
                <c:pt idx="17">
                  <c:v>10.377171199999999</c:v>
                </c:pt>
                <c:pt idx="18">
                  <c:v>10.451612900000001</c:v>
                </c:pt>
                <c:pt idx="19">
                  <c:v>10.5260546</c:v>
                </c:pt>
                <c:pt idx="20">
                  <c:v>10.6004963</c:v>
                </c:pt>
                <c:pt idx="21">
                  <c:v>10.674937999999999</c:v>
                </c:pt>
                <c:pt idx="22">
                  <c:v>10.7493797</c:v>
                </c:pt>
                <c:pt idx="23">
                  <c:v>10.823821300000001</c:v>
                </c:pt>
                <c:pt idx="24">
                  <c:v>10.898263</c:v>
                </c:pt>
                <c:pt idx="25">
                  <c:v>10.9727047</c:v>
                </c:pt>
                <c:pt idx="26">
                  <c:v>11.047146400000001</c:v>
                </c:pt>
                <c:pt idx="27">
                  <c:v>11.1215881</c:v>
                </c:pt>
                <c:pt idx="28">
                  <c:v>11.1960298</c:v>
                </c:pt>
                <c:pt idx="29">
                  <c:v>11.270471499999999</c:v>
                </c:pt>
                <c:pt idx="30">
                  <c:v>11.344913200000001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82-4232-BFC5-ECEA7C32B871}"/>
            </c:ext>
          </c:extLst>
        </c:ser>
        <c:ser>
          <c:idx val="5"/>
          <c:order val="5"/>
          <c:tx>
            <c:strRef>
              <c:f>'Data to work with'!$AH$7</c:f>
              <c:strCache>
                <c:ptCount val="1"/>
                <c:pt idx="0">
                  <c:v>Guam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with'!$AI$7:$BM$7</c:f>
              <c:numCache>
                <c:formatCode>General</c:formatCode>
                <c:ptCount val="31"/>
                <c:pt idx="0">
                  <c:v>44.444444400000002</c:v>
                </c:pt>
                <c:pt idx="1">
                  <c:v>44.444444400000002</c:v>
                </c:pt>
                <c:pt idx="2">
                  <c:v>44.444444400000002</c:v>
                </c:pt>
                <c:pt idx="3">
                  <c:v>44.444444400000002</c:v>
                </c:pt>
                <c:pt idx="4">
                  <c:v>44.444444400000002</c:v>
                </c:pt>
                <c:pt idx="5">
                  <c:v>44.444444400000002</c:v>
                </c:pt>
                <c:pt idx="6">
                  <c:v>44.444444400000002</c:v>
                </c:pt>
                <c:pt idx="7">
                  <c:v>44.444444400000002</c:v>
                </c:pt>
                <c:pt idx="8">
                  <c:v>44.444444400000002</c:v>
                </c:pt>
                <c:pt idx="9">
                  <c:v>44.444444400000002</c:v>
                </c:pt>
                <c:pt idx="10">
                  <c:v>44.444444400000002</c:v>
                </c:pt>
                <c:pt idx="11">
                  <c:v>44.444444400000002</c:v>
                </c:pt>
                <c:pt idx="12">
                  <c:v>44.444444400000002</c:v>
                </c:pt>
                <c:pt idx="13">
                  <c:v>44.444444400000002</c:v>
                </c:pt>
                <c:pt idx="14">
                  <c:v>44.444444400000002</c:v>
                </c:pt>
                <c:pt idx="15">
                  <c:v>44.444444400000002</c:v>
                </c:pt>
                <c:pt idx="16">
                  <c:v>44.444444400000002</c:v>
                </c:pt>
                <c:pt idx="17">
                  <c:v>44.444444400000002</c:v>
                </c:pt>
                <c:pt idx="18">
                  <c:v>44.444444400000002</c:v>
                </c:pt>
                <c:pt idx="19">
                  <c:v>44.444444400000002</c:v>
                </c:pt>
                <c:pt idx="20">
                  <c:v>44.444444400000002</c:v>
                </c:pt>
                <c:pt idx="21">
                  <c:v>44.814814800000001</c:v>
                </c:pt>
                <c:pt idx="22">
                  <c:v>45.185185199999999</c:v>
                </c:pt>
                <c:pt idx="23">
                  <c:v>45.555555599999998</c:v>
                </c:pt>
                <c:pt idx="24">
                  <c:v>45.925925900000003</c:v>
                </c:pt>
                <c:pt idx="25">
                  <c:v>46.296296300000002</c:v>
                </c:pt>
                <c:pt idx="26">
                  <c:v>51.8518519</c:v>
                </c:pt>
                <c:pt idx="27">
                  <c:v>51.8518519</c:v>
                </c:pt>
                <c:pt idx="28">
                  <c:v>51.8518519</c:v>
                </c:pt>
                <c:pt idx="29">
                  <c:v>51.8518519</c:v>
                </c:pt>
                <c:pt idx="30">
                  <c:v>51.8518519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82-4232-BFC5-ECEA7C32B871}"/>
            </c:ext>
          </c:extLst>
        </c:ser>
        <c:ser>
          <c:idx val="6"/>
          <c:order val="6"/>
          <c:tx>
            <c:strRef>
              <c:f>'Data to work with'!$AH$8</c:f>
              <c:strCache>
                <c:ptCount val="1"/>
                <c:pt idx="0">
                  <c:v>Uruguay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with'!$AI$8:$BM$8</c:f>
              <c:numCache>
                <c:formatCode>General</c:formatCode>
                <c:ptCount val="31"/>
                <c:pt idx="0">
                  <c:v>4.5594789200000001</c:v>
                </c:pt>
                <c:pt idx="1">
                  <c:v>4.8857273499999998</c:v>
                </c:pt>
                <c:pt idx="2">
                  <c:v>5.2119757699999996</c:v>
                </c:pt>
                <c:pt idx="3">
                  <c:v>5.5382242000000002</c:v>
                </c:pt>
                <c:pt idx="4">
                  <c:v>5.8644726299999999</c:v>
                </c:pt>
                <c:pt idx="5">
                  <c:v>6.1907210600000004</c:v>
                </c:pt>
                <c:pt idx="6">
                  <c:v>6.5169694900000001</c:v>
                </c:pt>
                <c:pt idx="7">
                  <c:v>6.8432179199999998</c:v>
                </c:pt>
                <c:pt idx="8">
                  <c:v>7.1694663500000004</c:v>
                </c:pt>
                <c:pt idx="9">
                  <c:v>7.4957147800000001</c:v>
                </c:pt>
                <c:pt idx="10">
                  <c:v>7.8219631999999999</c:v>
                </c:pt>
                <c:pt idx="11">
                  <c:v>8.02896812</c:v>
                </c:pt>
                <c:pt idx="12">
                  <c:v>8.2359730300000003</c:v>
                </c:pt>
                <c:pt idx="13">
                  <c:v>8.4429779499999995</c:v>
                </c:pt>
                <c:pt idx="14">
                  <c:v>8.6499828599999997</c:v>
                </c:pt>
                <c:pt idx="15">
                  <c:v>8.8569877699999999</c:v>
                </c:pt>
                <c:pt idx="16">
                  <c:v>9.0639926899999992</c:v>
                </c:pt>
                <c:pt idx="17">
                  <c:v>9.2709975999999994</c:v>
                </c:pt>
                <c:pt idx="18">
                  <c:v>9.4780025099999996</c:v>
                </c:pt>
                <c:pt idx="19">
                  <c:v>9.6850074300000006</c:v>
                </c:pt>
                <c:pt idx="20">
                  <c:v>9.8920123400000008</c:v>
                </c:pt>
                <c:pt idx="21">
                  <c:v>10.107644799999999</c:v>
                </c:pt>
                <c:pt idx="22">
                  <c:v>10.323277300000001</c:v>
                </c:pt>
                <c:pt idx="23">
                  <c:v>10.538909800000001</c:v>
                </c:pt>
                <c:pt idx="24">
                  <c:v>10.754542300000001</c:v>
                </c:pt>
                <c:pt idx="25">
                  <c:v>10.970174800000001</c:v>
                </c:pt>
                <c:pt idx="26">
                  <c:v>11.1244429</c:v>
                </c:pt>
                <c:pt idx="27">
                  <c:v>11.244429200000001</c:v>
                </c:pt>
                <c:pt idx="28">
                  <c:v>11.3644155</c:v>
                </c:pt>
                <c:pt idx="29">
                  <c:v>11.484401800000001</c:v>
                </c:pt>
                <c:pt idx="30">
                  <c:v>11.6043881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82-4232-BFC5-ECEA7C32B871}"/>
            </c:ext>
          </c:extLst>
        </c:ser>
        <c:ser>
          <c:idx val="7"/>
          <c:order val="7"/>
          <c:tx>
            <c:strRef>
              <c:f>'Data to work with'!$AH$9</c:f>
              <c:strCache>
                <c:ptCount val="1"/>
                <c:pt idx="0">
                  <c:v>St. Martin (French part)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with'!$AI$9:$BM$9</c:f>
              <c:numCache>
                <c:formatCode>General</c:formatCode>
                <c:ptCount val="31"/>
                <c:pt idx="0">
                  <c:v>18.382352900000001</c:v>
                </c:pt>
                <c:pt idx="1">
                  <c:v>18.382352900000001</c:v>
                </c:pt>
                <c:pt idx="2">
                  <c:v>18.382352900000001</c:v>
                </c:pt>
                <c:pt idx="3">
                  <c:v>18.382352900000001</c:v>
                </c:pt>
                <c:pt idx="4">
                  <c:v>18.382352900000001</c:v>
                </c:pt>
                <c:pt idx="5">
                  <c:v>18.382352900000001</c:v>
                </c:pt>
                <c:pt idx="6">
                  <c:v>18.382352900000001</c:v>
                </c:pt>
                <c:pt idx="7">
                  <c:v>18.382352900000001</c:v>
                </c:pt>
                <c:pt idx="8">
                  <c:v>18.382352900000001</c:v>
                </c:pt>
                <c:pt idx="9">
                  <c:v>18.382352900000001</c:v>
                </c:pt>
                <c:pt idx="10">
                  <c:v>22.7941176</c:v>
                </c:pt>
                <c:pt idx="11">
                  <c:v>18.382352900000001</c:v>
                </c:pt>
                <c:pt idx="12">
                  <c:v>18.382352900000001</c:v>
                </c:pt>
                <c:pt idx="13">
                  <c:v>18.382352900000001</c:v>
                </c:pt>
                <c:pt idx="14">
                  <c:v>18.382352900000001</c:v>
                </c:pt>
                <c:pt idx="15">
                  <c:v>18.382352900000001</c:v>
                </c:pt>
                <c:pt idx="16">
                  <c:v>18.382352900000001</c:v>
                </c:pt>
                <c:pt idx="17">
                  <c:v>18.382352900000001</c:v>
                </c:pt>
                <c:pt idx="18">
                  <c:v>18.382352900000001</c:v>
                </c:pt>
                <c:pt idx="19">
                  <c:v>18.382352900000001</c:v>
                </c:pt>
                <c:pt idx="20">
                  <c:v>22.7941176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24.8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82-4232-BFC5-ECEA7C32B871}"/>
            </c:ext>
          </c:extLst>
        </c:ser>
        <c:ser>
          <c:idx val="8"/>
          <c:order val="8"/>
          <c:tx>
            <c:strRef>
              <c:f>'Data to work with'!$AH$10</c:f>
              <c:strCache>
                <c:ptCount val="1"/>
                <c:pt idx="0">
                  <c:v>Belarus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with'!$AI$10:$BM$10</c:f>
              <c:numCache>
                <c:formatCode>General</c:formatCode>
                <c:ptCount val="31"/>
                <c:pt idx="0">
                  <c:v>38.355353999999998</c:v>
                </c:pt>
                <c:pt idx="1">
                  <c:v>38.841451399999997</c:v>
                </c:pt>
                <c:pt idx="2">
                  <c:v>38.841451399999997</c:v>
                </c:pt>
                <c:pt idx="3">
                  <c:v>39.0845001</c:v>
                </c:pt>
                <c:pt idx="4">
                  <c:v>39.327548800000002</c:v>
                </c:pt>
                <c:pt idx="5">
                  <c:v>39.570597499999998</c:v>
                </c:pt>
                <c:pt idx="6">
                  <c:v>39.813646200000001</c:v>
                </c:pt>
                <c:pt idx="7">
                  <c:v>40.056694899999997</c:v>
                </c:pt>
                <c:pt idx="8">
                  <c:v>40.299743599999999</c:v>
                </c:pt>
                <c:pt idx="9">
                  <c:v>40.542792300000002</c:v>
                </c:pt>
                <c:pt idx="10">
                  <c:v>40.785841099999999</c:v>
                </c:pt>
                <c:pt idx="11">
                  <c:v>40.961841800000002</c:v>
                </c:pt>
                <c:pt idx="12">
                  <c:v>41.139870799999997</c:v>
                </c:pt>
                <c:pt idx="13">
                  <c:v>41.315880300000003</c:v>
                </c:pt>
                <c:pt idx="14">
                  <c:v>41.495981499999999</c:v>
                </c:pt>
                <c:pt idx="15">
                  <c:v>41.667899200000001</c:v>
                </c:pt>
                <c:pt idx="16">
                  <c:v>41.829472600000003</c:v>
                </c:pt>
                <c:pt idx="17">
                  <c:v>42.005421400000003</c:v>
                </c:pt>
                <c:pt idx="18">
                  <c:v>42.181370100000002</c:v>
                </c:pt>
                <c:pt idx="19">
                  <c:v>42.374026200000003</c:v>
                </c:pt>
                <c:pt idx="20">
                  <c:v>42.533267600000002</c:v>
                </c:pt>
                <c:pt idx="21">
                  <c:v>42.534621299999998</c:v>
                </c:pt>
                <c:pt idx="22">
                  <c:v>42.538071100000003</c:v>
                </c:pt>
                <c:pt idx="23">
                  <c:v>42.541940199999999</c:v>
                </c:pt>
                <c:pt idx="24">
                  <c:v>42.531765300000004</c:v>
                </c:pt>
                <c:pt idx="25">
                  <c:v>42.534166300000003</c:v>
                </c:pt>
                <c:pt idx="26">
                  <c:v>42.9069699</c:v>
                </c:pt>
                <c:pt idx="27">
                  <c:v>42.9779792</c:v>
                </c:pt>
                <c:pt idx="28">
                  <c:v>43.051532199999997</c:v>
                </c:pt>
                <c:pt idx="29">
                  <c:v>43.122967799999998</c:v>
                </c:pt>
                <c:pt idx="30">
                  <c:v>43.194403399999999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82-4232-BFC5-ECEA7C32B871}"/>
            </c:ext>
          </c:extLst>
        </c:ser>
        <c:ser>
          <c:idx val="9"/>
          <c:order val="9"/>
          <c:tx>
            <c:strRef>
              <c:f>'Data to work with'!$AH$11</c:f>
              <c:strCache>
                <c:ptCount val="1"/>
                <c:pt idx="0">
                  <c:v>Greece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'Data to work with'!$AI$1:$BM$1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'Data to work with'!$AI$11:$BM$11</c:f>
              <c:numCache>
                <c:formatCode>General</c:formatCode>
                <c:ptCount val="31"/>
                <c:pt idx="0">
                  <c:v>25.59</c:v>
                </c:pt>
                <c:pt idx="1">
                  <c:v>25.824041099999999</c:v>
                </c:pt>
                <c:pt idx="2">
                  <c:v>26.0580815</c:v>
                </c:pt>
                <c:pt idx="3">
                  <c:v>26.292122599999999</c:v>
                </c:pt>
                <c:pt idx="4">
                  <c:v>26.526162899999999</c:v>
                </c:pt>
                <c:pt idx="5">
                  <c:v>26.760204000000002</c:v>
                </c:pt>
                <c:pt idx="6">
                  <c:v>26.994245200000002</c:v>
                </c:pt>
                <c:pt idx="7">
                  <c:v>27.228285499999998</c:v>
                </c:pt>
                <c:pt idx="8">
                  <c:v>27.462326600000001</c:v>
                </c:pt>
                <c:pt idx="9">
                  <c:v>27.696366999999999</c:v>
                </c:pt>
                <c:pt idx="10">
                  <c:v>27.930408100000001</c:v>
                </c:pt>
                <c:pt idx="11">
                  <c:v>28.164366999999999</c:v>
                </c:pt>
                <c:pt idx="12">
                  <c:v>28.398326600000001</c:v>
                </c:pt>
                <c:pt idx="13">
                  <c:v>28.632285499999998</c:v>
                </c:pt>
                <c:pt idx="14">
                  <c:v>28.866245200000002</c:v>
                </c:pt>
                <c:pt idx="15">
                  <c:v>29.100204000000002</c:v>
                </c:pt>
                <c:pt idx="16">
                  <c:v>29.334162899999999</c:v>
                </c:pt>
                <c:pt idx="17">
                  <c:v>29.568122599999999</c:v>
                </c:pt>
                <c:pt idx="18">
                  <c:v>29.8020815</c:v>
                </c:pt>
                <c:pt idx="19">
                  <c:v>30.036041099999998</c:v>
                </c:pt>
                <c:pt idx="20">
                  <c:v>30.27</c:v>
                </c:pt>
                <c:pt idx="21">
                  <c:v>30.27</c:v>
                </c:pt>
                <c:pt idx="22">
                  <c:v>30.27</c:v>
                </c:pt>
                <c:pt idx="23">
                  <c:v>30.27</c:v>
                </c:pt>
                <c:pt idx="24">
                  <c:v>30.27</c:v>
                </c:pt>
                <c:pt idx="25">
                  <c:v>30.27</c:v>
                </c:pt>
                <c:pt idx="26">
                  <c:v>30.269976700000001</c:v>
                </c:pt>
                <c:pt idx="27">
                  <c:v>30.269976700000001</c:v>
                </c:pt>
                <c:pt idx="28">
                  <c:v>30.269976700000001</c:v>
                </c:pt>
                <c:pt idx="29">
                  <c:v>30.269976700000001</c:v>
                </c:pt>
                <c:pt idx="30">
                  <c:v>30.269976700000001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82-4232-BFC5-ECEA7C32B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61842"/>
        <c:axId val="495186122"/>
      </c:lineChart>
      <c:catAx>
        <c:axId val="1412261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95186122"/>
        <c:crosses val="autoZero"/>
        <c:auto val="1"/>
        <c:lblAlgn val="ctr"/>
        <c:lblOffset val="100"/>
        <c:noMultiLvlLbl val="1"/>
      </c:catAx>
      <c:valAx>
        <c:axId val="495186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122618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12</xdr:row>
      <xdr:rowOff>209550</xdr:rowOff>
    </xdr:from>
    <xdr:ext cx="6534150" cy="4038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238125</xdr:colOff>
      <xdr:row>12</xdr:row>
      <xdr:rowOff>123825</xdr:rowOff>
    </xdr:from>
    <xdr:ext cx="7715250" cy="47720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4457700" cy="90487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485775</xdr:colOff>
      <xdr:row>11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35"/>
  <sheetViews>
    <sheetView showGridLines="0" tabSelected="1" workbookViewId="0"/>
  </sheetViews>
  <sheetFormatPr defaultColWidth="14.44140625" defaultRowHeight="15.75" customHeight="1" x14ac:dyDescent="0.25"/>
  <cols>
    <col min="1" max="1" width="24.44140625" customWidth="1"/>
    <col min="2" max="2" width="0.44140625" customWidth="1"/>
    <col min="3" max="3" width="38.6640625" customWidth="1"/>
    <col min="4" max="4" width="24" customWidth="1"/>
  </cols>
  <sheetData>
    <row r="1" spans="1:18" ht="13.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3.2" x14ac:dyDescent="0.25">
      <c r="A2" s="9"/>
      <c r="B2" s="9"/>
      <c r="C2" s="9"/>
      <c r="D2" s="9"/>
      <c r="E2" s="9"/>
      <c r="F2" s="17" t="s">
        <v>525</v>
      </c>
      <c r="G2" s="18"/>
      <c r="H2" s="18"/>
      <c r="I2" s="18"/>
      <c r="J2" s="18"/>
      <c r="K2" s="18"/>
      <c r="L2" s="18"/>
      <c r="M2" s="18"/>
      <c r="N2" s="18"/>
      <c r="O2" s="9"/>
      <c r="P2" s="9"/>
      <c r="Q2" s="9"/>
      <c r="R2" s="9"/>
    </row>
    <row r="3" spans="1:18" ht="13.2" x14ac:dyDescent="0.25">
      <c r="A3" s="9"/>
      <c r="B3" s="9"/>
      <c r="C3" s="9"/>
      <c r="D3" s="9"/>
      <c r="E3" s="9"/>
      <c r="F3" s="18"/>
      <c r="G3" s="18"/>
      <c r="H3" s="18"/>
      <c r="I3" s="18"/>
      <c r="J3" s="18"/>
      <c r="K3" s="18"/>
      <c r="L3" s="18"/>
      <c r="M3" s="18"/>
      <c r="N3" s="18"/>
      <c r="O3" s="9"/>
      <c r="P3" s="9"/>
      <c r="Q3" s="9"/>
      <c r="R3" s="9"/>
    </row>
    <row r="4" spans="1:18" ht="13.2" x14ac:dyDescent="0.25">
      <c r="A4" s="9"/>
      <c r="B4" s="9"/>
      <c r="C4" s="9"/>
      <c r="D4" s="9"/>
      <c r="E4" s="9"/>
      <c r="F4" s="18"/>
      <c r="G4" s="18"/>
      <c r="H4" s="18"/>
      <c r="I4" s="18"/>
      <c r="J4" s="18"/>
      <c r="K4" s="18"/>
      <c r="L4" s="18"/>
      <c r="M4" s="18"/>
      <c r="N4" s="18"/>
      <c r="O4" s="9"/>
      <c r="P4" s="9"/>
      <c r="Q4" s="9"/>
      <c r="R4" s="9"/>
    </row>
    <row r="5" spans="1:18" ht="13.2" x14ac:dyDescent="0.25">
      <c r="A5" s="9"/>
      <c r="B5" s="9"/>
      <c r="C5" s="9"/>
      <c r="D5" s="9"/>
      <c r="E5" s="9"/>
      <c r="F5" s="18"/>
      <c r="G5" s="18"/>
      <c r="H5" s="18"/>
      <c r="I5" s="18"/>
      <c r="J5" s="18"/>
      <c r="K5" s="18"/>
      <c r="L5" s="18"/>
      <c r="M5" s="18"/>
      <c r="N5" s="18"/>
      <c r="O5" s="9"/>
      <c r="P5" s="9"/>
      <c r="Q5" s="9"/>
      <c r="R5" s="9"/>
    </row>
    <row r="6" spans="1:18" ht="13.2" x14ac:dyDescent="0.25">
      <c r="A6" s="9"/>
      <c r="B6" s="9"/>
      <c r="C6" s="9"/>
      <c r="D6" s="9"/>
      <c r="E6" s="9"/>
      <c r="F6" s="18"/>
      <c r="G6" s="18"/>
      <c r="H6" s="18"/>
      <c r="I6" s="18"/>
      <c r="J6" s="18"/>
      <c r="K6" s="18"/>
      <c r="L6" s="18"/>
      <c r="M6" s="18"/>
      <c r="N6" s="18"/>
      <c r="O6" s="9"/>
      <c r="P6" s="9"/>
      <c r="Q6" s="9"/>
      <c r="R6" s="9"/>
    </row>
    <row r="7" spans="1:18" ht="44.4" x14ac:dyDescent="0.7">
      <c r="A7" s="9"/>
      <c r="B7" s="10" t="s">
        <v>526</v>
      </c>
      <c r="C7" s="9"/>
      <c r="D7" s="9"/>
      <c r="E7" s="9"/>
      <c r="F7" s="18"/>
      <c r="G7" s="18"/>
      <c r="H7" s="18"/>
      <c r="I7" s="18"/>
      <c r="J7" s="18"/>
      <c r="K7" s="18"/>
      <c r="L7" s="18"/>
      <c r="M7" s="18"/>
      <c r="N7" s="18"/>
      <c r="O7" s="9"/>
      <c r="P7" s="9"/>
      <c r="Q7" s="9"/>
      <c r="R7" s="9"/>
    </row>
    <row r="8" spans="1:18" ht="13.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58.5" customHeight="1" x14ac:dyDescent="0.5">
      <c r="A9" s="19" t="s">
        <v>527</v>
      </c>
      <c r="B9" s="18"/>
      <c r="C9" s="18"/>
      <c r="D9" s="11"/>
      <c r="E9" s="11"/>
      <c r="F9" s="11"/>
      <c r="G9" s="20" t="s">
        <v>528</v>
      </c>
      <c r="H9" s="18"/>
      <c r="I9" s="18"/>
      <c r="J9" s="18"/>
      <c r="K9" s="12"/>
      <c r="L9" s="12"/>
      <c r="M9" s="12"/>
      <c r="N9" s="12"/>
      <c r="O9" s="12"/>
      <c r="P9" s="12"/>
      <c r="Q9" s="12"/>
      <c r="R9" s="12"/>
    </row>
    <row r="10" spans="1:18" ht="54" customHeight="1" x14ac:dyDescent="0.4">
      <c r="A10" s="11"/>
      <c r="B10" s="11"/>
      <c r="C10" s="13" t="s">
        <v>529</v>
      </c>
      <c r="D10" s="13" t="s">
        <v>530</v>
      </c>
      <c r="E10" s="11"/>
      <c r="F10" s="11"/>
      <c r="G10" s="21" t="s">
        <v>531</v>
      </c>
      <c r="H10" s="18"/>
      <c r="I10" s="18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22.8" x14ac:dyDescent="0.4">
      <c r="A11" s="11"/>
      <c r="B11" s="11"/>
      <c r="C11" s="14" t="s">
        <v>509</v>
      </c>
      <c r="D11" s="15">
        <f>VLOOKUP(C11,'Data to work with'!A2:AF21,32,FALSE)</f>
        <v>47.2251105</v>
      </c>
      <c r="E11" s="11"/>
      <c r="F11" s="11"/>
      <c r="G11" s="18"/>
      <c r="H11" s="18"/>
      <c r="I11" s="18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13.2" x14ac:dyDescent="0.25">
      <c r="A12" s="11"/>
      <c r="B12" s="11"/>
      <c r="C12" s="11"/>
      <c r="D12" s="11"/>
      <c r="E12" s="11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8" x14ac:dyDescent="0.35">
      <c r="A13" s="11"/>
      <c r="B13" s="11"/>
      <c r="C13" s="11"/>
      <c r="D13" s="11"/>
      <c r="E13" s="11"/>
      <c r="F13" s="11"/>
      <c r="G13" s="22" t="s">
        <v>381</v>
      </c>
      <c r="H13" s="18"/>
      <c r="I13" s="16" t="b">
        <v>1</v>
      </c>
      <c r="J13" s="12"/>
      <c r="K13" s="12"/>
      <c r="L13" s="12"/>
      <c r="M13" s="12"/>
      <c r="N13" s="12"/>
      <c r="O13" s="12"/>
      <c r="P13" s="12"/>
      <c r="Q13" s="12"/>
      <c r="R13" s="12"/>
    </row>
    <row r="14" spans="1:18" ht="18" x14ac:dyDescent="0.35">
      <c r="A14" s="11"/>
      <c r="B14" s="11"/>
      <c r="C14" s="11"/>
      <c r="D14" s="11"/>
      <c r="E14" s="11"/>
      <c r="F14" s="11"/>
      <c r="G14" s="22" t="s">
        <v>509</v>
      </c>
      <c r="H14" s="18"/>
      <c r="I14" s="16" t="b">
        <v>0</v>
      </c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8" x14ac:dyDescent="0.35">
      <c r="A15" s="11"/>
      <c r="B15" s="11"/>
      <c r="C15" s="11"/>
      <c r="D15" s="11"/>
      <c r="E15" s="11"/>
      <c r="F15" s="11"/>
      <c r="G15" s="22" t="s">
        <v>71</v>
      </c>
      <c r="H15" s="18"/>
      <c r="I15" s="16" t="b">
        <v>0</v>
      </c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8" x14ac:dyDescent="0.35">
      <c r="A16" s="11"/>
      <c r="B16" s="11"/>
      <c r="C16" s="11"/>
      <c r="D16" s="11"/>
      <c r="E16" s="11"/>
      <c r="F16" s="11"/>
      <c r="G16" s="22" t="s">
        <v>323</v>
      </c>
      <c r="H16" s="18"/>
      <c r="I16" s="16" t="b">
        <v>0</v>
      </c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18" x14ac:dyDescent="0.35">
      <c r="A17" s="11"/>
      <c r="B17" s="11"/>
      <c r="C17" s="11"/>
      <c r="D17" s="11"/>
      <c r="E17" s="11"/>
      <c r="F17" s="11"/>
      <c r="G17" s="22" t="s">
        <v>107</v>
      </c>
      <c r="H17" s="18"/>
      <c r="I17" s="16" t="b">
        <v>1</v>
      </c>
      <c r="J17" s="12"/>
      <c r="K17" s="12"/>
      <c r="L17" s="12"/>
      <c r="M17" s="12"/>
      <c r="N17" s="12"/>
      <c r="O17" s="12"/>
      <c r="P17" s="12"/>
      <c r="Q17" s="12"/>
      <c r="R17" s="12"/>
    </row>
    <row r="18" spans="1:18" ht="18" x14ac:dyDescent="0.35">
      <c r="A18" s="11"/>
      <c r="B18" s="11"/>
      <c r="C18" s="11"/>
      <c r="D18" s="11"/>
      <c r="E18" s="11"/>
      <c r="F18" s="11"/>
      <c r="G18" s="22" t="s">
        <v>125</v>
      </c>
      <c r="H18" s="18"/>
      <c r="I18" s="16" t="b">
        <v>1</v>
      </c>
      <c r="J18" s="12"/>
      <c r="K18" s="12"/>
      <c r="L18" s="12"/>
      <c r="M18" s="12"/>
      <c r="N18" s="12"/>
      <c r="O18" s="12"/>
      <c r="P18" s="12"/>
      <c r="Q18" s="12"/>
      <c r="R18" s="12"/>
    </row>
    <row r="19" spans="1:18" ht="18" x14ac:dyDescent="0.35">
      <c r="A19" s="11"/>
      <c r="B19" s="11"/>
      <c r="C19" s="11"/>
      <c r="D19" s="11"/>
      <c r="E19" s="11"/>
      <c r="F19" s="11"/>
      <c r="G19" s="22" t="s">
        <v>159</v>
      </c>
      <c r="H19" s="18"/>
      <c r="I19" s="16" t="b">
        <v>1</v>
      </c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18" x14ac:dyDescent="0.35">
      <c r="A20" s="11"/>
      <c r="B20" s="11"/>
      <c r="C20" s="11"/>
      <c r="D20" s="11"/>
      <c r="E20" s="11"/>
      <c r="F20" s="11"/>
      <c r="G20" s="22" t="s">
        <v>147</v>
      </c>
      <c r="H20" s="18"/>
      <c r="I20" s="16" t="b">
        <v>0</v>
      </c>
      <c r="J20" s="12"/>
      <c r="K20" s="12"/>
      <c r="L20" s="12"/>
      <c r="M20" s="12"/>
      <c r="N20" s="12"/>
      <c r="O20" s="12"/>
      <c r="P20" s="12"/>
      <c r="Q20" s="12"/>
      <c r="R20" s="12"/>
    </row>
    <row r="21" spans="1:18" ht="18" x14ac:dyDescent="0.35">
      <c r="A21" s="11"/>
      <c r="B21" s="11"/>
      <c r="C21" s="11"/>
      <c r="D21" s="11"/>
      <c r="E21" s="11"/>
      <c r="F21" s="11"/>
      <c r="G21" s="22" t="s">
        <v>101</v>
      </c>
      <c r="H21" s="18"/>
      <c r="I21" s="16" t="b">
        <v>1</v>
      </c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8" x14ac:dyDescent="0.35">
      <c r="A22" s="11"/>
      <c r="B22" s="11"/>
      <c r="C22" s="11"/>
      <c r="D22" s="11"/>
      <c r="E22" s="11"/>
      <c r="F22" s="11"/>
      <c r="G22" s="22" t="s">
        <v>193</v>
      </c>
      <c r="H22" s="18"/>
      <c r="I22" s="16" t="b">
        <v>1</v>
      </c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8" x14ac:dyDescent="0.35">
      <c r="A23" s="11"/>
      <c r="B23" s="11"/>
      <c r="C23" s="11"/>
      <c r="D23" s="11"/>
      <c r="E23" s="11"/>
      <c r="F23" s="11"/>
      <c r="G23" s="22" t="s">
        <v>495</v>
      </c>
      <c r="H23" s="18"/>
      <c r="I23" s="16" t="b">
        <v>1</v>
      </c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8" x14ac:dyDescent="0.35">
      <c r="A24" s="11"/>
      <c r="B24" s="11"/>
      <c r="C24" s="11"/>
      <c r="D24" s="11"/>
      <c r="E24" s="11"/>
      <c r="F24" s="11"/>
      <c r="G24" s="22" t="s">
        <v>237</v>
      </c>
      <c r="H24" s="18"/>
      <c r="I24" s="16" t="b">
        <v>0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18" x14ac:dyDescent="0.35">
      <c r="A25" s="11"/>
      <c r="B25" s="11"/>
      <c r="C25" s="11"/>
      <c r="D25" s="11"/>
      <c r="E25" s="11"/>
      <c r="F25" s="11"/>
      <c r="G25" s="22" t="s">
        <v>373</v>
      </c>
      <c r="H25" s="18"/>
      <c r="I25" s="16" t="b">
        <v>0</v>
      </c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8" x14ac:dyDescent="0.35">
      <c r="A26" s="11"/>
      <c r="B26" s="11"/>
      <c r="C26" s="11"/>
      <c r="D26" s="11"/>
      <c r="E26" s="11"/>
      <c r="F26" s="11"/>
      <c r="G26" s="22" t="s">
        <v>87</v>
      </c>
      <c r="H26" s="18"/>
      <c r="I26" s="16" t="b">
        <v>0</v>
      </c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8" x14ac:dyDescent="0.35">
      <c r="A27" s="11"/>
      <c r="B27" s="11"/>
      <c r="C27" s="11"/>
      <c r="D27" s="11"/>
      <c r="E27" s="11"/>
      <c r="F27" s="11"/>
      <c r="G27" s="22" t="s">
        <v>295</v>
      </c>
      <c r="H27" s="18"/>
      <c r="I27" s="16" t="b">
        <v>1</v>
      </c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18" x14ac:dyDescent="0.35">
      <c r="A28" s="11"/>
      <c r="B28" s="11"/>
      <c r="C28" s="11"/>
      <c r="D28" s="11"/>
      <c r="E28" s="11"/>
      <c r="F28" s="11"/>
      <c r="G28" s="22" t="s">
        <v>235</v>
      </c>
      <c r="H28" s="18"/>
      <c r="I28" s="16" t="b">
        <v>0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18" x14ac:dyDescent="0.35">
      <c r="A29" s="11"/>
      <c r="B29" s="11"/>
      <c r="C29" s="11"/>
      <c r="D29" s="11"/>
      <c r="E29" s="11"/>
      <c r="F29" s="11"/>
      <c r="G29" s="22" t="s">
        <v>49</v>
      </c>
      <c r="H29" s="18"/>
      <c r="I29" s="16" t="b">
        <v>0</v>
      </c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8" x14ac:dyDescent="0.35">
      <c r="A30" s="11"/>
      <c r="B30" s="11"/>
      <c r="C30" s="11"/>
      <c r="D30" s="11"/>
      <c r="E30" s="11"/>
      <c r="F30" s="11"/>
      <c r="G30" s="22" t="s">
        <v>161</v>
      </c>
      <c r="H30" s="18"/>
      <c r="I30" s="16" t="b">
        <v>0</v>
      </c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8" x14ac:dyDescent="0.35">
      <c r="A31" s="11"/>
      <c r="B31" s="11"/>
      <c r="C31" s="11"/>
      <c r="D31" s="11"/>
      <c r="E31" s="11"/>
      <c r="F31" s="11"/>
      <c r="G31" s="22" t="s">
        <v>57</v>
      </c>
      <c r="H31" s="18"/>
      <c r="I31" s="16" t="b">
        <v>1</v>
      </c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8" x14ac:dyDescent="0.35">
      <c r="A32" s="11"/>
      <c r="B32" s="11"/>
      <c r="C32" s="11"/>
      <c r="D32" s="11"/>
      <c r="E32" s="11"/>
      <c r="F32" s="11"/>
      <c r="G32" s="22" t="s">
        <v>185</v>
      </c>
      <c r="H32" s="18"/>
      <c r="I32" s="16" t="b">
        <v>1</v>
      </c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3.2" x14ac:dyDescent="0.25">
      <c r="A33" s="11"/>
      <c r="B33" s="11"/>
      <c r="C33" s="11"/>
      <c r="D33" s="11"/>
      <c r="E33" s="11"/>
      <c r="F33" s="1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3.2" x14ac:dyDescent="0.25">
      <c r="A34" s="11"/>
      <c r="B34" s="11"/>
      <c r="C34" s="11"/>
      <c r="D34" s="11"/>
      <c r="E34" s="11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3.2" x14ac:dyDescent="0.25">
      <c r="A35" s="11"/>
      <c r="B35" s="11"/>
      <c r="C35" s="11"/>
      <c r="D35" s="11"/>
      <c r="E35" s="11"/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</sheetData>
  <mergeCells count="24">
    <mergeCell ref="G31:H31"/>
    <mergeCell ref="G32:H32"/>
    <mergeCell ref="G23:H23"/>
    <mergeCell ref="G24:H24"/>
    <mergeCell ref="G25:H25"/>
    <mergeCell ref="G26:H26"/>
    <mergeCell ref="G27:H27"/>
    <mergeCell ref="G28:H28"/>
    <mergeCell ref="G29:H29"/>
    <mergeCell ref="G19:H19"/>
    <mergeCell ref="G20:H20"/>
    <mergeCell ref="G21:H21"/>
    <mergeCell ref="G22:H22"/>
    <mergeCell ref="G30:H30"/>
    <mergeCell ref="G14:H14"/>
    <mergeCell ref="G15:H15"/>
    <mergeCell ref="G16:H16"/>
    <mergeCell ref="G17:H17"/>
    <mergeCell ref="G18:H18"/>
    <mergeCell ref="F2:N7"/>
    <mergeCell ref="A9:C9"/>
    <mergeCell ref="G9:J9"/>
    <mergeCell ref="G10:I11"/>
    <mergeCell ref="G13:H1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Services!$A$2:$A$21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60"/>
  <sheetViews>
    <sheetView workbookViewId="0"/>
  </sheetViews>
  <sheetFormatPr defaultColWidth="14.44140625" defaultRowHeight="15.75" customHeight="1" x14ac:dyDescent="0.25"/>
  <sheetData>
    <row r="1" spans="1:3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2" t="s">
        <v>4</v>
      </c>
    </row>
    <row r="2" spans="1:36" ht="15.75" customHeight="1" x14ac:dyDescent="0.3">
      <c r="A2" s="1" t="s">
        <v>5</v>
      </c>
      <c r="B2" s="1" t="s">
        <v>6</v>
      </c>
      <c r="C2" s="1" t="s">
        <v>7</v>
      </c>
      <c r="D2" s="1" t="s">
        <v>8</v>
      </c>
      <c r="E2" s="3">
        <v>2.3333333299999999</v>
      </c>
      <c r="F2" s="3">
        <v>2.3333333299999999</v>
      </c>
      <c r="G2" s="3">
        <v>2.3333333299999999</v>
      </c>
      <c r="H2" s="3">
        <v>2.3333333299999999</v>
      </c>
      <c r="I2" s="3">
        <v>2.3333333299999999</v>
      </c>
      <c r="J2" s="3">
        <v>2.3333333299999999</v>
      </c>
      <c r="K2" s="3">
        <v>2.3333333299999999</v>
      </c>
      <c r="L2" s="3">
        <v>2.3333333299999999</v>
      </c>
      <c r="M2" s="3">
        <v>2.3333333299999999</v>
      </c>
      <c r="N2" s="3">
        <v>2.3333333299999999</v>
      </c>
      <c r="O2" s="3">
        <v>2.3333333299999999</v>
      </c>
      <c r="P2" s="3">
        <v>2.3333333299999999</v>
      </c>
      <c r="Q2" s="3">
        <v>2.3333333299999999</v>
      </c>
      <c r="R2" s="3">
        <v>2.3333333299999999</v>
      </c>
      <c r="S2" s="3">
        <v>2.3333333299999999</v>
      </c>
      <c r="T2" s="3">
        <v>2.3333333299999999</v>
      </c>
      <c r="U2" s="3">
        <v>2.3333333299999999</v>
      </c>
      <c r="V2" s="3">
        <v>2.3333333299999999</v>
      </c>
      <c r="W2" s="3">
        <v>2.3333333299999999</v>
      </c>
      <c r="X2" s="3">
        <v>2.3333333299999999</v>
      </c>
      <c r="Y2" s="3">
        <v>2.3333333299999999</v>
      </c>
      <c r="Z2" s="3">
        <v>2.3333333299999999</v>
      </c>
      <c r="AA2" s="3">
        <v>2.3333333299999999</v>
      </c>
      <c r="AB2" s="3">
        <v>2.3333333299999999</v>
      </c>
      <c r="AC2" s="3">
        <v>2.3333333299999999</v>
      </c>
      <c r="AD2" s="3">
        <v>2.3333333299999999</v>
      </c>
      <c r="AE2" s="3">
        <v>2.3333333299999999</v>
      </c>
      <c r="AF2" s="3">
        <v>2.3333333299999999</v>
      </c>
      <c r="AG2" s="3">
        <v>2.3333333299999999</v>
      </c>
      <c r="AH2" s="3">
        <v>2.3333333299999999</v>
      </c>
      <c r="AI2" s="3">
        <v>2.3333333299999999</v>
      </c>
      <c r="AJ2" s="4">
        <f t="shared" ref="AJ2:AJ80" si="0">AI2-E2</f>
        <v>0</v>
      </c>
    </row>
    <row r="3" spans="1:36" ht="15.75" customHeight="1" x14ac:dyDescent="0.3">
      <c r="A3" s="1" t="s">
        <v>9</v>
      </c>
      <c r="B3" s="1" t="s">
        <v>10</v>
      </c>
      <c r="C3" s="1" t="s">
        <v>7</v>
      </c>
      <c r="D3" s="1" t="s">
        <v>8</v>
      </c>
      <c r="E3" s="3">
        <v>40.565911999999997</v>
      </c>
      <c r="F3" s="3">
        <v>40.403946400000002</v>
      </c>
      <c r="G3" s="3">
        <v>40.235806699999998</v>
      </c>
      <c r="H3" s="3">
        <v>40.269689999999997</v>
      </c>
      <c r="I3" s="3">
        <v>40.1032704</v>
      </c>
      <c r="J3" s="3">
        <v>39.936850800000002</v>
      </c>
      <c r="K3" s="3">
        <v>39.770431199999997</v>
      </c>
      <c r="L3" s="3">
        <v>39.6040116</v>
      </c>
      <c r="M3" s="3">
        <v>39.437592000000002</v>
      </c>
      <c r="N3" s="3">
        <v>39.271172399999998</v>
      </c>
      <c r="O3" s="3">
        <v>33.980631500000001</v>
      </c>
      <c r="P3" s="3">
        <v>38.903980099999998</v>
      </c>
      <c r="Q3" s="3">
        <v>38.703207300000003</v>
      </c>
      <c r="R3" s="3">
        <v>38.502434600000001</v>
      </c>
      <c r="S3" s="3">
        <v>37.899950799999999</v>
      </c>
      <c r="T3" s="3">
        <v>37.701120299999999</v>
      </c>
      <c r="U3" s="3">
        <v>37.502464500000002</v>
      </c>
      <c r="V3" s="3">
        <v>37.303880200000002</v>
      </c>
      <c r="W3" s="3">
        <v>37.105259400000001</v>
      </c>
      <c r="X3" s="3">
        <v>36.906595699999997</v>
      </c>
      <c r="Y3" s="3">
        <v>31.910877899999999</v>
      </c>
      <c r="Z3" s="3">
        <v>32.183134799999998</v>
      </c>
      <c r="AA3" s="3">
        <v>31.972492299999999</v>
      </c>
      <c r="AB3" s="3">
        <v>31.761841700000002</v>
      </c>
      <c r="AC3" s="3">
        <v>31.5512701</v>
      </c>
      <c r="AD3" s="3">
        <v>31.340525599999999</v>
      </c>
      <c r="AE3" s="3">
        <v>31.1194314</v>
      </c>
      <c r="AF3" s="3">
        <v>30.903542900000001</v>
      </c>
      <c r="AG3" s="3">
        <v>30.690224300000001</v>
      </c>
      <c r="AH3" s="3">
        <v>30.469798300000001</v>
      </c>
      <c r="AI3" s="3">
        <v>30.2517858</v>
      </c>
      <c r="AJ3" s="4">
        <f t="shared" si="0"/>
        <v>-10.314126199999997</v>
      </c>
    </row>
    <row r="4" spans="1:36" ht="15.75" customHeight="1" x14ac:dyDescent="0.3">
      <c r="A4" s="1" t="s">
        <v>11</v>
      </c>
      <c r="B4" s="1" t="s">
        <v>12</v>
      </c>
      <c r="C4" s="1" t="s">
        <v>7</v>
      </c>
      <c r="D4" s="1" t="s">
        <v>8</v>
      </c>
      <c r="E4" s="3">
        <v>1.8509940899999999</v>
      </c>
      <c r="F4" s="3">
        <v>1.8509940899999999</v>
      </c>
      <c r="G4" s="3">
        <v>1.8509940899999999</v>
      </c>
      <c r="H4" s="3">
        <v>1.8509940899999999</v>
      </c>
      <c r="I4" s="3">
        <v>1.8509940899999999</v>
      </c>
      <c r="J4" s="3">
        <v>1.8509940899999999</v>
      </c>
      <c r="K4" s="3">
        <v>1.8509940899999999</v>
      </c>
      <c r="L4" s="3">
        <v>1.8509940899999999</v>
      </c>
      <c r="M4" s="3">
        <v>1.8509940899999999</v>
      </c>
      <c r="N4" s="3">
        <v>1.8509940899999999</v>
      </c>
      <c r="O4" s="3">
        <v>1.8509940899999999</v>
      </c>
      <c r="P4" s="3">
        <v>1.8509940899999999</v>
      </c>
      <c r="Q4" s="3">
        <v>1.8509940899999999</v>
      </c>
      <c r="R4" s="3">
        <v>1.8509940899999999</v>
      </c>
      <c r="S4" s="3">
        <v>1.8509940899999999</v>
      </c>
      <c r="T4" s="3">
        <v>1.8509940899999999</v>
      </c>
      <c r="U4" s="3">
        <v>1.8509940899999999</v>
      </c>
      <c r="V4" s="3">
        <v>1.8509940899999999</v>
      </c>
      <c r="W4" s="3">
        <v>1.8509940899999999</v>
      </c>
      <c r="X4" s="3">
        <v>1.8509940899999999</v>
      </c>
      <c r="Y4" s="3">
        <v>1.8509940899999999</v>
      </c>
      <c r="Z4" s="3">
        <v>1.8509940899999999</v>
      </c>
      <c r="AA4" s="3">
        <v>1.8509940899999999</v>
      </c>
      <c r="AB4" s="3">
        <v>1.8509940899999999</v>
      </c>
      <c r="AC4" s="3">
        <v>1.8509940899999999</v>
      </c>
      <c r="AD4" s="3">
        <v>1.8509940899999999</v>
      </c>
      <c r="AE4" s="3">
        <v>1.8509940899999999</v>
      </c>
      <c r="AF4" s="3">
        <v>1.8509940899999999</v>
      </c>
      <c r="AG4" s="3">
        <v>1.8509940899999999</v>
      </c>
      <c r="AH4" s="3">
        <v>1.8509940899999999</v>
      </c>
      <c r="AI4" s="3">
        <v>1.8509940899999999</v>
      </c>
      <c r="AJ4" s="4">
        <f t="shared" si="0"/>
        <v>0</v>
      </c>
    </row>
    <row r="5" spans="1:36" ht="15.75" customHeight="1" x14ac:dyDescent="0.3">
      <c r="A5" s="1" t="s">
        <v>13</v>
      </c>
      <c r="B5" s="1" t="s">
        <v>14</v>
      </c>
      <c r="C5" s="1" t="s">
        <v>7</v>
      </c>
      <c r="D5" s="1" t="s">
        <v>8</v>
      </c>
      <c r="E5" s="3">
        <v>22.7769081</v>
      </c>
      <c r="F5" s="3">
        <v>22.658745700000001</v>
      </c>
      <c r="G5" s="3">
        <v>22.5405832</v>
      </c>
      <c r="H5" s="3">
        <v>22.422420800000001</v>
      </c>
      <c r="I5" s="3">
        <v>22.304258300000001</v>
      </c>
      <c r="J5" s="3">
        <v>22.1860958</v>
      </c>
      <c r="K5" s="3">
        <v>22.067933400000001</v>
      </c>
      <c r="L5" s="3">
        <v>21.949770900000001</v>
      </c>
      <c r="M5" s="3">
        <v>21.831608500000002</v>
      </c>
      <c r="N5" s="3">
        <v>21.713446000000001</v>
      </c>
      <c r="O5" s="3">
        <v>21.595283500000001</v>
      </c>
      <c r="P5" s="3">
        <v>21.503156300000001</v>
      </c>
      <c r="Q5" s="3">
        <v>21.4110291</v>
      </c>
      <c r="R5" s="3">
        <v>21.3189019</v>
      </c>
      <c r="S5" s="3">
        <v>21.2267747</v>
      </c>
      <c r="T5" s="3">
        <v>21.1346475</v>
      </c>
      <c r="U5" s="3">
        <v>21.0425203</v>
      </c>
      <c r="V5" s="3">
        <v>20.950393099999999</v>
      </c>
      <c r="W5" s="3">
        <v>20.858265899999999</v>
      </c>
      <c r="X5" s="3">
        <v>20.766138699999999</v>
      </c>
      <c r="Y5" s="3">
        <v>20.674011499999999</v>
      </c>
      <c r="Z5" s="3">
        <v>20.586055399999999</v>
      </c>
      <c r="AA5" s="3">
        <v>20.498099199999999</v>
      </c>
      <c r="AB5" s="3">
        <v>20.410143099999999</v>
      </c>
      <c r="AC5" s="3">
        <v>20.322186899999998</v>
      </c>
      <c r="AD5" s="3">
        <v>20.234230799999999</v>
      </c>
      <c r="AE5" s="3">
        <v>20.152610200000002</v>
      </c>
      <c r="AF5" s="3">
        <v>20.071327199999999</v>
      </c>
      <c r="AG5" s="3">
        <v>19.986099599999999</v>
      </c>
      <c r="AH5" s="3">
        <v>19.901214700000001</v>
      </c>
      <c r="AI5" s="3">
        <v>19.816762099999998</v>
      </c>
      <c r="AJ5" s="4">
        <f t="shared" si="0"/>
        <v>-2.9601460000000017</v>
      </c>
    </row>
    <row r="6" spans="1:36" ht="15.75" customHeight="1" x14ac:dyDescent="0.3">
      <c r="A6" s="1" t="s">
        <v>15</v>
      </c>
      <c r="B6" s="1" t="s">
        <v>16</v>
      </c>
      <c r="C6" s="1" t="s">
        <v>7</v>
      </c>
      <c r="D6" s="1" t="s">
        <v>8</v>
      </c>
      <c r="E6" s="3">
        <v>63.578070099999998</v>
      </c>
      <c r="F6" s="3">
        <v>63.453407400000003</v>
      </c>
      <c r="G6" s="3">
        <v>63.328744700000001</v>
      </c>
      <c r="H6" s="3">
        <v>63.204082</v>
      </c>
      <c r="I6" s="3">
        <v>63.079419299999998</v>
      </c>
      <c r="J6" s="3">
        <v>62.954756600000003</v>
      </c>
      <c r="K6" s="3">
        <v>62.8300938</v>
      </c>
      <c r="L6" s="3">
        <v>62.705431099999998</v>
      </c>
      <c r="M6" s="3">
        <v>62.580768399999997</v>
      </c>
      <c r="N6" s="3">
        <v>62.456105700000002</v>
      </c>
      <c r="O6" s="3">
        <v>62.331443</v>
      </c>
      <c r="P6" s="3">
        <v>61.886218800000002</v>
      </c>
      <c r="Q6" s="3">
        <v>61.440994600000003</v>
      </c>
      <c r="R6" s="3">
        <v>60.995770399999998</v>
      </c>
      <c r="S6" s="3">
        <v>60.550546199999999</v>
      </c>
      <c r="T6" s="3">
        <v>60.105322100000002</v>
      </c>
      <c r="U6" s="3">
        <v>59.660097899999997</v>
      </c>
      <c r="V6" s="3">
        <v>59.214873699999998</v>
      </c>
      <c r="W6" s="3">
        <v>58.7696495</v>
      </c>
      <c r="X6" s="3">
        <v>58.324425300000001</v>
      </c>
      <c r="Y6" s="3">
        <v>57.879201100000003</v>
      </c>
      <c r="Z6" s="3">
        <v>57.433976100000002</v>
      </c>
      <c r="AA6" s="3">
        <v>56.988751100000002</v>
      </c>
      <c r="AB6" s="3">
        <v>56.543526100000001</v>
      </c>
      <c r="AC6" s="3">
        <v>56.0983011</v>
      </c>
      <c r="AD6" s="3">
        <v>55.6530761</v>
      </c>
      <c r="AE6" s="3">
        <v>55.207844700000003</v>
      </c>
      <c r="AF6" s="3">
        <v>54.7626293</v>
      </c>
      <c r="AG6" s="3">
        <v>54.317405999999998</v>
      </c>
      <c r="AH6" s="3">
        <v>53.8721745</v>
      </c>
      <c r="AI6" s="3">
        <v>53.426951199999998</v>
      </c>
      <c r="AJ6" s="4">
        <f t="shared" si="0"/>
        <v>-10.1511189</v>
      </c>
    </row>
    <row r="7" spans="1:36" ht="15.75" customHeight="1" x14ac:dyDescent="0.3">
      <c r="A7" s="1" t="s">
        <v>17</v>
      </c>
      <c r="B7" s="1" t="s">
        <v>18</v>
      </c>
      <c r="C7" s="1" t="s">
        <v>7</v>
      </c>
      <c r="D7" s="1" t="s">
        <v>8</v>
      </c>
      <c r="E7" s="3">
        <v>28.788321199999999</v>
      </c>
      <c r="F7" s="3">
        <v>28.7171533</v>
      </c>
      <c r="G7" s="3">
        <v>28.645985400000001</v>
      </c>
      <c r="H7" s="3">
        <v>28.574817500000002</v>
      </c>
      <c r="I7" s="3">
        <v>28.503649599999999</v>
      </c>
      <c r="J7" s="3">
        <v>28.432481800000001</v>
      </c>
      <c r="K7" s="3">
        <v>28.361313899999999</v>
      </c>
      <c r="L7" s="3">
        <v>28.290146</v>
      </c>
      <c r="M7" s="3">
        <v>28.218978100000001</v>
      </c>
      <c r="N7" s="3">
        <v>28.147810199999999</v>
      </c>
      <c r="O7" s="3">
        <v>28.0766423</v>
      </c>
      <c r="P7" s="3">
        <v>28.123248199999999</v>
      </c>
      <c r="Q7" s="3">
        <v>28.169854000000001</v>
      </c>
      <c r="R7" s="3">
        <v>28.2164599</v>
      </c>
      <c r="S7" s="3">
        <v>28.263065699999999</v>
      </c>
      <c r="T7" s="3">
        <v>28.3096715</v>
      </c>
      <c r="U7" s="3">
        <v>28.3562774</v>
      </c>
      <c r="V7" s="3">
        <v>28.402883200000002</v>
      </c>
      <c r="W7" s="3">
        <v>28.449489100000001</v>
      </c>
      <c r="X7" s="3">
        <v>28.496094899999999</v>
      </c>
      <c r="Y7" s="3">
        <v>28.542700700000001</v>
      </c>
      <c r="Z7" s="3">
        <v>28.594653300000001</v>
      </c>
      <c r="AA7" s="3">
        <v>28.6466058</v>
      </c>
      <c r="AB7" s="3">
        <v>28.6985584</v>
      </c>
      <c r="AC7" s="3">
        <v>28.750510899999998</v>
      </c>
      <c r="AD7" s="3">
        <v>28.802463500000002</v>
      </c>
      <c r="AE7" s="3">
        <v>28.802189800000001</v>
      </c>
      <c r="AF7" s="3">
        <v>28.792062000000001</v>
      </c>
      <c r="AG7" s="3">
        <v>28.791970800000001</v>
      </c>
      <c r="AH7" s="3">
        <v>28.791970800000001</v>
      </c>
      <c r="AI7" s="3">
        <v>28.791970800000001</v>
      </c>
      <c r="AJ7" s="4">
        <f t="shared" si="0"/>
        <v>3.6496000000028062E-3</v>
      </c>
    </row>
    <row r="8" spans="1:36" ht="15.75" customHeight="1" x14ac:dyDescent="0.3">
      <c r="A8" s="1" t="s">
        <v>19</v>
      </c>
      <c r="B8" s="1" t="s">
        <v>20</v>
      </c>
      <c r="C8" s="1" t="s">
        <v>7</v>
      </c>
      <c r="D8" s="1" t="s">
        <v>8</v>
      </c>
      <c r="E8" s="3">
        <v>34.0425532</v>
      </c>
      <c r="F8" s="3">
        <v>34.0425532</v>
      </c>
      <c r="G8" s="3">
        <v>34.0425532</v>
      </c>
      <c r="H8" s="3">
        <v>34.0425532</v>
      </c>
      <c r="I8" s="3">
        <v>34.0425532</v>
      </c>
      <c r="J8" s="3">
        <v>34.0425532</v>
      </c>
      <c r="K8" s="3">
        <v>34.0425532</v>
      </c>
      <c r="L8" s="3">
        <v>34.0425532</v>
      </c>
      <c r="M8" s="3">
        <v>34.0425532</v>
      </c>
      <c r="N8" s="3">
        <v>34.0425532</v>
      </c>
      <c r="O8" s="3">
        <v>34.0425532</v>
      </c>
      <c r="P8" s="3">
        <v>34.0425532</v>
      </c>
      <c r="Q8" s="3">
        <v>34.0425532</v>
      </c>
      <c r="R8" s="3">
        <v>34.0425532</v>
      </c>
      <c r="S8" s="3">
        <v>34.0425532</v>
      </c>
      <c r="T8" s="3">
        <v>34.0425532</v>
      </c>
      <c r="U8" s="3">
        <v>34.0425532</v>
      </c>
      <c r="V8" s="3">
        <v>34.0425532</v>
      </c>
      <c r="W8" s="3">
        <v>34.0425532</v>
      </c>
      <c r="X8" s="3">
        <v>34.0425532</v>
      </c>
      <c r="Y8" s="3">
        <v>34.0425532</v>
      </c>
      <c r="Z8" s="3">
        <v>34.0425532</v>
      </c>
      <c r="AA8" s="3">
        <v>34.0425532</v>
      </c>
      <c r="AB8" s="3">
        <v>34.0425532</v>
      </c>
      <c r="AC8" s="3">
        <v>34.0425532</v>
      </c>
      <c r="AD8" s="3">
        <v>34.0425532</v>
      </c>
      <c r="AE8" s="3">
        <v>34.0425532</v>
      </c>
      <c r="AF8" s="3">
        <v>34.0425532</v>
      </c>
      <c r="AG8" s="3">
        <v>34.0425532</v>
      </c>
      <c r="AH8" s="3">
        <v>34.0425532</v>
      </c>
      <c r="AI8" s="3">
        <v>34.0425532</v>
      </c>
      <c r="AJ8" s="4">
        <f t="shared" si="0"/>
        <v>0</v>
      </c>
    </row>
    <row r="9" spans="1:36" ht="15.75" customHeight="1" x14ac:dyDescent="0.3">
      <c r="A9" s="1" t="s">
        <v>21</v>
      </c>
      <c r="B9" s="1" t="s">
        <v>22</v>
      </c>
      <c r="C9" s="1" t="s">
        <v>7</v>
      </c>
      <c r="D9" s="1" t="s">
        <v>8</v>
      </c>
      <c r="E9" s="3">
        <v>1.7860768</v>
      </c>
      <c r="F9" s="3">
        <v>1.77971035</v>
      </c>
      <c r="G9" s="3">
        <v>1.7733407400000001</v>
      </c>
      <c r="H9" s="3">
        <v>1.7669743</v>
      </c>
      <c r="I9" s="3">
        <v>1.7606078599999999</v>
      </c>
      <c r="J9" s="3">
        <v>1.75424143</v>
      </c>
      <c r="K9" s="3">
        <v>1.7478749899999999</v>
      </c>
      <c r="L9" s="3">
        <v>1.74150855</v>
      </c>
      <c r="M9" s="3">
        <v>1.73514211</v>
      </c>
      <c r="N9" s="3">
        <v>1.7287756700000001</v>
      </c>
      <c r="O9" s="3">
        <v>3.0020279699999999</v>
      </c>
      <c r="P9" s="3">
        <v>1.72047383</v>
      </c>
      <c r="Q9" s="3">
        <v>1.71853843</v>
      </c>
      <c r="R9" s="3">
        <v>1.71662965</v>
      </c>
      <c r="S9" s="3">
        <v>1.71469575</v>
      </c>
      <c r="T9" s="3">
        <v>1.7127588</v>
      </c>
      <c r="U9" s="3">
        <v>1.7108124600000001</v>
      </c>
      <c r="V9" s="3">
        <v>1.7088722199999999</v>
      </c>
      <c r="W9" s="3">
        <v>1.70693351</v>
      </c>
      <c r="X9" s="3">
        <v>1.7053773000000001</v>
      </c>
      <c r="Y9" s="3">
        <v>2.8595519899999999</v>
      </c>
      <c r="Z9" s="3">
        <v>2.97909048</v>
      </c>
      <c r="AA9" s="3">
        <v>2.9605478999999999</v>
      </c>
      <c r="AB9" s="3">
        <v>2.9420507100000002</v>
      </c>
      <c r="AC9" s="3">
        <v>2.92354271</v>
      </c>
      <c r="AD9" s="3">
        <v>2.9050734500000002</v>
      </c>
      <c r="AE9" s="3">
        <v>2.8874580700000001</v>
      </c>
      <c r="AF9" s="3">
        <v>2.8680501999999999</v>
      </c>
      <c r="AG9" s="3">
        <v>2.8485004599999999</v>
      </c>
      <c r="AH9" s="3">
        <v>2.8306787099999999</v>
      </c>
      <c r="AI9" s="3">
        <v>2.8129288099999998</v>
      </c>
      <c r="AJ9" s="4">
        <f t="shared" si="0"/>
        <v>1.0268520099999998</v>
      </c>
    </row>
    <row r="10" spans="1:36" ht="15.75" customHeight="1" x14ac:dyDescent="0.3">
      <c r="A10" s="1" t="s">
        <v>23</v>
      </c>
      <c r="B10" s="1" t="s">
        <v>24</v>
      </c>
      <c r="C10" s="1" t="s">
        <v>7</v>
      </c>
      <c r="D10" s="1" t="s">
        <v>8</v>
      </c>
      <c r="E10" s="3">
        <v>3.4497324699999998</v>
      </c>
      <c r="F10" s="3">
        <v>3.5404533900000001</v>
      </c>
      <c r="G10" s="3">
        <v>3.63117432</v>
      </c>
      <c r="H10" s="3">
        <v>3.7218952399999998</v>
      </c>
      <c r="I10" s="3">
        <v>3.8126161600000001</v>
      </c>
      <c r="J10" s="3">
        <v>3.90333709</v>
      </c>
      <c r="K10" s="3">
        <v>3.9940580099999998</v>
      </c>
      <c r="L10" s="3">
        <v>4.0847789399999996</v>
      </c>
      <c r="M10" s="3">
        <v>4.1754998600000004</v>
      </c>
      <c r="N10" s="3">
        <v>4.2662207800000003</v>
      </c>
      <c r="O10" s="3">
        <v>4.3569417100000001</v>
      </c>
      <c r="P10" s="3">
        <v>4.3680230900000003</v>
      </c>
      <c r="Q10" s="3">
        <v>4.3791044799999996</v>
      </c>
      <c r="R10" s="3">
        <v>4.3901858599999999</v>
      </c>
      <c r="S10" s="3">
        <v>4.4012672500000001</v>
      </c>
      <c r="T10" s="3">
        <v>4.4123486300000003</v>
      </c>
      <c r="U10" s="3">
        <v>4.4234300199999996</v>
      </c>
      <c r="V10" s="3">
        <v>4.4345114099999998</v>
      </c>
      <c r="W10" s="3">
        <v>4.4455927900000001</v>
      </c>
      <c r="X10" s="3">
        <v>4.4566741800000003</v>
      </c>
      <c r="Y10" s="3">
        <v>4.4677555599999996</v>
      </c>
      <c r="Z10" s="3">
        <v>4.4677555599999996</v>
      </c>
      <c r="AA10" s="3">
        <v>4.4677555599999996</v>
      </c>
      <c r="AB10" s="3">
        <v>4.4677555599999996</v>
      </c>
      <c r="AC10" s="3">
        <v>4.4677555599999996</v>
      </c>
      <c r="AD10" s="3">
        <v>4.4677555599999996</v>
      </c>
      <c r="AE10" s="3">
        <v>4.4677555599999996</v>
      </c>
      <c r="AF10" s="3">
        <v>4.4677555599999996</v>
      </c>
      <c r="AG10" s="3">
        <v>4.4677555599999996</v>
      </c>
      <c r="AH10" s="3">
        <v>4.4677555599999996</v>
      </c>
      <c r="AI10" s="3">
        <v>4.4677555599999996</v>
      </c>
      <c r="AJ10" s="4">
        <f t="shared" si="0"/>
        <v>1.0180230899999998</v>
      </c>
    </row>
    <row r="11" spans="1:36" ht="15.75" customHeight="1" x14ac:dyDescent="0.3">
      <c r="A11" s="1" t="s">
        <v>25</v>
      </c>
      <c r="B11" s="1" t="s">
        <v>26</v>
      </c>
      <c r="C11" s="1" t="s">
        <v>7</v>
      </c>
      <c r="D11" s="1" t="s">
        <v>8</v>
      </c>
      <c r="E11" s="3">
        <v>12.8637149</v>
      </c>
      <c r="F11" s="3">
        <v>12.796991999999999</v>
      </c>
      <c r="G11" s="3">
        <v>12.730269</v>
      </c>
      <c r="H11" s="3">
        <v>12.6635461</v>
      </c>
      <c r="I11" s="3">
        <v>12.596823199999999</v>
      </c>
      <c r="J11" s="3">
        <v>12.5301002</v>
      </c>
      <c r="K11" s="3">
        <v>12.463377299999999</v>
      </c>
      <c r="L11" s="3">
        <v>12.396654399999999</v>
      </c>
      <c r="M11" s="3">
        <v>12.3299314</v>
      </c>
      <c r="N11" s="3">
        <v>12.263208499999999</v>
      </c>
      <c r="O11" s="3">
        <v>12.1964855</v>
      </c>
      <c r="P11" s="3">
        <v>12.080871399999999</v>
      </c>
      <c r="Q11" s="3">
        <v>11.965257299999999</v>
      </c>
      <c r="R11" s="3">
        <v>11.849643199999999</v>
      </c>
      <c r="S11" s="3">
        <v>11.734029100000001</v>
      </c>
      <c r="T11" s="3">
        <v>11.618414899999999</v>
      </c>
      <c r="U11" s="3">
        <v>11.502800799999999</v>
      </c>
      <c r="V11" s="3">
        <v>11.387186700000001</v>
      </c>
      <c r="W11" s="3">
        <v>11.271572600000001</v>
      </c>
      <c r="X11" s="3">
        <v>11.155958500000001</v>
      </c>
      <c r="Y11" s="3">
        <v>11.0403444</v>
      </c>
      <c r="Z11" s="3">
        <v>10.9587129</v>
      </c>
      <c r="AA11" s="3">
        <v>10.8770814</v>
      </c>
      <c r="AB11" s="3">
        <v>10.795450000000001</v>
      </c>
      <c r="AC11" s="3">
        <v>10.7138185</v>
      </c>
      <c r="AD11" s="3">
        <v>10.632187099999999</v>
      </c>
      <c r="AE11" s="3">
        <v>10.6003968</v>
      </c>
      <c r="AF11" s="3">
        <v>10.559836900000001</v>
      </c>
      <c r="AG11" s="3">
        <v>10.5203732</v>
      </c>
      <c r="AH11" s="3">
        <v>10.4801786</v>
      </c>
      <c r="AI11" s="3">
        <v>10.4407149</v>
      </c>
      <c r="AJ11" s="4">
        <f t="shared" si="0"/>
        <v>-2.423</v>
      </c>
    </row>
    <row r="12" spans="1:36" ht="15.75" customHeight="1" x14ac:dyDescent="0.3">
      <c r="A12" s="1" t="s">
        <v>27</v>
      </c>
      <c r="B12" s="1" t="s">
        <v>28</v>
      </c>
      <c r="C12" s="1" t="s">
        <v>7</v>
      </c>
      <c r="D12" s="1" t="s">
        <v>8</v>
      </c>
      <c r="E12" s="3">
        <v>11.766772</v>
      </c>
      <c r="F12" s="3">
        <v>11.752722199999999</v>
      </c>
      <c r="G12" s="3">
        <v>11.7426063</v>
      </c>
      <c r="H12" s="3">
        <v>11.735265200000001</v>
      </c>
      <c r="I12" s="3">
        <v>11.727924099999999</v>
      </c>
      <c r="J12" s="3">
        <v>11.720583100000001</v>
      </c>
      <c r="K12" s="3">
        <v>11.713241999999999</v>
      </c>
      <c r="L12" s="3">
        <v>11.7059009</v>
      </c>
      <c r="M12" s="3">
        <v>11.698559899999999</v>
      </c>
      <c r="N12" s="3">
        <v>11.6912188</v>
      </c>
      <c r="O12" s="3">
        <v>11.683877799999999</v>
      </c>
      <c r="P12" s="3">
        <v>11.6765718</v>
      </c>
      <c r="Q12" s="3">
        <v>11.669265899999999</v>
      </c>
      <c r="R12" s="3">
        <v>11.661960000000001</v>
      </c>
      <c r="S12" s="3">
        <v>11.654654000000001</v>
      </c>
      <c r="T12" s="3">
        <v>11.6473481</v>
      </c>
      <c r="U12" s="3">
        <v>11.640042100000001</v>
      </c>
      <c r="V12" s="3">
        <v>11.6327362</v>
      </c>
      <c r="W12" s="3">
        <v>11.6254303</v>
      </c>
      <c r="X12" s="3">
        <v>11.6181243</v>
      </c>
      <c r="Y12" s="3">
        <v>11.610818399999999</v>
      </c>
      <c r="Z12" s="3">
        <v>11.603512500000001</v>
      </c>
      <c r="AA12" s="3">
        <v>11.596206499999999</v>
      </c>
      <c r="AB12" s="3">
        <v>11.588900600000001</v>
      </c>
      <c r="AC12" s="3">
        <v>11.5815947</v>
      </c>
      <c r="AD12" s="3">
        <v>11.5742887</v>
      </c>
      <c r="AE12" s="3">
        <v>11.566912500000001</v>
      </c>
      <c r="AF12" s="3">
        <v>11.559536400000001</v>
      </c>
      <c r="AG12" s="3">
        <v>11.552160199999999</v>
      </c>
      <c r="AH12" s="3">
        <v>11.544784</v>
      </c>
      <c r="AI12" s="3">
        <v>11.5374078</v>
      </c>
      <c r="AJ12" s="4">
        <f t="shared" si="0"/>
        <v>-0.22936419999999913</v>
      </c>
    </row>
    <row r="13" spans="1:36" ht="15.75" customHeight="1" x14ac:dyDescent="0.3">
      <c r="A13" s="1" t="s">
        <v>29</v>
      </c>
      <c r="B13" s="1" t="s">
        <v>30</v>
      </c>
      <c r="C13" s="1" t="s">
        <v>7</v>
      </c>
      <c r="D13" s="1" t="s">
        <v>8</v>
      </c>
      <c r="E13" s="3">
        <v>90.35</v>
      </c>
      <c r="F13" s="3">
        <v>90.18</v>
      </c>
      <c r="G13" s="3">
        <v>90.01</v>
      </c>
      <c r="H13" s="3">
        <v>89.84</v>
      </c>
      <c r="I13" s="3">
        <v>89.67</v>
      </c>
      <c r="J13" s="3">
        <v>89.5</v>
      </c>
      <c r="K13" s="3">
        <v>89.33</v>
      </c>
      <c r="L13" s="3">
        <v>89.16</v>
      </c>
      <c r="M13" s="3">
        <v>88.99</v>
      </c>
      <c r="N13" s="3">
        <v>88.82</v>
      </c>
      <c r="O13" s="3">
        <v>88.65</v>
      </c>
      <c r="P13" s="3">
        <v>88.5</v>
      </c>
      <c r="Q13" s="3">
        <v>88.35</v>
      </c>
      <c r="R13" s="3">
        <v>88.2</v>
      </c>
      <c r="S13" s="3">
        <v>88.05</v>
      </c>
      <c r="T13" s="3">
        <v>87.9</v>
      </c>
      <c r="U13" s="3">
        <v>87.75</v>
      </c>
      <c r="V13" s="3">
        <v>87.6</v>
      </c>
      <c r="W13" s="3">
        <v>87.45</v>
      </c>
      <c r="X13" s="3">
        <v>87.3</v>
      </c>
      <c r="Y13" s="3">
        <v>87.15</v>
      </c>
      <c r="Z13" s="3">
        <v>87</v>
      </c>
      <c r="AA13" s="3">
        <v>86.85</v>
      </c>
      <c r="AB13" s="3">
        <v>86.7</v>
      </c>
      <c r="AC13" s="3">
        <v>86.55</v>
      </c>
      <c r="AD13" s="3">
        <v>86.4</v>
      </c>
      <c r="AE13" s="3">
        <v>86.25</v>
      </c>
      <c r="AF13" s="3">
        <v>86.1</v>
      </c>
      <c r="AG13" s="3">
        <v>85.95</v>
      </c>
      <c r="AH13" s="3">
        <v>85.8</v>
      </c>
      <c r="AI13" s="3">
        <v>85.65</v>
      </c>
      <c r="AJ13" s="4">
        <f t="shared" si="0"/>
        <v>-4.6999999999999886</v>
      </c>
    </row>
    <row r="14" spans="1:36" ht="15.75" customHeight="1" x14ac:dyDescent="0.3">
      <c r="A14" s="1" t="s">
        <v>31</v>
      </c>
      <c r="B14" s="1" t="s">
        <v>32</v>
      </c>
      <c r="C14" s="1" t="s">
        <v>7</v>
      </c>
      <c r="D14" s="1" t="s">
        <v>8</v>
      </c>
      <c r="E14" s="3">
        <v>22.9772727</v>
      </c>
      <c r="F14" s="3">
        <v>22.827272700000002</v>
      </c>
      <c r="G14" s="3">
        <v>22.6772727</v>
      </c>
      <c r="H14" s="3">
        <v>22.527272700000001</v>
      </c>
      <c r="I14" s="3">
        <v>22.377272699999999</v>
      </c>
      <c r="J14" s="3">
        <v>22.2272727</v>
      </c>
      <c r="K14" s="3">
        <v>22.077272700000002</v>
      </c>
      <c r="L14" s="3">
        <v>21.9272727</v>
      </c>
      <c r="M14" s="3">
        <v>21.777272700000001</v>
      </c>
      <c r="N14" s="3">
        <v>21.627272699999999</v>
      </c>
      <c r="O14" s="3">
        <v>21.4772727</v>
      </c>
      <c r="P14" s="3">
        <v>21.324999999999999</v>
      </c>
      <c r="Q14" s="3">
        <v>21.172727299999998</v>
      </c>
      <c r="R14" s="3">
        <v>21.0204545</v>
      </c>
      <c r="S14" s="3">
        <v>20.868181799999999</v>
      </c>
      <c r="T14" s="3">
        <v>20.715909100000001</v>
      </c>
      <c r="U14" s="3">
        <v>20.5636364</v>
      </c>
      <c r="V14" s="3">
        <v>20.411363600000001</v>
      </c>
      <c r="W14" s="3">
        <v>20.2590909</v>
      </c>
      <c r="X14" s="3">
        <v>20.106818199999999</v>
      </c>
      <c r="Y14" s="3">
        <v>19.954545499999998</v>
      </c>
      <c r="Z14" s="3">
        <v>19.8045455</v>
      </c>
      <c r="AA14" s="3">
        <v>19.654545500000001</v>
      </c>
      <c r="AB14" s="3">
        <v>19.504545499999999</v>
      </c>
      <c r="AC14" s="3">
        <v>19.3545455</v>
      </c>
      <c r="AD14" s="3">
        <v>19.204545499999998</v>
      </c>
      <c r="AE14" s="3">
        <v>19.045454500000002</v>
      </c>
      <c r="AF14" s="3">
        <v>18.909090899999999</v>
      </c>
      <c r="AG14" s="3">
        <v>18.75</v>
      </c>
      <c r="AH14" s="3">
        <v>18.590909100000001</v>
      </c>
      <c r="AI14" s="3">
        <v>18.454545499999998</v>
      </c>
      <c r="AJ14" s="4">
        <f t="shared" si="0"/>
        <v>-4.5227272000000021</v>
      </c>
    </row>
    <row r="15" spans="1:36" ht="15.75" customHeight="1" x14ac:dyDescent="0.3">
      <c r="A15" s="1" t="s">
        <v>33</v>
      </c>
      <c r="B15" s="1" t="s">
        <v>34</v>
      </c>
      <c r="C15" s="1" t="s">
        <v>7</v>
      </c>
      <c r="D15" s="1" t="s">
        <v>8</v>
      </c>
      <c r="E15" s="3">
        <v>17.427358999999999</v>
      </c>
      <c r="F15" s="3">
        <v>17.400438699999999</v>
      </c>
      <c r="G15" s="3">
        <v>17.373518300000001</v>
      </c>
      <c r="H15" s="3">
        <v>17.346598</v>
      </c>
      <c r="I15" s="3">
        <v>17.3196777</v>
      </c>
      <c r="J15" s="3">
        <v>17.292757399999999</v>
      </c>
      <c r="K15" s="3">
        <v>17.265837099999999</v>
      </c>
      <c r="L15" s="3">
        <v>17.238916700000001</v>
      </c>
      <c r="M15" s="3">
        <v>17.2119964</v>
      </c>
      <c r="N15" s="3">
        <v>17.1850761</v>
      </c>
      <c r="O15" s="3">
        <v>17.158155799999999</v>
      </c>
      <c r="P15" s="3">
        <v>17.128633399999998</v>
      </c>
      <c r="Q15" s="3">
        <v>17.099110899999999</v>
      </c>
      <c r="R15" s="3">
        <v>17.069588499999998</v>
      </c>
      <c r="S15" s="3">
        <v>17.040066100000001</v>
      </c>
      <c r="T15" s="3">
        <v>17.010543699999999</v>
      </c>
      <c r="U15" s="3">
        <v>16.981021299999998</v>
      </c>
      <c r="V15" s="3">
        <v>16.951498900000001</v>
      </c>
      <c r="W15" s="3">
        <v>16.9219765</v>
      </c>
      <c r="X15" s="3">
        <v>16.892454099999998</v>
      </c>
      <c r="Y15" s="3">
        <v>16.862931700000001</v>
      </c>
      <c r="Z15" s="3">
        <v>16.955310300000001</v>
      </c>
      <c r="AA15" s="3">
        <v>17.0476888</v>
      </c>
      <c r="AB15" s="3">
        <v>17.1400674</v>
      </c>
      <c r="AC15" s="3">
        <v>17.232445999999999</v>
      </c>
      <c r="AD15" s="3">
        <v>17.324824599999999</v>
      </c>
      <c r="AE15" s="3">
        <v>17.425487700000001</v>
      </c>
      <c r="AF15" s="3">
        <v>17.422913600000001</v>
      </c>
      <c r="AG15" s="3">
        <v>17.421314599999999</v>
      </c>
      <c r="AH15" s="3">
        <v>17.421314599999999</v>
      </c>
      <c r="AI15" s="3">
        <v>17.421314599999999</v>
      </c>
      <c r="AJ15" s="4">
        <f t="shared" si="0"/>
        <v>-6.0444000000003939E-3</v>
      </c>
    </row>
    <row r="16" spans="1:36" ht="15.75" customHeight="1" x14ac:dyDescent="0.3">
      <c r="A16" s="1" t="s">
        <v>35</v>
      </c>
      <c r="B16" s="1" t="s">
        <v>36</v>
      </c>
      <c r="C16" s="1" t="s">
        <v>7</v>
      </c>
      <c r="D16" s="1" t="s">
        <v>8</v>
      </c>
      <c r="E16" s="3">
        <v>45.721361100000003</v>
      </c>
      <c r="F16" s="3">
        <v>45.797009000000003</v>
      </c>
      <c r="G16" s="3">
        <v>45.872656800000001</v>
      </c>
      <c r="H16" s="3">
        <v>45.948304700000001</v>
      </c>
      <c r="I16" s="3">
        <v>46.0239525</v>
      </c>
      <c r="J16" s="3">
        <v>46.0996004</v>
      </c>
      <c r="K16" s="3">
        <v>46.175248199999999</v>
      </c>
      <c r="L16" s="3">
        <v>46.250896099999999</v>
      </c>
      <c r="M16" s="3">
        <v>46.326543999999998</v>
      </c>
      <c r="N16" s="3">
        <v>46.402191799999997</v>
      </c>
      <c r="O16" s="3">
        <v>46.477839699999997</v>
      </c>
      <c r="P16" s="3">
        <v>46.508186000000002</v>
      </c>
      <c r="Q16" s="3">
        <v>46.5385323</v>
      </c>
      <c r="R16" s="3">
        <v>46.568878699999999</v>
      </c>
      <c r="S16" s="3">
        <v>46.599224999999997</v>
      </c>
      <c r="T16" s="3">
        <v>46.629571300000002</v>
      </c>
      <c r="U16" s="3">
        <v>46.659917700000001</v>
      </c>
      <c r="V16" s="3">
        <v>46.691394799999998</v>
      </c>
      <c r="W16" s="3">
        <v>46.721741899999998</v>
      </c>
      <c r="X16" s="3">
        <v>46.752088899999997</v>
      </c>
      <c r="Y16" s="3">
        <v>46.786402000000002</v>
      </c>
      <c r="Z16" s="3">
        <v>46.835648800000001</v>
      </c>
      <c r="AA16" s="3">
        <v>46.883203700000003</v>
      </c>
      <c r="AB16" s="3">
        <v>46.939864999999998</v>
      </c>
      <c r="AC16" s="3">
        <v>46.988015500000003</v>
      </c>
      <c r="AD16" s="3">
        <v>47.033325300000001</v>
      </c>
      <c r="AE16" s="3">
        <v>47.076951000000001</v>
      </c>
      <c r="AF16" s="3">
        <v>47.1204556</v>
      </c>
      <c r="AG16" s="3">
        <v>47.163960299999999</v>
      </c>
      <c r="AH16" s="3">
        <v>47.207464899999998</v>
      </c>
      <c r="AI16" s="3">
        <v>47.250969499999997</v>
      </c>
      <c r="AJ16" s="4">
        <f t="shared" si="0"/>
        <v>1.5296083999999937</v>
      </c>
    </row>
    <row r="17" spans="1:36" ht="15.75" customHeight="1" x14ac:dyDescent="0.3">
      <c r="A17" s="1" t="s">
        <v>37</v>
      </c>
      <c r="B17" s="1" t="s">
        <v>38</v>
      </c>
      <c r="C17" s="1" t="s">
        <v>7</v>
      </c>
      <c r="D17" s="1" t="s">
        <v>8</v>
      </c>
      <c r="E17" s="3">
        <v>10.238292700000001</v>
      </c>
      <c r="F17" s="3">
        <v>10.283956399999999</v>
      </c>
      <c r="G17" s="3">
        <v>11.4548229</v>
      </c>
      <c r="H17" s="3">
        <v>11.5058702</v>
      </c>
      <c r="I17" s="3">
        <v>11.556917500000001</v>
      </c>
      <c r="J17" s="3">
        <v>11.6079647</v>
      </c>
      <c r="K17" s="3">
        <v>11.659012000000001</v>
      </c>
      <c r="L17" s="3">
        <v>11.7100592</v>
      </c>
      <c r="M17" s="3">
        <v>11.7787994</v>
      </c>
      <c r="N17" s="3">
        <v>11.885279000000001</v>
      </c>
      <c r="O17" s="3">
        <v>11.9510925</v>
      </c>
      <c r="P17" s="3">
        <v>12.006046899999999</v>
      </c>
      <c r="Q17" s="3">
        <v>12.0588116</v>
      </c>
      <c r="R17" s="3">
        <v>12.108629000000001</v>
      </c>
      <c r="S17" s="3">
        <v>12.160463</v>
      </c>
      <c r="T17" s="3">
        <v>12.217001</v>
      </c>
      <c r="U17" s="3">
        <v>12.2751891</v>
      </c>
      <c r="V17" s="3">
        <v>12.3311694</v>
      </c>
      <c r="W17" s="3">
        <v>12.3862624</v>
      </c>
      <c r="X17" s="3">
        <v>12.4418085</v>
      </c>
      <c r="Y17" s="3">
        <v>12.491465699999999</v>
      </c>
      <c r="Z17" s="3">
        <v>12.6009957</v>
      </c>
      <c r="AA17" s="3">
        <v>12.7108265</v>
      </c>
      <c r="AB17" s="3">
        <v>12.820503499999999</v>
      </c>
      <c r="AC17" s="3">
        <v>12.9297086</v>
      </c>
      <c r="AD17" s="3">
        <v>13.0395336</v>
      </c>
      <c r="AE17" s="3">
        <v>13.1544115</v>
      </c>
      <c r="AF17" s="3">
        <v>13.2731461</v>
      </c>
      <c r="AG17" s="3">
        <v>13.4139298</v>
      </c>
      <c r="AH17" s="3">
        <v>13.553367</v>
      </c>
      <c r="AI17" s="3">
        <v>13.692864200000001</v>
      </c>
      <c r="AJ17" s="4">
        <f t="shared" si="0"/>
        <v>3.4545715000000001</v>
      </c>
    </row>
    <row r="18" spans="1:36" ht="15.75" customHeight="1" x14ac:dyDescent="0.3">
      <c r="A18" s="1" t="s">
        <v>39</v>
      </c>
      <c r="B18" s="1" t="s">
        <v>40</v>
      </c>
      <c r="C18" s="1" t="s">
        <v>7</v>
      </c>
      <c r="D18" s="1" t="s">
        <v>8</v>
      </c>
      <c r="E18" s="3">
        <v>10.7663551</v>
      </c>
      <c r="F18" s="3">
        <v>10.444937700000001</v>
      </c>
      <c r="G18" s="3">
        <v>10.1235202</v>
      </c>
      <c r="H18" s="3">
        <v>9.8021028000000001</v>
      </c>
      <c r="I18" s="3">
        <v>9.4806853600000007</v>
      </c>
      <c r="J18" s="3">
        <v>9.1592679100000005</v>
      </c>
      <c r="K18" s="3">
        <v>8.8378504699999993</v>
      </c>
      <c r="L18" s="3">
        <v>8.5164330199999991</v>
      </c>
      <c r="M18" s="3">
        <v>8.1950155799999997</v>
      </c>
      <c r="N18" s="3">
        <v>7.8735981300000004</v>
      </c>
      <c r="O18" s="3">
        <v>7.5521806900000001</v>
      </c>
      <c r="P18" s="3">
        <v>7.5521806900000001</v>
      </c>
      <c r="Q18" s="3">
        <v>7.5521806900000001</v>
      </c>
      <c r="R18" s="3">
        <v>7.5521806900000001</v>
      </c>
      <c r="S18" s="3">
        <v>7.5521806900000001</v>
      </c>
      <c r="T18" s="3">
        <v>7.5521806900000001</v>
      </c>
      <c r="U18" s="3">
        <v>7.5521806900000001</v>
      </c>
      <c r="V18" s="3">
        <v>7.5521806900000001</v>
      </c>
      <c r="W18" s="3">
        <v>7.5521806900000001</v>
      </c>
      <c r="X18" s="3">
        <v>7.5521806900000001</v>
      </c>
      <c r="Y18" s="3">
        <v>7.5521806900000001</v>
      </c>
      <c r="Z18" s="3">
        <v>8.2196261699999997</v>
      </c>
      <c r="AA18" s="3">
        <v>8.8870716499999993</v>
      </c>
      <c r="AB18" s="3">
        <v>9.5545171300000007</v>
      </c>
      <c r="AC18" s="3">
        <v>10.221962599999999</v>
      </c>
      <c r="AD18" s="3">
        <v>10.889408100000001</v>
      </c>
      <c r="AE18" s="3">
        <v>10.889408100000001</v>
      </c>
      <c r="AF18" s="3">
        <v>10.889408100000001</v>
      </c>
      <c r="AG18" s="3">
        <v>10.889408100000001</v>
      </c>
      <c r="AH18" s="3">
        <v>10.889408100000001</v>
      </c>
      <c r="AI18" s="3">
        <v>10.889408100000001</v>
      </c>
      <c r="AJ18" s="4">
        <f t="shared" si="0"/>
        <v>0.12305300000000052</v>
      </c>
    </row>
    <row r="19" spans="1:36" ht="15.75" customHeight="1" x14ac:dyDescent="0.3">
      <c r="A19" s="1" t="s">
        <v>41</v>
      </c>
      <c r="B19" s="1" t="s">
        <v>42</v>
      </c>
      <c r="C19" s="1" t="s">
        <v>7</v>
      </c>
      <c r="D19" s="1" t="s">
        <v>8</v>
      </c>
      <c r="E19" s="3">
        <v>23.2541133</v>
      </c>
      <c r="F19" s="3">
        <v>23.226081700000002</v>
      </c>
      <c r="G19" s="3">
        <v>23.198049999999999</v>
      </c>
      <c r="H19" s="3">
        <v>23.170018299999999</v>
      </c>
      <c r="I19" s="3">
        <v>23.141986599999999</v>
      </c>
      <c r="J19" s="3">
        <v>23.1139549</v>
      </c>
      <c r="K19" s="3">
        <v>23.0859232</v>
      </c>
      <c r="L19" s="3">
        <v>23.0578915</v>
      </c>
      <c r="M19" s="3">
        <v>23.029859800000001</v>
      </c>
      <c r="N19" s="3">
        <v>23.001828199999999</v>
      </c>
      <c r="O19" s="3">
        <v>22.037648600000001</v>
      </c>
      <c r="P19" s="3">
        <v>22.112186300000001</v>
      </c>
      <c r="Q19" s="3">
        <v>22.1867239</v>
      </c>
      <c r="R19" s="3">
        <v>22.261261600000001</v>
      </c>
      <c r="S19" s="3">
        <v>22.3357992</v>
      </c>
      <c r="T19" s="3">
        <v>22.410336900000001</v>
      </c>
      <c r="U19" s="3">
        <v>22.4848745</v>
      </c>
      <c r="V19" s="3">
        <v>22.559412200000001</v>
      </c>
      <c r="W19" s="3">
        <v>22.6339498</v>
      </c>
      <c r="X19" s="3">
        <v>22.7084875</v>
      </c>
      <c r="Y19" s="3">
        <v>22.7830251</v>
      </c>
      <c r="Z19" s="3">
        <v>22.7792602</v>
      </c>
      <c r="AA19" s="3">
        <v>22.775495400000001</v>
      </c>
      <c r="AB19" s="3">
        <v>22.7717305</v>
      </c>
      <c r="AC19" s="3">
        <v>22.767965700000001</v>
      </c>
      <c r="AD19" s="3">
        <v>22.764200800000001</v>
      </c>
      <c r="AE19" s="3">
        <v>22.764200800000001</v>
      </c>
      <c r="AF19" s="3">
        <v>22.764200800000001</v>
      </c>
      <c r="AG19" s="3">
        <v>22.764200800000001</v>
      </c>
      <c r="AH19" s="3">
        <v>22.764200800000001</v>
      </c>
      <c r="AI19" s="3">
        <v>22.764200800000001</v>
      </c>
      <c r="AJ19" s="4">
        <f t="shared" si="0"/>
        <v>-0.48991249999999908</v>
      </c>
    </row>
    <row r="20" spans="1:36" ht="15.75" customHeight="1" x14ac:dyDescent="0.3">
      <c r="A20" s="1" t="s">
        <v>43</v>
      </c>
      <c r="B20" s="1" t="s">
        <v>44</v>
      </c>
      <c r="C20" s="1" t="s">
        <v>7</v>
      </c>
      <c r="D20" s="1" t="s">
        <v>8</v>
      </c>
      <c r="E20" s="3">
        <v>42.880010599999999</v>
      </c>
      <c r="F20" s="3">
        <v>42.2592231</v>
      </c>
      <c r="G20" s="3">
        <v>41.638435600000001</v>
      </c>
      <c r="H20" s="3">
        <v>41.017648100000002</v>
      </c>
      <c r="I20" s="3">
        <v>40.396860599999997</v>
      </c>
      <c r="J20" s="3">
        <v>39.776073099999998</v>
      </c>
      <c r="K20" s="3">
        <v>39.155285599999999</v>
      </c>
      <c r="L20" s="3">
        <v>38.534497999999999</v>
      </c>
      <c r="M20" s="3">
        <v>37.913710500000001</v>
      </c>
      <c r="N20" s="3">
        <v>37.292923000000002</v>
      </c>
      <c r="O20" s="3">
        <v>36.672135500000003</v>
      </c>
      <c r="P20" s="3">
        <v>36.228715899999997</v>
      </c>
      <c r="Q20" s="3">
        <v>35.785296199999998</v>
      </c>
      <c r="R20" s="3">
        <v>35.341876599999999</v>
      </c>
      <c r="S20" s="3">
        <v>34.898456899999999</v>
      </c>
      <c r="T20" s="3">
        <v>34.4550372</v>
      </c>
      <c r="U20" s="3">
        <v>34.011617600000001</v>
      </c>
      <c r="V20" s="3">
        <v>33.568197900000001</v>
      </c>
      <c r="W20" s="3">
        <v>33.124778300000003</v>
      </c>
      <c r="X20" s="3">
        <v>32.681358600000003</v>
      </c>
      <c r="Y20" s="3">
        <v>32.237938999999997</v>
      </c>
      <c r="Z20" s="3">
        <v>31.794519300000001</v>
      </c>
      <c r="AA20" s="3">
        <v>31.351099699999999</v>
      </c>
      <c r="AB20" s="3">
        <v>30.907679999999999</v>
      </c>
      <c r="AC20" s="3">
        <v>30.464260400000001</v>
      </c>
      <c r="AD20" s="3">
        <v>30.020840700000001</v>
      </c>
      <c r="AE20" s="3">
        <v>29.577421099999999</v>
      </c>
      <c r="AF20" s="3">
        <v>29.134001399999999</v>
      </c>
      <c r="AG20" s="3">
        <v>28.6905818</v>
      </c>
      <c r="AH20" s="3">
        <v>28.247162100000001</v>
      </c>
      <c r="AI20" s="3">
        <v>27.803742499999998</v>
      </c>
      <c r="AJ20" s="4">
        <f t="shared" si="0"/>
        <v>-15.0762681</v>
      </c>
    </row>
    <row r="21" spans="1:36" ht="15.75" customHeight="1" x14ac:dyDescent="0.3">
      <c r="A21" s="1" t="s">
        <v>45</v>
      </c>
      <c r="B21" s="1" t="s">
        <v>46</v>
      </c>
      <c r="C21" s="1" t="s">
        <v>7</v>
      </c>
      <c r="D21" s="1" t="s">
        <v>8</v>
      </c>
      <c r="E21" s="3">
        <v>28.203947400000001</v>
      </c>
      <c r="F21" s="3">
        <v>28.0211623</v>
      </c>
      <c r="G21" s="3">
        <v>27.8383772</v>
      </c>
      <c r="H21" s="3">
        <v>27.6555921</v>
      </c>
      <c r="I21" s="3">
        <v>27.472807</v>
      </c>
      <c r="J21" s="3">
        <v>27.290021899999999</v>
      </c>
      <c r="K21" s="3">
        <v>27.107236799999999</v>
      </c>
      <c r="L21" s="3">
        <v>26.9244518</v>
      </c>
      <c r="M21" s="3">
        <v>26.7416667</v>
      </c>
      <c r="N21" s="3">
        <v>26.558881599999999</v>
      </c>
      <c r="O21" s="3">
        <v>26.376096499999999</v>
      </c>
      <c r="P21" s="3">
        <v>26.193348</v>
      </c>
      <c r="Q21" s="3">
        <v>26.0105994</v>
      </c>
      <c r="R21" s="3">
        <v>25.827850900000001</v>
      </c>
      <c r="S21" s="3">
        <v>25.645102300000001</v>
      </c>
      <c r="T21" s="3">
        <v>25.462353799999999</v>
      </c>
      <c r="U21" s="3">
        <v>25.2796053</v>
      </c>
      <c r="V21" s="3">
        <v>25.0968567</v>
      </c>
      <c r="W21" s="3">
        <v>24.914108200000001</v>
      </c>
      <c r="X21" s="3">
        <v>24.731359600000001</v>
      </c>
      <c r="Y21" s="3">
        <v>24.548611099999999</v>
      </c>
      <c r="Z21" s="3">
        <v>24.365789500000002</v>
      </c>
      <c r="AA21" s="3">
        <v>24.1829678</v>
      </c>
      <c r="AB21" s="3">
        <v>24.0001462</v>
      </c>
      <c r="AC21" s="3">
        <v>23.817324599999999</v>
      </c>
      <c r="AD21" s="3">
        <v>23.634502900000001</v>
      </c>
      <c r="AE21" s="3">
        <v>23.451754399999999</v>
      </c>
      <c r="AF21" s="3">
        <v>23.269005799999999</v>
      </c>
      <c r="AG21" s="3">
        <v>23.0862573</v>
      </c>
      <c r="AH21" s="3">
        <v>22.903508800000001</v>
      </c>
      <c r="AI21" s="3">
        <v>22.720760200000001</v>
      </c>
      <c r="AJ21" s="4">
        <f t="shared" si="0"/>
        <v>-5.4831871999999997</v>
      </c>
    </row>
    <row r="22" spans="1:36" ht="15.75" customHeight="1" x14ac:dyDescent="0.3">
      <c r="A22" s="1" t="s">
        <v>47</v>
      </c>
      <c r="B22" s="1" t="s">
        <v>48</v>
      </c>
      <c r="C22" s="1" t="s">
        <v>7</v>
      </c>
      <c r="D22" s="1" t="s">
        <v>8</v>
      </c>
      <c r="E22" s="3">
        <v>14.752477499999999</v>
      </c>
      <c r="F22" s="3">
        <v>14.752476</v>
      </c>
      <c r="G22" s="3">
        <v>14.7524745</v>
      </c>
      <c r="H22" s="3">
        <v>14.752472900000001</v>
      </c>
      <c r="I22" s="3">
        <v>14.752471399999999</v>
      </c>
      <c r="J22" s="3">
        <v>14.7524698</v>
      </c>
      <c r="K22" s="3">
        <v>14.752469100000001</v>
      </c>
      <c r="L22" s="3">
        <v>14.7524675</v>
      </c>
      <c r="M22" s="3">
        <v>14.752466</v>
      </c>
      <c r="N22" s="3">
        <v>14.7524645</v>
      </c>
      <c r="O22" s="3">
        <v>14.752462899999999</v>
      </c>
      <c r="P22" s="3">
        <v>14.727890500000001</v>
      </c>
      <c r="Q22" s="3">
        <v>14.703317999999999</v>
      </c>
      <c r="R22" s="3">
        <v>14.6787455</v>
      </c>
      <c r="S22" s="3">
        <v>14.654173</v>
      </c>
      <c r="T22" s="3">
        <v>14.6296005</v>
      </c>
      <c r="U22" s="3">
        <v>14.605028000000001</v>
      </c>
      <c r="V22" s="3">
        <v>14.580455600000001</v>
      </c>
      <c r="W22" s="3">
        <v>14.555883100000001</v>
      </c>
      <c r="X22" s="3">
        <v>14.531309800000001</v>
      </c>
      <c r="Y22" s="3">
        <v>14.5067377</v>
      </c>
      <c r="Z22" s="3">
        <v>14.4991442</v>
      </c>
      <c r="AA22" s="3">
        <v>14.491550999999999</v>
      </c>
      <c r="AB22" s="3">
        <v>14.4839579</v>
      </c>
      <c r="AC22" s="3">
        <v>14.476364800000001</v>
      </c>
      <c r="AD22" s="3">
        <v>14.4687716</v>
      </c>
      <c r="AE22" s="3">
        <v>14.4687716</v>
      </c>
      <c r="AF22" s="3">
        <v>14.4687716</v>
      </c>
      <c r="AG22" s="3">
        <v>14.4687716</v>
      </c>
      <c r="AH22" s="3">
        <v>14.4687716</v>
      </c>
      <c r="AI22" s="3">
        <v>14.4687716</v>
      </c>
      <c r="AJ22" s="4">
        <f t="shared" si="0"/>
        <v>-0.28370589999999929</v>
      </c>
    </row>
    <row r="23" spans="1:36" ht="15.75" customHeight="1" x14ac:dyDescent="0.3">
      <c r="A23" s="1" t="s">
        <v>49</v>
      </c>
      <c r="B23" s="1" t="s">
        <v>50</v>
      </c>
      <c r="C23" s="1" t="s">
        <v>7</v>
      </c>
      <c r="D23" s="1" t="s">
        <v>8</v>
      </c>
      <c r="E23" s="3">
        <v>30.073217</v>
      </c>
      <c r="F23" s="3">
        <v>30.116604899999999</v>
      </c>
      <c r="G23" s="3">
        <v>30.159992800000001</v>
      </c>
      <c r="H23" s="3">
        <v>30.203380599999999</v>
      </c>
      <c r="I23" s="3">
        <v>30.246768500000002</v>
      </c>
      <c r="J23" s="3">
        <v>30.290156400000001</v>
      </c>
      <c r="K23" s="3">
        <v>30.333544199999999</v>
      </c>
      <c r="L23" s="3">
        <v>30.376932100000001</v>
      </c>
      <c r="M23" s="3">
        <v>30.42032</v>
      </c>
      <c r="N23" s="3">
        <v>30.463707899999999</v>
      </c>
      <c r="O23" s="3">
        <v>30.507095700000001</v>
      </c>
      <c r="P23" s="3">
        <v>30.834312600000001</v>
      </c>
      <c r="Q23" s="3">
        <v>31.685661799999998</v>
      </c>
      <c r="R23" s="3">
        <v>32.027213400000001</v>
      </c>
      <c r="S23" s="3">
        <v>32.363001099999998</v>
      </c>
      <c r="T23" s="3">
        <v>32.731958800000001</v>
      </c>
      <c r="U23" s="3">
        <v>33.068213200000002</v>
      </c>
      <c r="V23" s="3">
        <v>33.407605199999999</v>
      </c>
      <c r="W23" s="3">
        <v>33.740907800000002</v>
      </c>
      <c r="X23" s="3">
        <v>34.089904199999999</v>
      </c>
      <c r="Y23" s="3">
        <v>34.4233604</v>
      </c>
      <c r="Z23" s="3">
        <v>34.600221099999999</v>
      </c>
      <c r="AA23" s="3">
        <v>34.777081799999998</v>
      </c>
      <c r="AB23" s="3">
        <v>34.953942499999997</v>
      </c>
      <c r="AC23" s="3">
        <v>35.130803200000003</v>
      </c>
      <c r="AD23" s="3">
        <v>35.307664000000003</v>
      </c>
      <c r="AE23" s="3">
        <v>35.381355900000003</v>
      </c>
      <c r="AF23" s="3">
        <v>35.5011054</v>
      </c>
      <c r="AG23" s="3">
        <v>35.620854799999996</v>
      </c>
      <c r="AH23" s="3">
        <v>35.740604300000001</v>
      </c>
      <c r="AI23" s="3">
        <v>35.860353699999997</v>
      </c>
      <c r="AJ23" s="4">
        <f t="shared" si="0"/>
        <v>5.7871366999999978</v>
      </c>
    </row>
    <row r="24" spans="1:36" ht="15.75" customHeight="1" x14ac:dyDescent="0.3">
      <c r="A24" s="1" t="s">
        <v>51</v>
      </c>
      <c r="B24" s="1" t="s">
        <v>52</v>
      </c>
      <c r="C24" s="1" t="s">
        <v>7</v>
      </c>
      <c r="D24" s="1" t="s">
        <v>8</v>
      </c>
      <c r="E24" s="3">
        <v>0.31884057999999998</v>
      </c>
      <c r="F24" s="3">
        <v>0.34057970999999998</v>
      </c>
      <c r="G24" s="3">
        <v>0.35211268000000001</v>
      </c>
      <c r="H24" s="3">
        <v>0.37323943999999998</v>
      </c>
      <c r="I24" s="3">
        <v>0.3943662</v>
      </c>
      <c r="J24" s="3">
        <v>0.41549296000000002</v>
      </c>
      <c r="K24" s="3">
        <v>0.43661971999999999</v>
      </c>
      <c r="L24" s="3">
        <v>0.45774648000000001</v>
      </c>
      <c r="M24" s="3">
        <v>0.47887323999999998</v>
      </c>
      <c r="N24" s="3">
        <v>0.5</v>
      </c>
      <c r="O24" s="3">
        <v>0.52112676000000002</v>
      </c>
      <c r="P24" s="3">
        <v>0.54225352000000004</v>
      </c>
      <c r="Q24" s="3">
        <v>0.56338027999999996</v>
      </c>
      <c r="R24" s="3">
        <v>0.57638889000000004</v>
      </c>
      <c r="S24" s="3">
        <v>0.58904109999999998</v>
      </c>
      <c r="T24" s="3">
        <v>0.60135134999999995</v>
      </c>
      <c r="U24" s="3">
        <v>0.62162161999999999</v>
      </c>
      <c r="V24" s="3">
        <v>0.63333333000000003</v>
      </c>
      <c r="W24" s="3">
        <v>0.64473683999999998</v>
      </c>
      <c r="X24" s="3">
        <v>0.66447367999999996</v>
      </c>
      <c r="Y24" s="3">
        <v>0.68241470000000004</v>
      </c>
      <c r="Z24" s="3">
        <v>0.69882659999999996</v>
      </c>
      <c r="AA24" s="3">
        <v>0.71688311999999998</v>
      </c>
      <c r="AB24" s="3">
        <v>0.73766233999999997</v>
      </c>
      <c r="AC24" s="3">
        <v>0.75745784999999999</v>
      </c>
      <c r="AD24" s="3">
        <v>0.77120823000000005</v>
      </c>
      <c r="AE24" s="3">
        <v>0.79589217000000001</v>
      </c>
      <c r="AF24" s="3">
        <v>0.82051282000000003</v>
      </c>
      <c r="AG24" s="3">
        <v>0.84615384999999999</v>
      </c>
      <c r="AH24" s="3">
        <v>0.87179487</v>
      </c>
      <c r="AI24" s="3">
        <v>0.89743589999999995</v>
      </c>
      <c r="AJ24" s="4">
        <f t="shared" si="0"/>
        <v>0.57859532000000002</v>
      </c>
    </row>
    <row r="25" spans="1:36" ht="15.75" customHeight="1" x14ac:dyDescent="0.3">
      <c r="A25" s="1" t="s">
        <v>53</v>
      </c>
      <c r="B25" s="1" t="s">
        <v>54</v>
      </c>
      <c r="C25" s="1" t="s">
        <v>7</v>
      </c>
      <c r="D25" s="1" t="s">
        <v>8</v>
      </c>
      <c r="E25" s="3">
        <v>50.9350649</v>
      </c>
      <c r="F25" s="3">
        <v>50.9350649</v>
      </c>
      <c r="G25" s="3">
        <v>50.9350649</v>
      </c>
      <c r="H25" s="3">
        <v>50.9350649</v>
      </c>
      <c r="I25" s="3">
        <v>50.9350649</v>
      </c>
      <c r="J25" s="3">
        <v>50.9350649</v>
      </c>
      <c r="K25" s="3">
        <v>50.9350649</v>
      </c>
      <c r="L25" s="3">
        <v>50.9350649</v>
      </c>
      <c r="M25" s="3">
        <v>50.9350649</v>
      </c>
      <c r="N25" s="3">
        <v>50.9350649</v>
      </c>
      <c r="O25" s="3">
        <v>50.9350649</v>
      </c>
      <c r="P25" s="3">
        <v>50.9350649</v>
      </c>
      <c r="Q25" s="3">
        <v>50.9350649</v>
      </c>
      <c r="R25" s="3">
        <v>50.9350649</v>
      </c>
      <c r="S25" s="3">
        <v>50.9350649</v>
      </c>
      <c r="T25" s="3">
        <v>50.9350649</v>
      </c>
      <c r="U25" s="3">
        <v>50.9350649</v>
      </c>
      <c r="V25" s="3">
        <v>50.9350649</v>
      </c>
      <c r="W25" s="3">
        <v>50.9350649</v>
      </c>
      <c r="X25" s="3">
        <v>50.9350649</v>
      </c>
      <c r="Y25" s="3">
        <v>50.9350649</v>
      </c>
      <c r="Z25" s="3">
        <v>50.9350649</v>
      </c>
      <c r="AA25" s="3">
        <v>50.9350649</v>
      </c>
      <c r="AB25" s="3">
        <v>50.9350649</v>
      </c>
      <c r="AC25" s="3">
        <v>50.9350649</v>
      </c>
      <c r="AD25" s="3">
        <v>50.9350649</v>
      </c>
      <c r="AE25" s="3">
        <v>50.9350649</v>
      </c>
      <c r="AF25" s="3">
        <v>50.9350649</v>
      </c>
      <c r="AG25" s="3">
        <v>50.9350649</v>
      </c>
      <c r="AH25" s="3">
        <v>50.9350649</v>
      </c>
      <c r="AI25" s="3">
        <v>50.9350649</v>
      </c>
      <c r="AJ25" s="4">
        <f t="shared" si="0"/>
        <v>0</v>
      </c>
    </row>
    <row r="26" spans="1:36" ht="15.75" customHeight="1" x14ac:dyDescent="0.3">
      <c r="A26" s="1" t="s">
        <v>55</v>
      </c>
      <c r="B26" s="1" t="s">
        <v>56</v>
      </c>
      <c r="C26" s="1" t="s">
        <v>7</v>
      </c>
      <c r="D26" s="1" t="s">
        <v>8</v>
      </c>
      <c r="E26" s="3">
        <v>43.1640625</v>
      </c>
      <c r="F26" s="3">
        <v>43.066406299999997</v>
      </c>
      <c r="G26" s="3">
        <v>42.779882800000003</v>
      </c>
      <c r="H26" s="3">
        <v>42.587792999999998</v>
      </c>
      <c r="I26" s="3">
        <v>42.395703099999999</v>
      </c>
      <c r="J26" s="3">
        <v>42.203613300000001</v>
      </c>
      <c r="K26" s="3">
        <v>42.011523400000002</v>
      </c>
      <c r="L26" s="3">
        <v>41.819433600000004</v>
      </c>
      <c r="M26" s="3">
        <v>41.627343799999998</v>
      </c>
      <c r="N26" s="3">
        <v>41.435253899999999</v>
      </c>
      <c r="O26" s="3">
        <v>41.243164100000001</v>
      </c>
      <c r="P26" s="3">
        <v>41.2256055</v>
      </c>
      <c r="Q26" s="3">
        <v>41.208046899999999</v>
      </c>
      <c r="R26" s="3">
        <v>41.190488299999998</v>
      </c>
      <c r="S26" s="3">
        <v>41.172929699999997</v>
      </c>
      <c r="T26" s="3">
        <v>41.155371100000004</v>
      </c>
      <c r="U26" s="3">
        <v>41.137812500000003</v>
      </c>
      <c r="V26" s="3">
        <v>41.120253900000002</v>
      </c>
      <c r="W26" s="3">
        <v>41.102695300000001</v>
      </c>
      <c r="X26" s="3">
        <v>41.0851367</v>
      </c>
      <c r="Y26" s="3">
        <v>41.067578099999999</v>
      </c>
      <c r="Z26" s="3">
        <v>41.293515599999999</v>
      </c>
      <c r="AA26" s="3">
        <v>41.5194531</v>
      </c>
      <c r="AB26" s="3">
        <v>41.7453906</v>
      </c>
      <c r="AC26" s="3">
        <v>41.971328100000001</v>
      </c>
      <c r="AD26" s="3">
        <v>42.197265600000001</v>
      </c>
      <c r="AE26" s="3">
        <v>42.509960900000003</v>
      </c>
      <c r="AF26" s="3">
        <v>42.7326172</v>
      </c>
      <c r="AG26" s="3">
        <v>42.7326172</v>
      </c>
      <c r="AH26" s="3">
        <v>42.7326172</v>
      </c>
      <c r="AI26" s="3">
        <v>42.7326172</v>
      </c>
      <c r="AJ26" s="4">
        <f t="shared" si="0"/>
        <v>-0.43144530000000003</v>
      </c>
    </row>
    <row r="27" spans="1:36" ht="15.75" customHeight="1" x14ac:dyDescent="0.3">
      <c r="A27" s="1" t="s">
        <v>57</v>
      </c>
      <c r="B27" s="1" t="s">
        <v>58</v>
      </c>
      <c r="C27" s="1" t="s">
        <v>7</v>
      </c>
      <c r="D27" s="1" t="s">
        <v>8</v>
      </c>
      <c r="E27" s="3">
        <v>38.355353999999998</v>
      </c>
      <c r="F27" s="3">
        <v>38.841451399999997</v>
      </c>
      <c r="G27" s="3">
        <v>38.841451399999997</v>
      </c>
      <c r="H27" s="3">
        <v>39.0845001</v>
      </c>
      <c r="I27" s="3">
        <v>39.327548800000002</v>
      </c>
      <c r="J27" s="3">
        <v>39.570597499999998</v>
      </c>
      <c r="K27" s="3">
        <v>39.813646200000001</v>
      </c>
      <c r="L27" s="3">
        <v>40.056694899999997</v>
      </c>
      <c r="M27" s="3">
        <v>40.299743599999999</v>
      </c>
      <c r="N27" s="3">
        <v>40.542792300000002</v>
      </c>
      <c r="O27" s="3">
        <v>40.785841099999999</v>
      </c>
      <c r="P27" s="3">
        <v>40.961841800000002</v>
      </c>
      <c r="Q27" s="3">
        <v>41.139870799999997</v>
      </c>
      <c r="R27" s="3">
        <v>41.315880300000003</v>
      </c>
      <c r="S27" s="3">
        <v>41.495981499999999</v>
      </c>
      <c r="T27" s="3">
        <v>41.667899200000001</v>
      </c>
      <c r="U27" s="3">
        <v>41.829472600000003</v>
      </c>
      <c r="V27" s="3">
        <v>42.005421400000003</v>
      </c>
      <c r="W27" s="3">
        <v>42.181370100000002</v>
      </c>
      <c r="X27" s="3">
        <v>42.374026200000003</v>
      </c>
      <c r="Y27" s="3">
        <v>42.533267600000002</v>
      </c>
      <c r="Z27" s="3">
        <v>42.534621299999998</v>
      </c>
      <c r="AA27" s="3">
        <v>42.538071100000003</v>
      </c>
      <c r="AB27" s="3">
        <v>42.541940199999999</v>
      </c>
      <c r="AC27" s="3">
        <v>42.531765300000004</v>
      </c>
      <c r="AD27" s="3">
        <v>42.534166300000003</v>
      </c>
      <c r="AE27" s="3">
        <v>42.9069699</v>
      </c>
      <c r="AF27" s="3">
        <v>42.9779792</v>
      </c>
      <c r="AG27" s="3">
        <v>43.051532199999997</v>
      </c>
      <c r="AH27" s="3">
        <v>43.122967799999998</v>
      </c>
      <c r="AI27" s="3">
        <v>43.194403399999999</v>
      </c>
      <c r="AJ27" s="4">
        <f t="shared" si="0"/>
        <v>4.8390494000000004</v>
      </c>
    </row>
    <row r="28" spans="1:36" ht="15.75" customHeight="1" x14ac:dyDescent="0.3">
      <c r="A28" s="1" t="s">
        <v>59</v>
      </c>
      <c r="B28" s="1" t="s">
        <v>60</v>
      </c>
      <c r="C28" s="1" t="s">
        <v>7</v>
      </c>
      <c r="D28" s="1" t="s">
        <v>8</v>
      </c>
      <c r="E28" s="3">
        <v>70.145988599999995</v>
      </c>
      <c r="F28" s="3">
        <v>69.529022400000002</v>
      </c>
      <c r="G28" s="3">
        <v>68.912056100000001</v>
      </c>
      <c r="H28" s="3">
        <v>68.295089899999994</v>
      </c>
      <c r="I28" s="3">
        <v>67.678123600000006</v>
      </c>
      <c r="J28" s="3">
        <v>67.061157399999999</v>
      </c>
      <c r="K28" s="3">
        <v>66.444191099999998</v>
      </c>
      <c r="L28" s="3">
        <v>65.827224900000004</v>
      </c>
      <c r="M28" s="3">
        <v>65.210258699999997</v>
      </c>
      <c r="N28" s="3">
        <v>64.593292399999996</v>
      </c>
      <c r="O28" s="3">
        <v>63.976326200000003</v>
      </c>
      <c r="P28" s="3">
        <v>63.678605900000001</v>
      </c>
      <c r="Q28" s="3">
        <v>63.380885599999999</v>
      </c>
      <c r="R28" s="3">
        <v>63.083165299999997</v>
      </c>
      <c r="S28" s="3">
        <v>62.785445000000003</v>
      </c>
      <c r="T28" s="3">
        <v>62.487724700000001</v>
      </c>
      <c r="U28" s="3">
        <v>62.190004399999999</v>
      </c>
      <c r="V28" s="3">
        <v>61.892284099999998</v>
      </c>
      <c r="W28" s="3">
        <v>61.594563800000003</v>
      </c>
      <c r="X28" s="3">
        <v>61.296843500000001</v>
      </c>
      <c r="Y28" s="3">
        <v>60.9991232</v>
      </c>
      <c r="Z28" s="3">
        <v>60.485664200000002</v>
      </c>
      <c r="AA28" s="3">
        <v>59.972205199999998</v>
      </c>
      <c r="AB28" s="3">
        <v>59.4587462</v>
      </c>
      <c r="AC28" s="3">
        <v>58.945287200000003</v>
      </c>
      <c r="AD28" s="3">
        <v>58.431828099999997</v>
      </c>
      <c r="AE28" s="3">
        <v>57.9430075</v>
      </c>
      <c r="AF28" s="3">
        <v>57.453748400000002</v>
      </c>
      <c r="AG28" s="3">
        <v>56.964927699999997</v>
      </c>
      <c r="AH28" s="3">
        <v>56.475668599999999</v>
      </c>
      <c r="AI28" s="3">
        <v>55.986409500000001</v>
      </c>
      <c r="AJ28" s="4">
        <f t="shared" si="0"/>
        <v>-14.159579099999995</v>
      </c>
    </row>
    <row r="29" spans="1:36" ht="14.4" x14ac:dyDescent="0.3">
      <c r="A29" s="1" t="s">
        <v>61</v>
      </c>
      <c r="B29" s="1" t="s">
        <v>62</v>
      </c>
      <c r="C29" s="1" t="s">
        <v>7</v>
      </c>
      <c r="D29" s="1" t="s">
        <v>8</v>
      </c>
      <c r="E29" s="3">
        <v>18.518518499999999</v>
      </c>
      <c r="F29" s="3">
        <v>18.518518499999999</v>
      </c>
      <c r="G29" s="3">
        <v>18.518518499999999</v>
      </c>
      <c r="H29" s="3">
        <v>18.518518499999999</v>
      </c>
      <c r="I29" s="3">
        <v>18.518518499999999</v>
      </c>
      <c r="J29" s="3">
        <v>18.518518499999999</v>
      </c>
      <c r="K29" s="3">
        <v>18.518518499999999</v>
      </c>
      <c r="L29" s="3">
        <v>18.518518499999999</v>
      </c>
      <c r="M29" s="3">
        <v>18.518518499999999</v>
      </c>
      <c r="N29" s="3">
        <v>18.518518499999999</v>
      </c>
      <c r="O29" s="3">
        <v>18.518518499999999</v>
      </c>
      <c r="P29" s="3">
        <v>18.518518499999999</v>
      </c>
      <c r="Q29" s="3">
        <v>18.518518499999999</v>
      </c>
      <c r="R29" s="3">
        <v>18.518518499999999</v>
      </c>
      <c r="S29" s="3">
        <v>18.518518499999999</v>
      </c>
      <c r="T29" s="3">
        <v>18.518518499999999</v>
      </c>
      <c r="U29" s="3">
        <v>18.518518499999999</v>
      </c>
      <c r="V29" s="3">
        <v>18.518518499999999</v>
      </c>
      <c r="W29" s="3">
        <v>18.518518499999999</v>
      </c>
      <c r="X29" s="3">
        <v>18.518518499999999</v>
      </c>
      <c r="Y29" s="3">
        <v>18.518518499999999</v>
      </c>
      <c r="Z29" s="3">
        <v>18.518518499999999</v>
      </c>
      <c r="AA29" s="3">
        <v>18.518518499999999</v>
      </c>
      <c r="AB29" s="3">
        <v>18.518518499999999</v>
      </c>
      <c r="AC29" s="3">
        <v>18.518518499999999</v>
      </c>
      <c r="AD29" s="3">
        <v>18.518518499999999</v>
      </c>
      <c r="AE29" s="3">
        <v>18.518518499999999</v>
      </c>
      <c r="AF29" s="3">
        <v>18.518518499999999</v>
      </c>
      <c r="AG29" s="3">
        <v>18.518518499999999</v>
      </c>
      <c r="AH29" s="3">
        <v>18.518518499999999</v>
      </c>
      <c r="AI29" s="3">
        <v>18.518518499999999</v>
      </c>
      <c r="AJ29" s="4">
        <f t="shared" si="0"/>
        <v>0</v>
      </c>
    </row>
    <row r="30" spans="1:36" ht="14.4" x14ac:dyDescent="0.3">
      <c r="A30" s="1" t="s">
        <v>63</v>
      </c>
      <c r="B30" s="1" t="s">
        <v>64</v>
      </c>
      <c r="C30" s="1" t="s">
        <v>7</v>
      </c>
      <c r="D30" s="1" t="s">
        <v>8</v>
      </c>
      <c r="E30" s="3">
        <v>53.359844899999999</v>
      </c>
      <c r="F30" s="3">
        <v>53.110299099999999</v>
      </c>
      <c r="G30" s="3">
        <v>52.860753299999999</v>
      </c>
      <c r="H30" s="3">
        <v>52.611207399999998</v>
      </c>
      <c r="I30" s="3">
        <v>52.361661599999998</v>
      </c>
      <c r="J30" s="3">
        <v>52.112115799999998</v>
      </c>
      <c r="K30" s="3">
        <v>51.862569899999997</v>
      </c>
      <c r="L30" s="3">
        <v>51.613024099999997</v>
      </c>
      <c r="M30" s="3">
        <v>51.363478299999997</v>
      </c>
      <c r="N30" s="3">
        <v>51.113932400000003</v>
      </c>
      <c r="O30" s="3">
        <v>50.864386600000003</v>
      </c>
      <c r="P30" s="3">
        <v>50.678345800000002</v>
      </c>
      <c r="Q30" s="3">
        <v>50.492305000000002</v>
      </c>
      <c r="R30" s="3">
        <v>50.306264200000001</v>
      </c>
      <c r="S30" s="3">
        <v>50.1202234</v>
      </c>
      <c r="T30" s="3">
        <v>49.9341826</v>
      </c>
      <c r="U30" s="3">
        <v>49.748141799999999</v>
      </c>
      <c r="V30" s="3">
        <v>49.562100999999998</v>
      </c>
      <c r="W30" s="3">
        <v>49.376060199999998</v>
      </c>
      <c r="X30" s="3">
        <v>49.190019399999997</v>
      </c>
      <c r="Y30" s="3">
        <v>49.003978600000003</v>
      </c>
      <c r="Z30" s="3">
        <v>48.808503600000002</v>
      </c>
      <c r="AA30" s="3">
        <v>48.613028700000001</v>
      </c>
      <c r="AB30" s="3">
        <v>48.4175538</v>
      </c>
      <c r="AC30" s="3">
        <v>48.222078799999998</v>
      </c>
      <c r="AD30" s="3">
        <v>48.026603899999998</v>
      </c>
      <c r="AE30" s="3">
        <v>47.7713283</v>
      </c>
      <c r="AF30" s="3">
        <v>47.532742499999998</v>
      </c>
      <c r="AG30" s="3">
        <v>47.3121388</v>
      </c>
      <c r="AH30" s="3">
        <v>47.109535700000002</v>
      </c>
      <c r="AI30" s="3">
        <v>46.924914600000001</v>
      </c>
      <c r="AJ30" s="4">
        <f t="shared" si="0"/>
        <v>-6.4349302999999978</v>
      </c>
    </row>
    <row r="31" spans="1:36" ht="14.4" x14ac:dyDescent="0.3">
      <c r="A31" s="1" t="s">
        <v>65</v>
      </c>
      <c r="B31" s="1" t="s">
        <v>66</v>
      </c>
      <c r="C31" s="1" t="s">
        <v>7</v>
      </c>
      <c r="D31" s="1" t="s">
        <v>8</v>
      </c>
      <c r="E31" s="3">
        <v>70.458020599999998</v>
      </c>
      <c r="F31" s="3">
        <v>70.005654399999997</v>
      </c>
      <c r="G31" s="3">
        <v>69.553288199999997</v>
      </c>
      <c r="H31" s="3">
        <v>69.100921999999997</v>
      </c>
      <c r="I31" s="3">
        <v>68.648555799999997</v>
      </c>
      <c r="J31" s="3">
        <v>68.196189599999997</v>
      </c>
      <c r="K31" s="3">
        <v>67.743823399999997</v>
      </c>
      <c r="L31" s="3">
        <v>67.291457199999996</v>
      </c>
      <c r="M31" s="3">
        <v>66.839090999999996</v>
      </c>
      <c r="N31" s="3">
        <v>66.386724799999996</v>
      </c>
      <c r="O31" s="3">
        <v>65.934358599999996</v>
      </c>
      <c r="P31" s="3">
        <v>65.461670900000001</v>
      </c>
      <c r="Q31" s="3">
        <v>64.988983200000007</v>
      </c>
      <c r="R31" s="3">
        <v>64.516295499999998</v>
      </c>
      <c r="S31" s="3">
        <v>64.043607800000004</v>
      </c>
      <c r="T31" s="3">
        <v>63.570920100000002</v>
      </c>
      <c r="U31" s="3">
        <v>63.098232400000001</v>
      </c>
      <c r="V31" s="3">
        <v>62.625544699999999</v>
      </c>
      <c r="W31" s="3">
        <v>62.152856999999997</v>
      </c>
      <c r="X31" s="3">
        <v>61.680169300000003</v>
      </c>
      <c r="Y31" s="3">
        <v>61.207481600000001</v>
      </c>
      <c r="Z31" s="3">
        <v>61.023328200000002</v>
      </c>
      <c r="AA31" s="3">
        <v>60.839174700000001</v>
      </c>
      <c r="AB31" s="3">
        <v>60.655021300000001</v>
      </c>
      <c r="AC31" s="3">
        <v>60.470867900000002</v>
      </c>
      <c r="AD31" s="3">
        <v>60.286714500000002</v>
      </c>
      <c r="AE31" s="3">
        <v>60.071032600000002</v>
      </c>
      <c r="AF31" s="3">
        <v>59.832881499999999</v>
      </c>
      <c r="AG31" s="3">
        <v>59.708427999999998</v>
      </c>
      <c r="AH31" s="3">
        <v>59.558526200000003</v>
      </c>
      <c r="AI31" s="3">
        <v>59.417478099999997</v>
      </c>
      <c r="AJ31" s="4">
        <f t="shared" si="0"/>
        <v>-11.040542500000001</v>
      </c>
    </row>
    <row r="32" spans="1:36" ht="14.4" x14ac:dyDescent="0.3">
      <c r="A32" s="1" t="s">
        <v>67</v>
      </c>
      <c r="B32" s="1" t="s">
        <v>68</v>
      </c>
      <c r="C32" s="1" t="s">
        <v>7</v>
      </c>
      <c r="D32" s="1" t="s">
        <v>8</v>
      </c>
      <c r="E32" s="3">
        <v>14.6511628</v>
      </c>
      <c r="F32" s="3">
        <v>14.6511628</v>
      </c>
      <c r="G32" s="3">
        <v>14.6511628</v>
      </c>
      <c r="H32" s="3">
        <v>14.6511628</v>
      </c>
      <c r="I32" s="3">
        <v>14.6511628</v>
      </c>
      <c r="J32" s="3">
        <v>14.6511628</v>
      </c>
      <c r="K32" s="3">
        <v>14.6511628</v>
      </c>
      <c r="L32" s="3">
        <v>14.6511628</v>
      </c>
      <c r="M32" s="3">
        <v>14.6511628</v>
      </c>
      <c r="N32" s="3">
        <v>14.6511628</v>
      </c>
      <c r="O32" s="3">
        <v>14.6511628</v>
      </c>
      <c r="P32" s="3">
        <v>14.6511628</v>
      </c>
      <c r="Q32" s="3">
        <v>14.6511628</v>
      </c>
      <c r="R32" s="3">
        <v>14.6511628</v>
      </c>
      <c r="S32" s="3">
        <v>14.6511628</v>
      </c>
      <c r="T32" s="3">
        <v>14.6511628</v>
      </c>
      <c r="U32" s="3">
        <v>14.6511628</v>
      </c>
      <c r="V32" s="3">
        <v>14.6511628</v>
      </c>
      <c r="W32" s="3">
        <v>14.6511628</v>
      </c>
      <c r="X32" s="3">
        <v>14.6511628</v>
      </c>
      <c r="Y32" s="3">
        <v>14.6511628</v>
      </c>
      <c r="Z32" s="3">
        <v>14.6511628</v>
      </c>
      <c r="AA32" s="3">
        <v>14.6511628</v>
      </c>
      <c r="AB32" s="3">
        <v>14.6511628</v>
      </c>
      <c r="AC32" s="3">
        <v>14.6511628</v>
      </c>
      <c r="AD32" s="3">
        <v>14.6511628</v>
      </c>
      <c r="AE32" s="3">
        <v>14.6511628</v>
      </c>
      <c r="AF32" s="3">
        <v>14.6511628</v>
      </c>
      <c r="AG32" s="3">
        <v>14.6511628</v>
      </c>
      <c r="AH32" s="3">
        <v>14.6511628</v>
      </c>
      <c r="AI32" s="3">
        <v>14.6511628</v>
      </c>
      <c r="AJ32" s="4">
        <f t="shared" si="0"/>
        <v>0</v>
      </c>
    </row>
    <row r="33" spans="1:36" ht="14.4" x14ac:dyDescent="0.3">
      <c r="A33" s="1" t="s">
        <v>69</v>
      </c>
      <c r="B33" s="1" t="s">
        <v>70</v>
      </c>
      <c r="C33" s="1" t="s">
        <v>7</v>
      </c>
      <c r="D33" s="1" t="s">
        <v>8</v>
      </c>
      <c r="E33" s="3">
        <v>78.368121400000007</v>
      </c>
      <c r="F33" s="3">
        <v>78.064516100000006</v>
      </c>
      <c r="G33" s="3">
        <v>77.760910800000005</v>
      </c>
      <c r="H33" s="3">
        <v>77.457305500000004</v>
      </c>
      <c r="I33" s="3">
        <v>77.153700200000003</v>
      </c>
      <c r="J33" s="3">
        <v>76.850094900000002</v>
      </c>
      <c r="K33" s="3">
        <v>76.546489600000001</v>
      </c>
      <c r="L33" s="3">
        <v>76.2428843</v>
      </c>
      <c r="M33" s="3">
        <v>75.939278900000005</v>
      </c>
      <c r="N33" s="3">
        <v>75.635673600000004</v>
      </c>
      <c r="O33" s="3">
        <v>75.332068300000003</v>
      </c>
      <c r="P33" s="3">
        <v>75.009487699999994</v>
      </c>
      <c r="Q33" s="3">
        <v>74.686907000000005</v>
      </c>
      <c r="R33" s="3">
        <v>74.364326399999996</v>
      </c>
      <c r="S33" s="3">
        <v>74.041745700000007</v>
      </c>
      <c r="T33" s="3">
        <v>73.719165099999998</v>
      </c>
      <c r="U33" s="3">
        <v>73.396584399999995</v>
      </c>
      <c r="V33" s="3">
        <v>73.0740038</v>
      </c>
      <c r="W33" s="3">
        <v>72.751423099999997</v>
      </c>
      <c r="X33" s="3">
        <v>72.428842500000002</v>
      </c>
      <c r="Y33" s="3">
        <v>72.106261900000007</v>
      </c>
      <c r="Z33" s="3">
        <v>72.106261900000007</v>
      </c>
      <c r="AA33" s="3">
        <v>72.106261900000007</v>
      </c>
      <c r="AB33" s="3">
        <v>72.106261900000007</v>
      </c>
      <c r="AC33" s="3">
        <v>72.106261900000007</v>
      </c>
      <c r="AD33" s="3">
        <v>72.106261900000007</v>
      </c>
      <c r="AE33" s="3">
        <v>72.106261900000007</v>
      </c>
      <c r="AF33" s="3">
        <v>72.106261900000007</v>
      </c>
      <c r="AG33" s="3">
        <v>72.106261900000007</v>
      </c>
      <c r="AH33" s="3">
        <v>72.106261900000007</v>
      </c>
      <c r="AI33" s="3">
        <v>72.106261900000007</v>
      </c>
      <c r="AJ33" s="4">
        <f t="shared" si="0"/>
        <v>-6.2618594999999999</v>
      </c>
    </row>
    <row r="34" spans="1:36" ht="14.4" x14ac:dyDescent="0.3">
      <c r="A34" s="1" t="s">
        <v>71</v>
      </c>
      <c r="B34" s="1" t="s">
        <v>72</v>
      </c>
      <c r="C34" s="1" t="s">
        <v>7</v>
      </c>
      <c r="D34" s="1" t="s">
        <v>8</v>
      </c>
      <c r="E34" s="3">
        <v>53.650664599999999</v>
      </c>
      <c r="F34" s="3">
        <v>53.863150900000001</v>
      </c>
      <c r="G34" s="3">
        <v>54.075637299999997</v>
      </c>
      <c r="H34" s="3">
        <v>54.288123599999999</v>
      </c>
      <c r="I34" s="3">
        <v>63.980703499999997</v>
      </c>
      <c r="J34" s="3">
        <v>64.230150800000004</v>
      </c>
      <c r="K34" s="3">
        <v>64.479597999999996</v>
      </c>
      <c r="L34" s="3">
        <v>64.729045200000002</v>
      </c>
      <c r="M34" s="3">
        <v>64.978492500000002</v>
      </c>
      <c r="N34" s="3">
        <v>65.227939699999993</v>
      </c>
      <c r="O34" s="3">
        <v>65.477386899999999</v>
      </c>
      <c r="P34" s="3">
        <v>65.726859300000001</v>
      </c>
      <c r="Q34" s="3">
        <v>65.976331700000003</v>
      </c>
      <c r="R34" s="3">
        <v>66.225803999999997</v>
      </c>
      <c r="S34" s="3">
        <v>69.410394299999993</v>
      </c>
      <c r="T34" s="3">
        <v>69.670881800000004</v>
      </c>
      <c r="U34" s="3">
        <v>69.931369200000006</v>
      </c>
      <c r="V34" s="3">
        <v>70.191856700000002</v>
      </c>
      <c r="W34" s="3">
        <v>70.452344100000005</v>
      </c>
      <c r="X34" s="3">
        <v>70.712831499999993</v>
      </c>
      <c r="Y34" s="3">
        <v>70.973319000000004</v>
      </c>
      <c r="Z34" s="3">
        <v>71.025211799999994</v>
      </c>
      <c r="AA34" s="3">
        <v>71.077104700000007</v>
      </c>
      <c r="AB34" s="3">
        <v>71.128997600000005</v>
      </c>
      <c r="AC34" s="3">
        <v>71.180890399999996</v>
      </c>
      <c r="AD34" s="3">
        <v>71.232783299999994</v>
      </c>
      <c r="AE34" s="3">
        <v>71.234270100000003</v>
      </c>
      <c r="AF34" s="3">
        <v>71.286178699999994</v>
      </c>
      <c r="AG34" s="3">
        <v>71.345568999999998</v>
      </c>
      <c r="AH34" s="3">
        <v>71.397482999999994</v>
      </c>
      <c r="AI34" s="3">
        <v>71.449397000000005</v>
      </c>
      <c r="AJ34" s="4">
        <f t="shared" si="0"/>
        <v>17.798732400000006</v>
      </c>
    </row>
    <row r="35" spans="1:36" ht="14.4" x14ac:dyDescent="0.3">
      <c r="A35" s="1" t="s">
        <v>73</v>
      </c>
      <c r="B35" s="1" t="s">
        <v>74</v>
      </c>
      <c r="C35" s="1" t="s">
        <v>7</v>
      </c>
      <c r="D35" s="1" t="s">
        <v>8</v>
      </c>
      <c r="E35" s="3">
        <v>33.1792917</v>
      </c>
      <c r="F35" s="3">
        <v>32.9705504</v>
      </c>
      <c r="G35" s="3">
        <v>32.761809</v>
      </c>
      <c r="H35" s="3">
        <v>32.553067599999999</v>
      </c>
      <c r="I35" s="3">
        <v>32.344326199999998</v>
      </c>
      <c r="J35" s="3">
        <v>32.135584799999997</v>
      </c>
      <c r="K35" s="3">
        <v>31.9268435</v>
      </c>
      <c r="L35" s="3">
        <v>31.718102099999999</v>
      </c>
      <c r="M35" s="3">
        <v>31.509360699999998</v>
      </c>
      <c r="N35" s="3">
        <v>31.300619300000001</v>
      </c>
      <c r="O35" s="3">
        <v>31.091878000000001</v>
      </c>
      <c r="P35" s="3">
        <v>30.8831366</v>
      </c>
      <c r="Q35" s="3">
        <v>30.674395199999999</v>
      </c>
      <c r="R35" s="3">
        <v>30.465653799999998</v>
      </c>
      <c r="S35" s="3">
        <v>30.256912499999999</v>
      </c>
      <c r="T35" s="3">
        <v>30.048171100000001</v>
      </c>
      <c r="U35" s="3">
        <v>29.8394297</v>
      </c>
      <c r="V35" s="3">
        <v>29.630688299999999</v>
      </c>
      <c r="W35" s="3">
        <v>29.421946999999999</v>
      </c>
      <c r="X35" s="3">
        <v>29.213205599999998</v>
      </c>
      <c r="Y35" s="3">
        <v>29.004464200000001</v>
      </c>
      <c r="Z35" s="3">
        <v>28.7957228</v>
      </c>
      <c r="AA35" s="3">
        <v>28.5869815</v>
      </c>
      <c r="AB35" s="3">
        <v>28.378240099999999</v>
      </c>
      <c r="AC35" s="3">
        <v>28.169498699999998</v>
      </c>
      <c r="AD35" s="3">
        <v>27.960757300000001</v>
      </c>
      <c r="AE35" s="3">
        <v>27.752016000000001</v>
      </c>
      <c r="AF35" s="3">
        <v>27.5432746</v>
      </c>
      <c r="AG35" s="3">
        <v>27.334533199999999</v>
      </c>
      <c r="AH35" s="3">
        <v>27.125791799999998</v>
      </c>
      <c r="AI35" s="3">
        <v>26.917050400000001</v>
      </c>
      <c r="AJ35" s="4">
        <f t="shared" si="0"/>
        <v>-6.2622412999999995</v>
      </c>
    </row>
    <row r="36" spans="1:36" ht="14.4" x14ac:dyDescent="0.3">
      <c r="A36" s="1" t="s">
        <v>75</v>
      </c>
      <c r="B36" s="1" t="s">
        <v>76</v>
      </c>
      <c r="C36" s="1" t="s">
        <v>7</v>
      </c>
      <c r="D36" s="1" t="s">
        <v>8</v>
      </c>
      <c r="E36" s="3">
        <v>37.245176399999998</v>
      </c>
      <c r="F36" s="3">
        <v>37.197020799999997</v>
      </c>
      <c r="G36" s="3">
        <v>37.148865100000002</v>
      </c>
      <c r="H36" s="3">
        <v>37.100709500000001</v>
      </c>
      <c r="I36" s="3">
        <v>37.052553899999999</v>
      </c>
      <c r="J36" s="3">
        <v>37.004398199999997</v>
      </c>
      <c r="K36" s="3">
        <v>36.956242600000003</v>
      </c>
      <c r="L36" s="3">
        <v>36.908086900000001</v>
      </c>
      <c r="M36" s="3">
        <v>36.8599313</v>
      </c>
      <c r="N36" s="3">
        <v>36.811775699999998</v>
      </c>
      <c r="O36" s="3">
        <v>36.763620000000003</v>
      </c>
      <c r="P36" s="3">
        <v>36.715464400000002</v>
      </c>
      <c r="Q36" s="3">
        <v>36.6673087</v>
      </c>
      <c r="R36" s="3">
        <v>36.619153099999998</v>
      </c>
      <c r="S36" s="3">
        <v>36.570997499999997</v>
      </c>
      <c r="T36" s="3">
        <v>36.522841800000002</v>
      </c>
      <c r="U36" s="3">
        <v>36.474686200000001</v>
      </c>
      <c r="V36" s="3">
        <v>36.426530499999998</v>
      </c>
      <c r="W36" s="3">
        <v>36.378374899999997</v>
      </c>
      <c r="X36" s="3">
        <v>36.330219300000003</v>
      </c>
      <c r="Y36" s="3">
        <v>36.282063600000001</v>
      </c>
      <c r="Z36" s="3">
        <v>36.233908</v>
      </c>
      <c r="AA36" s="3">
        <v>36.185752399999998</v>
      </c>
      <c r="AB36" s="3">
        <v>36.137596700000003</v>
      </c>
      <c r="AC36" s="3">
        <v>36.089441100000002</v>
      </c>
      <c r="AD36" s="3">
        <v>36.0412854</v>
      </c>
      <c r="AE36" s="3">
        <v>35.993129799999998</v>
      </c>
      <c r="AF36" s="3">
        <v>35.944974199999997</v>
      </c>
      <c r="AG36" s="3">
        <v>35.896818500000002</v>
      </c>
      <c r="AH36" s="3">
        <v>35.848662900000001</v>
      </c>
      <c r="AI36" s="3">
        <v>35.800507199999998</v>
      </c>
      <c r="AJ36" s="4">
        <f t="shared" si="0"/>
        <v>-1.4446691999999999</v>
      </c>
    </row>
    <row r="37" spans="1:36" ht="14.4" x14ac:dyDescent="0.3">
      <c r="A37" s="1" t="s">
        <v>77</v>
      </c>
      <c r="B37" s="1" t="s">
        <v>78</v>
      </c>
      <c r="C37" s="1" t="s">
        <v>7</v>
      </c>
      <c r="D37" s="1" t="s">
        <v>8</v>
      </c>
      <c r="E37" s="3">
        <v>38.845511600000002</v>
      </c>
      <c r="F37" s="3">
        <v>38.840258599999999</v>
      </c>
      <c r="G37" s="3">
        <v>38.835005600000002</v>
      </c>
      <c r="H37" s="3">
        <v>38.829752599999999</v>
      </c>
      <c r="I37" s="3">
        <v>38.824499699999997</v>
      </c>
      <c r="J37" s="3">
        <v>38.819246700000001</v>
      </c>
      <c r="K37" s="3">
        <v>38.813993699999997</v>
      </c>
      <c r="L37" s="3">
        <v>38.808740800000002</v>
      </c>
      <c r="M37" s="3">
        <v>38.803487799999999</v>
      </c>
      <c r="N37" s="3">
        <v>38.798234800000003</v>
      </c>
      <c r="O37" s="3">
        <v>38.7929818</v>
      </c>
      <c r="P37" s="3">
        <v>38.787630700000001</v>
      </c>
      <c r="Q37" s="3">
        <v>38.782279600000003</v>
      </c>
      <c r="R37" s="3">
        <v>38.776928499999997</v>
      </c>
      <c r="S37" s="3">
        <v>38.771577299999997</v>
      </c>
      <c r="T37" s="3">
        <v>38.766226199999998</v>
      </c>
      <c r="U37" s="3">
        <v>38.7608751</v>
      </c>
      <c r="V37" s="3">
        <v>38.755524000000001</v>
      </c>
      <c r="W37" s="3">
        <v>38.750172800000001</v>
      </c>
      <c r="X37" s="3">
        <v>38.744821700000003</v>
      </c>
      <c r="Y37" s="3">
        <v>38.739470599999997</v>
      </c>
      <c r="Z37" s="3">
        <v>38.734864100000003</v>
      </c>
      <c r="AA37" s="3">
        <v>38.730257600000002</v>
      </c>
      <c r="AB37" s="3">
        <v>38.7256511</v>
      </c>
      <c r="AC37" s="3">
        <v>38.721044599999999</v>
      </c>
      <c r="AD37" s="3">
        <v>38.716438099999998</v>
      </c>
      <c r="AE37" s="3">
        <v>38.712013399999996</v>
      </c>
      <c r="AF37" s="3">
        <v>38.707887599999999</v>
      </c>
      <c r="AG37" s="3">
        <v>38.703762900000001</v>
      </c>
      <c r="AH37" s="3">
        <v>38.699637199999998</v>
      </c>
      <c r="AI37" s="3">
        <v>38.6955125</v>
      </c>
      <c r="AJ37" s="4">
        <f t="shared" si="0"/>
        <v>-0.14999910000000227</v>
      </c>
    </row>
    <row r="38" spans="1:36" ht="14.4" x14ac:dyDescent="0.3">
      <c r="A38" s="1" t="s">
        <v>79</v>
      </c>
      <c r="B38" s="1" t="s">
        <v>80</v>
      </c>
      <c r="C38" s="1" t="s">
        <v>7</v>
      </c>
      <c r="D38" s="1" t="s">
        <v>8</v>
      </c>
      <c r="E38" s="3">
        <v>31.956977800000001</v>
      </c>
      <c r="F38" s="3">
        <v>31.983415300000001</v>
      </c>
      <c r="G38" s="3">
        <v>32.059279500000002</v>
      </c>
      <c r="H38" s="3">
        <v>32.096916899999997</v>
      </c>
      <c r="I38" s="3">
        <v>32.148864799999998</v>
      </c>
      <c r="J38" s="3">
        <v>32.202847900000002</v>
      </c>
      <c r="K38" s="3">
        <v>32.253330099999999</v>
      </c>
      <c r="L38" s="3">
        <v>32.308188399999999</v>
      </c>
      <c r="M38" s="3">
        <v>32.361879999999999</v>
      </c>
      <c r="N38" s="3">
        <v>32.414985999999999</v>
      </c>
      <c r="O38" s="3">
        <v>32.470441700000002</v>
      </c>
      <c r="P38" s="3">
        <v>32.594436199999997</v>
      </c>
      <c r="Q38" s="3">
        <v>32.7679562</v>
      </c>
      <c r="R38" s="3">
        <v>32.891840299999998</v>
      </c>
      <c r="S38" s="3">
        <v>33.011234000000002</v>
      </c>
      <c r="T38" s="3">
        <v>33.1399021</v>
      </c>
      <c r="U38" s="3">
        <v>33.264986499999999</v>
      </c>
      <c r="V38" s="3">
        <v>33.392499299999997</v>
      </c>
      <c r="W38" s="3">
        <v>33.516962399999997</v>
      </c>
      <c r="X38" s="3">
        <v>33.611190000000001</v>
      </c>
      <c r="Y38" s="3">
        <v>33.734011199999998</v>
      </c>
      <c r="Z38" s="3">
        <v>33.864821900000003</v>
      </c>
      <c r="AA38" s="3">
        <v>34.002281000000004</v>
      </c>
      <c r="AB38" s="3">
        <v>34.100688400000003</v>
      </c>
      <c r="AC38" s="3">
        <v>34.191742400000003</v>
      </c>
      <c r="AD38" s="3">
        <v>34.323558400000003</v>
      </c>
      <c r="AE38" s="3">
        <v>34.377468899999997</v>
      </c>
      <c r="AF38" s="3">
        <v>34.432790699999998</v>
      </c>
      <c r="AG38" s="3">
        <v>34.463489099999997</v>
      </c>
      <c r="AH38" s="3">
        <v>34.492134999999998</v>
      </c>
      <c r="AI38" s="3">
        <v>34.5198769</v>
      </c>
      <c r="AJ38" s="4">
        <f t="shared" si="0"/>
        <v>2.5628990999999992</v>
      </c>
    </row>
    <row r="39" spans="1:36" ht="14.4" x14ac:dyDescent="0.3">
      <c r="A39" s="1" t="s">
        <v>81</v>
      </c>
      <c r="B39" s="1" t="s">
        <v>82</v>
      </c>
      <c r="C39" s="1" t="s">
        <v>7</v>
      </c>
      <c r="D39" s="1" t="s">
        <v>8</v>
      </c>
      <c r="E39" s="3">
        <v>29.1811075</v>
      </c>
      <c r="F39" s="3">
        <v>29.2890789</v>
      </c>
      <c r="G39" s="3">
        <v>29.3970503</v>
      </c>
      <c r="H39" s="3">
        <v>29.505021599999999</v>
      </c>
      <c r="I39" s="3">
        <v>29.612992999999999</v>
      </c>
      <c r="J39" s="3">
        <v>29.7209644</v>
      </c>
      <c r="K39" s="3">
        <v>29.829690299999999</v>
      </c>
      <c r="L39" s="3">
        <v>29.9384218</v>
      </c>
      <c r="M39" s="3">
        <v>30.047158799999998</v>
      </c>
      <c r="N39" s="3">
        <v>30.1559013</v>
      </c>
      <c r="O39" s="3">
        <v>30.264649299999999</v>
      </c>
      <c r="P39" s="3">
        <v>30.362927899999999</v>
      </c>
      <c r="Q39" s="3">
        <v>30.461211500000001</v>
      </c>
      <c r="R39" s="3">
        <v>30.5595</v>
      </c>
      <c r="S39" s="3">
        <v>30.6577935</v>
      </c>
      <c r="T39" s="3">
        <v>30.756870299999999</v>
      </c>
      <c r="U39" s="3">
        <v>30.8551763</v>
      </c>
      <c r="V39" s="3">
        <v>30.953487200000001</v>
      </c>
      <c r="W39" s="3">
        <v>31.051017300000002</v>
      </c>
      <c r="X39" s="3">
        <v>31.148547400000002</v>
      </c>
      <c r="Y39" s="3">
        <v>31.246077499999998</v>
      </c>
      <c r="Z39" s="3">
        <v>31.333080299999999</v>
      </c>
      <c r="AA39" s="3">
        <v>31.420083000000002</v>
      </c>
      <c r="AB39" s="3">
        <v>31.507085700000001</v>
      </c>
      <c r="AC39" s="3">
        <v>31.594088500000002</v>
      </c>
      <c r="AD39" s="3">
        <v>31.681067200000001</v>
      </c>
      <c r="AE39" s="3">
        <v>31.768120400000001</v>
      </c>
      <c r="AF39" s="3">
        <v>31.855173700000002</v>
      </c>
      <c r="AG39" s="3">
        <v>31.942226999999999</v>
      </c>
      <c r="AH39" s="3">
        <v>32.029280300000003</v>
      </c>
      <c r="AI39" s="3">
        <v>32.116333500000003</v>
      </c>
      <c r="AJ39" s="4">
        <f t="shared" si="0"/>
        <v>2.9352260000000037</v>
      </c>
    </row>
    <row r="40" spans="1:36" ht="14.4" x14ac:dyDescent="0.3">
      <c r="A40" s="1" t="s">
        <v>83</v>
      </c>
      <c r="B40" s="1" t="s">
        <v>84</v>
      </c>
      <c r="C40" s="1" t="s">
        <v>7</v>
      </c>
      <c r="D40" s="1" t="s">
        <v>8</v>
      </c>
      <c r="E40" s="3">
        <v>4.1919191900000001</v>
      </c>
      <c r="F40" s="3">
        <v>4.1919191900000001</v>
      </c>
      <c r="G40" s="3">
        <v>4.1919191900000001</v>
      </c>
      <c r="H40" s="3">
        <v>4.1919191900000001</v>
      </c>
      <c r="I40" s="3">
        <v>4.1919191900000001</v>
      </c>
      <c r="J40" s="3">
        <v>4.1919191900000001</v>
      </c>
      <c r="K40" s="3">
        <v>4.1919191900000001</v>
      </c>
      <c r="L40" s="3">
        <v>4.1919191900000001</v>
      </c>
      <c r="M40" s="3">
        <v>4.1919191900000001</v>
      </c>
      <c r="N40" s="3">
        <v>4.1919191900000001</v>
      </c>
      <c r="O40" s="3">
        <v>4.1919191900000001</v>
      </c>
      <c r="P40" s="3">
        <v>4.2878787899999997</v>
      </c>
      <c r="Q40" s="3">
        <v>4.3838383800000003</v>
      </c>
      <c r="R40" s="3">
        <v>4.4797979799999998</v>
      </c>
      <c r="S40" s="3">
        <v>4.5757575800000003</v>
      </c>
      <c r="T40" s="3">
        <v>4.67171717</v>
      </c>
      <c r="U40" s="3">
        <v>4.7676767699999996</v>
      </c>
      <c r="V40" s="3">
        <v>4.8636363600000001</v>
      </c>
      <c r="W40" s="3">
        <v>4.9595959599999997</v>
      </c>
      <c r="X40" s="3">
        <v>5.0555555600000002</v>
      </c>
      <c r="Y40" s="3">
        <v>5.1515151499999998</v>
      </c>
      <c r="Z40" s="3">
        <v>5.1515151499999998</v>
      </c>
      <c r="AA40" s="3">
        <v>5.1515151499999998</v>
      </c>
      <c r="AB40" s="3">
        <v>5.1515151499999998</v>
      </c>
      <c r="AC40" s="3">
        <v>5.1515151499999998</v>
      </c>
      <c r="AD40" s="3">
        <v>5.1515151499999998</v>
      </c>
      <c r="AE40" s="3">
        <v>5.1515151499999998</v>
      </c>
      <c r="AF40" s="3">
        <v>5.1515151499999998</v>
      </c>
      <c r="AG40" s="3">
        <v>5.1515151499999998</v>
      </c>
      <c r="AH40" s="5"/>
      <c r="AI40" s="5"/>
      <c r="AJ40" s="4">
        <f t="shared" si="0"/>
        <v>-4.1919191900000001</v>
      </c>
    </row>
    <row r="41" spans="1:36" ht="14.4" x14ac:dyDescent="0.3">
      <c r="A41" s="1" t="s">
        <v>85</v>
      </c>
      <c r="B41" s="1" t="s">
        <v>86</v>
      </c>
      <c r="C41" s="1" t="s">
        <v>7</v>
      </c>
      <c r="D41" s="1" t="s">
        <v>8</v>
      </c>
      <c r="E41" s="3">
        <v>20.504900899999999</v>
      </c>
      <c r="F41" s="3">
        <v>20.581697900000002</v>
      </c>
      <c r="G41" s="3">
        <v>20.658494900000001</v>
      </c>
      <c r="H41" s="3">
        <v>20.735291799999999</v>
      </c>
      <c r="I41" s="3">
        <v>20.812088800000001</v>
      </c>
      <c r="J41" s="3">
        <v>20.888885800000001</v>
      </c>
      <c r="K41" s="3">
        <v>20.965682699999999</v>
      </c>
      <c r="L41" s="3">
        <v>21.042479700000001</v>
      </c>
      <c r="M41" s="3">
        <v>21.119276599999999</v>
      </c>
      <c r="N41" s="3">
        <v>21.196073599999998</v>
      </c>
      <c r="O41" s="3">
        <v>21.272870600000001</v>
      </c>
      <c r="P41" s="3">
        <v>21.395017299999999</v>
      </c>
      <c r="Q41" s="3">
        <v>21.517164000000001</v>
      </c>
      <c r="R41" s="3">
        <v>21.639310699999999</v>
      </c>
      <c r="S41" s="3">
        <v>21.761457499999999</v>
      </c>
      <c r="T41" s="3">
        <v>21.883604200000001</v>
      </c>
      <c r="U41" s="3">
        <v>22.005750899999999</v>
      </c>
      <c r="V41" s="3">
        <v>22.127897699999998</v>
      </c>
      <c r="W41" s="3">
        <v>22.2500444</v>
      </c>
      <c r="X41" s="3">
        <v>22.372191099999998</v>
      </c>
      <c r="Y41" s="3">
        <v>22.4943378</v>
      </c>
      <c r="Z41" s="3">
        <v>22.7285766</v>
      </c>
      <c r="AA41" s="3">
        <v>22.962815299999999</v>
      </c>
      <c r="AB41" s="3">
        <v>23.197054099999999</v>
      </c>
      <c r="AC41" s="3">
        <v>23.431292800000001</v>
      </c>
      <c r="AD41" s="3">
        <v>23.6655315</v>
      </c>
      <c r="AE41" s="3">
        <v>23.830863999999998</v>
      </c>
      <c r="AF41" s="3">
        <v>23.9961965</v>
      </c>
      <c r="AG41" s="3">
        <v>24.161529000000002</v>
      </c>
      <c r="AH41" s="3">
        <v>24.3268615</v>
      </c>
      <c r="AI41" s="3">
        <v>24.492153699999999</v>
      </c>
      <c r="AJ41" s="4">
        <f t="shared" si="0"/>
        <v>3.9872528000000003</v>
      </c>
    </row>
    <row r="42" spans="1:36" ht="14.4" x14ac:dyDescent="0.3">
      <c r="A42" s="1" t="s">
        <v>87</v>
      </c>
      <c r="B42" s="1" t="s">
        <v>88</v>
      </c>
      <c r="C42" s="1" t="s">
        <v>7</v>
      </c>
      <c r="D42" s="1" t="s">
        <v>8</v>
      </c>
      <c r="E42" s="3">
        <v>16.6733254</v>
      </c>
      <c r="F42" s="3">
        <v>16.8840486</v>
      </c>
      <c r="G42" s="3">
        <v>17.094771699999999</v>
      </c>
      <c r="H42" s="3">
        <v>17.305494800000002</v>
      </c>
      <c r="I42" s="3">
        <v>17.516217999999999</v>
      </c>
      <c r="J42" s="3">
        <v>17.726847100000001</v>
      </c>
      <c r="K42" s="3">
        <v>17.937588099999999</v>
      </c>
      <c r="L42" s="3">
        <v>18.148310299999999</v>
      </c>
      <c r="M42" s="3">
        <v>18.359032599999999</v>
      </c>
      <c r="N42" s="3">
        <v>18.569754799999998</v>
      </c>
      <c r="O42" s="3">
        <v>18.780497</v>
      </c>
      <c r="P42" s="3">
        <v>19.031006699999999</v>
      </c>
      <c r="Q42" s="3">
        <v>19.2815169</v>
      </c>
      <c r="R42" s="3">
        <v>19.532028100000002</v>
      </c>
      <c r="S42" s="3">
        <v>19.782536499999999</v>
      </c>
      <c r="T42" s="3">
        <v>20.0330482</v>
      </c>
      <c r="U42" s="3">
        <v>20.283557900000002</v>
      </c>
      <c r="V42" s="3">
        <v>20.534068000000001</v>
      </c>
      <c r="W42" s="3">
        <v>20.784578199999999</v>
      </c>
      <c r="X42" s="3">
        <v>21.0350872</v>
      </c>
      <c r="Y42" s="3">
        <v>21.285596900000002</v>
      </c>
      <c r="Z42" s="3">
        <v>21.491096200000001</v>
      </c>
      <c r="AA42" s="3">
        <v>21.696596</v>
      </c>
      <c r="AB42" s="3">
        <v>21.902094900000002</v>
      </c>
      <c r="AC42" s="3">
        <v>22.107594599999999</v>
      </c>
      <c r="AD42" s="3">
        <v>22.313094199999998</v>
      </c>
      <c r="AE42" s="3">
        <v>22.542877300000001</v>
      </c>
      <c r="AF42" s="3">
        <v>22.7423103</v>
      </c>
      <c r="AG42" s="3">
        <v>22.941735399999999</v>
      </c>
      <c r="AH42" s="3">
        <v>23.1411655</v>
      </c>
      <c r="AI42" s="3">
        <v>23.340595700000002</v>
      </c>
      <c r="AJ42" s="4">
        <f t="shared" si="0"/>
        <v>6.667270300000002</v>
      </c>
    </row>
    <row r="43" spans="1:36" ht="14.4" x14ac:dyDescent="0.3">
      <c r="A43" s="1" t="s">
        <v>89</v>
      </c>
      <c r="B43" s="1" t="s">
        <v>90</v>
      </c>
      <c r="C43" s="1" t="s">
        <v>7</v>
      </c>
      <c r="D43" s="1" t="s">
        <v>8</v>
      </c>
      <c r="E43" s="3">
        <v>24.688238999999999</v>
      </c>
      <c r="F43" s="3">
        <v>23.8214434</v>
      </c>
      <c r="G43" s="3">
        <v>22.9546478</v>
      </c>
      <c r="H43" s="3">
        <v>22.0878522</v>
      </c>
      <c r="I43" s="3">
        <v>21.221056600000001</v>
      </c>
      <c r="J43" s="3">
        <v>20.354261000000001</v>
      </c>
      <c r="K43" s="3">
        <v>19.487465400000001</v>
      </c>
      <c r="L43" s="3">
        <v>18.620669800000002</v>
      </c>
      <c r="M43" s="3">
        <v>17.753874199999998</v>
      </c>
      <c r="N43" s="3">
        <v>16.887078599999999</v>
      </c>
      <c r="O43" s="3">
        <v>16.020282999999999</v>
      </c>
      <c r="P43" s="3">
        <v>15.6652925</v>
      </c>
      <c r="Q43" s="3">
        <v>15.310301900000001</v>
      </c>
      <c r="R43" s="3">
        <v>14.9553113</v>
      </c>
      <c r="S43" s="3">
        <v>14.6003208</v>
      </c>
      <c r="T43" s="3">
        <v>14.2453302</v>
      </c>
      <c r="U43" s="3">
        <v>13.890339600000001</v>
      </c>
      <c r="V43" s="3">
        <v>13.535349099999999</v>
      </c>
      <c r="W43" s="3">
        <v>13.180358500000001</v>
      </c>
      <c r="X43" s="3">
        <v>12.8253679</v>
      </c>
      <c r="Y43" s="3">
        <v>12.4703774</v>
      </c>
      <c r="Z43" s="3">
        <v>12.1153899</v>
      </c>
      <c r="AA43" s="3">
        <v>11.7604025</v>
      </c>
      <c r="AB43" s="3">
        <v>11.405415100000001</v>
      </c>
      <c r="AC43" s="3">
        <v>11.0504277</v>
      </c>
      <c r="AD43" s="3">
        <v>10.6954403</v>
      </c>
      <c r="AE43" s="3">
        <v>10.340440299999999</v>
      </c>
      <c r="AF43" s="3">
        <v>9.9854402499999999</v>
      </c>
      <c r="AG43" s="3">
        <v>9.6304402499999995</v>
      </c>
      <c r="AH43" s="3">
        <v>9.2754717000000007</v>
      </c>
      <c r="AI43" s="3">
        <v>8.9204717000000002</v>
      </c>
      <c r="AJ43" s="4">
        <f t="shared" si="0"/>
        <v>-15.767767299999999</v>
      </c>
    </row>
    <row r="44" spans="1:36" ht="14.4" x14ac:dyDescent="0.3">
      <c r="A44" s="1" t="s">
        <v>91</v>
      </c>
      <c r="B44" s="1" t="s">
        <v>92</v>
      </c>
      <c r="C44" s="1" t="s">
        <v>7</v>
      </c>
      <c r="D44" s="1" t="s">
        <v>8</v>
      </c>
      <c r="E44" s="3">
        <v>47.597892999999999</v>
      </c>
      <c r="F44" s="3">
        <v>47.406970399999999</v>
      </c>
      <c r="G44" s="3">
        <v>47.2160479</v>
      </c>
      <c r="H44" s="3">
        <v>47.025125299999999</v>
      </c>
      <c r="I44" s="3">
        <v>46.8342028</v>
      </c>
      <c r="J44" s="3">
        <v>46.6432802</v>
      </c>
      <c r="K44" s="3">
        <v>46.4523577</v>
      </c>
      <c r="L44" s="3">
        <v>46.2614351</v>
      </c>
      <c r="M44" s="3">
        <v>46.070512600000001</v>
      </c>
      <c r="N44" s="3">
        <v>45.87959</v>
      </c>
      <c r="O44" s="3">
        <v>45.688667500000001</v>
      </c>
      <c r="P44" s="3">
        <v>45.541217699999997</v>
      </c>
      <c r="Q44" s="3">
        <v>45.393767799999999</v>
      </c>
      <c r="R44" s="3">
        <v>45.246318000000002</v>
      </c>
      <c r="S44" s="3">
        <v>45.098868199999998</v>
      </c>
      <c r="T44" s="3">
        <v>44.951418400000001</v>
      </c>
      <c r="U44" s="3">
        <v>44.803968599999997</v>
      </c>
      <c r="V44" s="3">
        <v>44.656518800000001</v>
      </c>
      <c r="W44" s="3">
        <v>44.509068999999997</v>
      </c>
      <c r="X44" s="3">
        <v>44.3616192</v>
      </c>
      <c r="Y44" s="3">
        <v>44.214169400000003</v>
      </c>
      <c r="Z44" s="3">
        <v>44.095703499999999</v>
      </c>
      <c r="AA44" s="3">
        <v>43.977237600000002</v>
      </c>
      <c r="AB44" s="3">
        <v>43.8587718</v>
      </c>
      <c r="AC44" s="3">
        <v>43.740305900000003</v>
      </c>
      <c r="AD44" s="3">
        <v>43.621839999999999</v>
      </c>
      <c r="AE44" s="3">
        <v>43.503374200000003</v>
      </c>
      <c r="AF44" s="3">
        <v>43.384908299999999</v>
      </c>
      <c r="AG44" s="3">
        <v>43.266442400000003</v>
      </c>
      <c r="AH44" s="3">
        <v>43.1479766</v>
      </c>
      <c r="AI44" s="3">
        <v>43.029510700000003</v>
      </c>
      <c r="AJ44" s="4">
        <f t="shared" si="0"/>
        <v>-4.5683822999999961</v>
      </c>
    </row>
    <row r="45" spans="1:36" ht="14.4" x14ac:dyDescent="0.3">
      <c r="A45" s="1" t="s">
        <v>93</v>
      </c>
      <c r="B45" s="1" t="s">
        <v>94</v>
      </c>
      <c r="C45" s="1" t="s">
        <v>7</v>
      </c>
      <c r="D45" s="1" t="s">
        <v>8</v>
      </c>
      <c r="E45" s="3">
        <v>66.442733899999993</v>
      </c>
      <c r="F45" s="3">
        <v>66.145872400000002</v>
      </c>
      <c r="G45" s="3">
        <v>65.849010800000002</v>
      </c>
      <c r="H45" s="3">
        <v>65.552149299999996</v>
      </c>
      <c r="I45" s="3">
        <v>65.255287699999997</v>
      </c>
      <c r="J45" s="3">
        <v>64.958426099999997</v>
      </c>
      <c r="K45" s="3">
        <v>64.661564600000005</v>
      </c>
      <c r="L45" s="3">
        <v>64.364703000000006</v>
      </c>
      <c r="M45" s="3">
        <v>64.0678415</v>
      </c>
      <c r="N45" s="3">
        <v>63.7709799</v>
      </c>
      <c r="O45" s="3">
        <v>63.474118300000001</v>
      </c>
      <c r="P45" s="3">
        <v>63.177256800000002</v>
      </c>
      <c r="Q45" s="3">
        <v>62.880395200000002</v>
      </c>
      <c r="R45" s="3">
        <v>62.583533699999997</v>
      </c>
      <c r="S45" s="3">
        <v>62.286672099999997</v>
      </c>
      <c r="T45" s="3">
        <v>61.989810499999997</v>
      </c>
      <c r="U45" s="3">
        <v>61.692948999999999</v>
      </c>
      <c r="V45" s="3">
        <v>61.396087399999999</v>
      </c>
      <c r="W45" s="3">
        <v>61.0992259</v>
      </c>
      <c r="X45" s="3">
        <v>60.802364300000001</v>
      </c>
      <c r="Y45" s="3">
        <v>60.505502700000001</v>
      </c>
      <c r="Z45" s="3">
        <v>60.019683700000002</v>
      </c>
      <c r="AA45" s="3">
        <v>59.533864700000002</v>
      </c>
      <c r="AB45" s="3">
        <v>59.048045700000003</v>
      </c>
      <c r="AC45" s="3">
        <v>58.562226699999997</v>
      </c>
      <c r="AD45" s="3">
        <v>58.076407699999997</v>
      </c>
      <c r="AE45" s="3">
        <v>57.590586899999998</v>
      </c>
      <c r="AF45" s="3">
        <v>57.104770500000001</v>
      </c>
      <c r="AG45" s="3">
        <v>56.618949700000002</v>
      </c>
      <c r="AH45" s="3">
        <v>56.133128999999997</v>
      </c>
      <c r="AI45" s="3">
        <v>55.647312599999999</v>
      </c>
      <c r="AJ45" s="4">
        <f t="shared" si="0"/>
        <v>-10.795421299999994</v>
      </c>
    </row>
    <row r="46" spans="1:36" ht="14.4" x14ac:dyDescent="0.3">
      <c r="A46" s="1" t="s">
        <v>95</v>
      </c>
      <c r="B46" s="1" t="s">
        <v>96</v>
      </c>
      <c r="C46" s="1" t="s">
        <v>7</v>
      </c>
      <c r="D46" s="1" t="s">
        <v>8</v>
      </c>
      <c r="E46" s="3">
        <v>65.344070299999998</v>
      </c>
      <c r="F46" s="3">
        <v>65.308931200000004</v>
      </c>
      <c r="G46" s="3">
        <v>65.273792099999994</v>
      </c>
      <c r="H46" s="3">
        <v>65.238652999999999</v>
      </c>
      <c r="I46" s="3">
        <v>65.203513900000004</v>
      </c>
      <c r="J46" s="3">
        <v>65.168374799999995</v>
      </c>
      <c r="K46" s="3">
        <v>65.1332357</v>
      </c>
      <c r="L46" s="3">
        <v>65.098096600000005</v>
      </c>
      <c r="M46" s="3">
        <v>65.062957499999996</v>
      </c>
      <c r="N46" s="3">
        <v>65.027818400000001</v>
      </c>
      <c r="O46" s="3">
        <v>64.9926794</v>
      </c>
      <c r="P46" s="3">
        <v>64.957540300000005</v>
      </c>
      <c r="Q46" s="3">
        <v>64.922401199999996</v>
      </c>
      <c r="R46" s="3">
        <v>64.887262100000001</v>
      </c>
      <c r="S46" s="3">
        <v>64.852123000000006</v>
      </c>
      <c r="T46" s="3">
        <v>64.816983899999997</v>
      </c>
      <c r="U46" s="3">
        <v>64.781844800000002</v>
      </c>
      <c r="V46" s="3">
        <v>64.746705700000007</v>
      </c>
      <c r="W46" s="3">
        <v>64.711566599999998</v>
      </c>
      <c r="X46" s="3">
        <v>64.676427500000003</v>
      </c>
      <c r="Y46" s="3">
        <v>64.641288399999993</v>
      </c>
      <c r="Z46" s="3">
        <v>64.606149299999998</v>
      </c>
      <c r="AA46" s="3">
        <v>64.571010200000003</v>
      </c>
      <c r="AB46" s="3">
        <v>64.535871200000003</v>
      </c>
      <c r="AC46" s="3">
        <v>64.500732099999993</v>
      </c>
      <c r="AD46" s="3">
        <v>64.465592999999998</v>
      </c>
      <c r="AE46" s="3">
        <v>64.430453900000003</v>
      </c>
      <c r="AF46" s="3">
        <v>64.395314799999994</v>
      </c>
      <c r="AG46" s="3">
        <v>64.351390899999998</v>
      </c>
      <c r="AH46" s="3">
        <v>64.307467099999997</v>
      </c>
      <c r="AI46" s="3">
        <v>64.263543200000001</v>
      </c>
      <c r="AJ46" s="4">
        <f t="shared" si="0"/>
        <v>-1.0805270999999976</v>
      </c>
    </row>
    <row r="47" spans="1:36" ht="14.4" x14ac:dyDescent="0.3">
      <c r="A47" s="1" t="s">
        <v>97</v>
      </c>
      <c r="B47" s="1" t="s">
        <v>98</v>
      </c>
      <c r="C47" s="1" t="s">
        <v>7</v>
      </c>
      <c r="D47" s="1" t="s">
        <v>8</v>
      </c>
      <c r="E47" s="3">
        <v>58.547219499999997</v>
      </c>
      <c r="F47" s="3">
        <v>58.346891399999997</v>
      </c>
      <c r="G47" s="3">
        <v>58.146563299999997</v>
      </c>
      <c r="H47" s="3">
        <v>57.946235199999997</v>
      </c>
      <c r="I47" s="3">
        <v>57.745907199999998</v>
      </c>
      <c r="J47" s="3">
        <v>57.545579099999998</v>
      </c>
      <c r="K47" s="3">
        <v>57.345250999999998</v>
      </c>
      <c r="L47" s="3">
        <v>57.144922899999997</v>
      </c>
      <c r="M47" s="3">
        <v>56.944594899999998</v>
      </c>
      <c r="N47" s="3">
        <v>56.744266799999998</v>
      </c>
      <c r="O47" s="3">
        <v>56.543938699999998</v>
      </c>
      <c r="P47" s="3">
        <v>56.370192899999999</v>
      </c>
      <c r="Q47" s="3">
        <v>56.196446999999999</v>
      </c>
      <c r="R47" s="3">
        <v>56.0227012</v>
      </c>
      <c r="S47" s="3">
        <v>55.848955400000001</v>
      </c>
      <c r="T47" s="3">
        <v>55.675209600000002</v>
      </c>
      <c r="U47" s="3">
        <v>55.501463700000002</v>
      </c>
      <c r="V47" s="3">
        <v>55.327717900000003</v>
      </c>
      <c r="W47" s="3">
        <v>55.153972099999997</v>
      </c>
      <c r="X47" s="3">
        <v>54.980226199999997</v>
      </c>
      <c r="Y47" s="3">
        <v>54.806480399999998</v>
      </c>
      <c r="Z47" s="3">
        <v>54.685141100000003</v>
      </c>
      <c r="AA47" s="3">
        <v>54.563801699999999</v>
      </c>
      <c r="AB47" s="3">
        <v>54.442462399999997</v>
      </c>
      <c r="AC47" s="3">
        <v>54.321123</v>
      </c>
      <c r="AD47" s="3">
        <v>54.199783699999998</v>
      </c>
      <c r="AE47" s="3">
        <v>54.041901799999998</v>
      </c>
      <c r="AF47" s="3">
        <v>53.843866599999998</v>
      </c>
      <c r="AG47" s="3">
        <v>53.664245200000003</v>
      </c>
      <c r="AH47" s="3">
        <v>53.484632699999999</v>
      </c>
      <c r="AI47" s="3">
        <v>53.305011299999997</v>
      </c>
      <c r="AJ47" s="4">
        <f t="shared" si="0"/>
        <v>-5.2422082000000003</v>
      </c>
    </row>
    <row r="48" spans="1:36" ht="14.4" x14ac:dyDescent="0.3">
      <c r="A48" s="1" t="s">
        <v>99</v>
      </c>
      <c r="B48" s="1" t="s">
        <v>100</v>
      </c>
      <c r="C48" s="1" t="s">
        <v>7</v>
      </c>
      <c r="D48" s="1" t="s">
        <v>8</v>
      </c>
      <c r="E48" s="3">
        <v>24.750134299999999</v>
      </c>
      <c r="F48" s="3">
        <v>24.514776999999999</v>
      </c>
      <c r="G48" s="3">
        <v>24.279419699999998</v>
      </c>
      <c r="H48" s="3">
        <v>24.0440623</v>
      </c>
      <c r="I48" s="3">
        <v>23.808705</v>
      </c>
      <c r="J48" s="3">
        <v>23.573347699999999</v>
      </c>
      <c r="K48" s="3">
        <v>23.337990300000001</v>
      </c>
      <c r="L48" s="3">
        <v>23.102633000000001</v>
      </c>
      <c r="M48" s="3">
        <v>22.8672757</v>
      </c>
      <c r="N48" s="3">
        <v>22.631918299999999</v>
      </c>
      <c r="O48" s="3">
        <v>22.396560999999998</v>
      </c>
      <c r="P48" s="3">
        <v>22.161203700000002</v>
      </c>
      <c r="Q48" s="3">
        <v>21.9258463</v>
      </c>
      <c r="R48" s="3">
        <v>21.690488999999999</v>
      </c>
      <c r="S48" s="3">
        <v>21.455131600000001</v>
      </c>
      <c r="T48" s="3">
        <v>21.219774300000001</v>
      </c>
      <c r="U48" s="3">
        <v>20.984417000000001</v>
      </c>
      <c r="V48" s="3">
        <v>20.749059599999999</v>
      </c>
      <c r="W48" s="3">
        <v>20.513702299999999</v>
      </c>
      <c r="X48" s="3">
        <v>20.278345000000002</v>
      </c>
      <c r="Y48" s="3">
        <v>20.0429876</v>
      </c>
      <c r="Z48" s="3">
        <v>19.8076303</v>
      </c>
      <c r="AA48" s="3">
        <v>19.572272999999999</v>
      </c>
      <c r="AB48" s="3">
        <v>19.336915600000001</v>
      </c>
      <c r="AC48" s="3">
        <v>19.101558300000001</v>
      </c>
      <c r="AD48" s="3">
        <v>18.866201</v>
      </c>
      <c r="AE48" s="3">
        <v>18.629768899999998</v>
      </c>
      <c r="AF48" s="3">
        <v>18.393336900000001</v>
      </c>
      <c r="AG48" s="3">
        <v>18.162278300000001</v>
      </c>
      <c r="AH48" s="3">
        <v>17.9258463</v>
      </c>
      <c r="AI48" s="3">
        <v>17.689414299999999</v>
      </c>
      <c r="AJ48" s="4">
        <f t="shared" si="0"/>
        <v>-7.0607199999999999</v>
      </c>
    </row>
    <row r="49" spans="1:36" ht="14.4" x14ac:dyDescent="0.3">
      <c r="A49" s="1" t="s">
        <v>101</v>
      </c>
      <c r="B49" s="1" t="s">
        <v>102</v>
      </c>
      <c r="C49" s="1" t="s">
        <v>7</v>
      </c>
      <c r="D49" s="1" t="s">
        <v>8</v>
      </c>
      <c r="E49" s="3">
        <v>3.81637717</v>
      </c>
      <c r="F49" s="3">
        <v>4.4203473899999999</v>
      </c>
      <c r="G49" s="3">
        <v>5.0243176199999997</v>
      </c>
      <c r="H49" s="3">
        <v>5.6282878399999996</v>
      </c>
      <c r="I49" s="3">
        <v>6.2322580600000004</v>
      </c>
      <c r="J49" s="3">
        <v>6.8362282900000002</v>
      </c>
      <c r="K49" s="3">
        <v>7.4401985100000001</v>
      </c>
      <c r="L49" s="3">
        <v>8.0441687300000009</v>
      </c>
      <c r="M49" s="3">
        <v>8.6481389600000007</v>
      </c>
      <c r="N49" s="3">
        <v>9.2521091799999997</v>
      </c>
      <c r="O49" s="3">
        <v>9.8560794000000005</v>
      </c>
      <c r="P49" s="3">
        <v>9.9305210899999992</v>
      </c>
      <c r="Q49" s="3">
        <v>10.004962799999999</v>
      </c>
      <c r="R49" s="3">
        <v>10.079404500000001</v>
      </c>
      <c r="S49" s="3">
        <v>10.1538462</v>
      </c>
      <c r="T49" s="3">
        <v>10.2282878</v>
      </c>
      <c r="U49" s="3">
        <v>10.3027295</v>
      </c>
      <c r="V49" s="3">
        <v>10.377171199999999</v>
      </c>
      <c r="W49" s="3">
        <v>10.451612900000001</v>
      </c>
      <c r="X49" s="3">
        <v>10.5260546</v>
      </c>
      <c r="Y49" s="3">
        <v>10.6004963</v>
      </c>
      <c r="Z49" s="3">
        <v>10.674937999999999</v>
      </c>
      <c r="AA49" s="3">
        <v>10.7493797</v>
      </c>
      <c r="AB49" s="3">
        <v>10.823821300000001</v>
      </c>
      <c r="AC49" s="3">
        <v>10.898263</v>
      </c>
      <c r="AD49" s="3">
        <v>10.9727047</v>
      </c>
      <c r="AE49" s="3">
        <v>11.047146400000001</v>
      </c>
      <c r="AF49" s="3">
        <v>11.1215881</v>
      </c>
      <c r="AG49" s="3">
        <v>11.1960298</v>
      </c>
      <c r="AH49" s="3">
        <v>11.270471499999999</v>
      </c>
      <c r="AI49" s="3">
        <v>11.344913200000001</v>
      </c>
      <c r="AJ49" s="4">
        <f t="shared" si="0"/>
        <v>7.5285360300000006</v>
      </c>
    </row>
    <row r="50" spans="1:36" ht="14.4" x14ac:dyDescent="0.3">
      <c r="A50" s="1" t="s">
        <v>103</v>
      </c>
      <c r="B50" s="1" t="s">
        <v>104</v>
      </c>
      <c r="C50" s="1" t="s">
        <v>7</v>
      </c>
      <c r="D50" s="1" t="s">
        <v>8</v>
      </c>
      <c r="E50" s="3">
        <v>56.9408539</v>
      </c>
      <c r="F50" s="3">
        <v>56.842577400000003</v>
      </c>
      <c r="G50" s="3">
        <v>56.744300799999998</v>
      </c>
      <c r="H50" s="3">
        <v>56.646024300000001</v>
      </c>
      <c r="I50" s="3">
        <v>56.547747700000002</v>
      </c>
      <c r="J50" s="3">
        <v>56.449471199999998</v>
      </c>
      <c r="K50" s="3">
        <v>56.351194700000001</v>
      </c>
      <c r="L50" s="3">
        <v>56.252918100000002</v>
      </c>
      <c r="M50" s="3">
        <v>56.154641599999998</v>
      </c>
      <c r="N50" s="3">
        <v>56.056365100000001</v>
      </c>
      <c r="O50" s="3">
        <v>55.958088500000002</v>
      </c>
      <c r="P50" s="3">
        <v>55.985468099999999</v>
      </c>
      <c r="Q50" s="3">
        <v>56.012847600000001</v>
      </c>
      <c r="R50" s="3">
        <v>56.040227199999997</v>
      </c>
      <c r="S50" s="3">
        <v>56.067606699999999</v>
      </c>
      <c r="T50" s="3">
        <v>56.094986300000002</v>
      </c>
      <c r="U50" s="3">
        <v>56.122365799999997</v>
      </c>
      <c r="V50" s="3">
        <v>56.1497454</v>
      </c>
      <c r="W50" s="3">
        <v>56.177124999999997</v>
      </c>
      <c r="X50" s="3">
        <v>56.204504499999999</v>
      </c>
      <c r="Y50" s="3">
        <v>56.231884100000002</v>
      </c>
      <c r="Z50" s="3">
        <v>56.552408900000003</v>
      </c>
      <c r="AA50" s="3">
        <v>56.872933799999998</v>
      </c>
      <c r="AB50" s="3">
        <v>57.193458700000001</v>
      </c>
      <c r="AC50" s="3">
        <v>57.513983500000002</v>
      </c>
      <c r="AD50" s="3">
        <v>57.834508399999997</v>
      </c>
      <c r="AE50" s="3">
        <v>58.155111599999998</v>
      </c>
      <c r="AF50" s="3">
        <v>58.475714799999999</v>
      </c>
      <c r="AG50" s="3">
        <v>58.796122199999999</v>
      </c>
      <c r="AH50" s="3">
        <v>59.1167254</v>
      </c>
      <c r="AI50" s="3">
        <v>59.437328600000001</v>
      </c>
      <c r="AJ50" s="4">
        <f t="shared" si="0"/>
        <v>2.4964747000000003</v>
      </c>
    </row>
    <row r="51" spans="1:36" ht="14.4" x14ac:dyDescent="0.3">
      <c r="A51" s="1" t="s">
        <v>105</v>
      </c>
      <c r="B51" s="1" t="s">
        <v>106</v>
      </c>
      <c r="C51" s="1" t="s">
        <v>7</v>
      </c>
      <c r="D51" s="1" t="s">
        <v>8</v>
      </c>
      <c r="E51" s="3">
        <v>91.385056199999994</v>
      </c>
      <c r="F51" s="3">
        <v>91.329858000000002</v>
      </c>
      <c r="G51" s="3">
        <v>91.274659799999995</v>
      </c>
      <c r="H51" s="3">
        <v>91.219461499999994</v>
      </c>
      <c r="I51" s="3">
        <v>91.164263300000002</v>
      </c>
      <c r="J51" s="3">
        <v>91.109065099999995</v>
      </c>
      <c r="K51" s="3">
        <v>91.053866900000003</v>
      </c>
      <c r="L51" s="3">
        <v>90.998668600000002</v>
      </c>
      <c r="M51" s="3">
        <v>90.943470399999995</v>
      </c>
      <c r="N51" s="3">
        <v>90.888272200000003</v>
      </c>
      <c r="O51" s="3">
        <v>90.833073999999996</v>
      </c>
      <c r="P51" s="3">
        <v>90.803179</v>
      </c>
      <c r="Q51" s="3">
        <v>90.773283899999996</v>
      </c>
      <c r="R51" s="3">
        <v>90.743388899999999</v>
      </c>
      <c r="S51" s="3">
        <v>90.713493900000003</v>
      </c>
      <c r="T51" s="3">
        <v>90.683598900000007</v>
      </c>
      <c r="U51" s="3">
        <v>90.653703800000002</v>
      </c>
      <c r="V51" s="3">
        <v>90.623808800000006</v>
      </c>
      <c r="W51" s="3">
        <v>90.593913799999996</v>
      </c>
      <c r="X51" s="3">
        <v>90.564018799999999</v>
      </c>
      <c r="Y51" s="3">
        <v>90.534123699999995</v>
      </c>
      <c r="Z51" s="3">
        <v>90.460694099999998</v>
      </c>
      <c r="AA51" s="3">
        <v>90.387264400000007</v>
      </c>
      <c r="AB51" s="3">
        <v>90.313834799999995</v>
      </c>
      <c r="AC51" s="3">
        <v>90.240405100000004</v>
      </c>
      <c r="AD51" s="3">
        <v>90.166975399999998</v>
      </c>
      <c r="AE51" s="3">
        <v>90.097048299999997</v>
      </c>
      <c r="AF51" s="3">
        <v>90.037124899999995</v>
      </c>
      <c r="AG51" s="3">
        <v>89.965024099999994</v>
      </c>
      <c r="AH51" s="3">
        <v>89.892824500000003</v>
      </c>
      <c r="AI51" s="3">
        <v>89.820723700000002</v>
      </c>
      <c r="AJ51" s="4">
        <f t="shared" si="0"/>
        <v>-1.5643324999999919</v>
      </c>
    </row>
    <row r="52" spans="1:36" ht="14.4" x14ac:dyDescent="0.3">
      <c r="A52" s="1" t="s">
        <v>107</v>
      </c>
      <c r="B52" s="1" t="s">
        <v>108</v>
      </c>
      <c r="C52" s="1" t="s">
        <v>7</v>
      </c>
      <c r="D52" s="1" t="s">
        <v>8</v>
      </c>
      <c r="E52" s="3">
        <v>19.162011199999998</v>
      </c>
      <c r="F52" s="3">
        <v>19.5130354</v>
      </c>
      <c r="G52" s="3">
        <v>19.864059600000001</v>
      </c>
      <c r="H52" s="3">
        <v>20.215083799999999</v>
      </c>
      <c r="I52" s="3">
        <v>20.566108</v>
      </c>
      <c r="J52" s="3">
        <v>20.917132200000001</v>
      </c>
      <c r="K52" s="3">
        <v>21.268156399999999</v>
      </c>
      <c r="L52" s="3">
        <v>21.6191806</v>
      </c>
      <c r="M52" s="3">
        <v>21.970204800000001</v>
      </c>
      <c r="N52" s="3">
        <v>22.3212291</v>
      </c>
      <c r="O52" s="3">
        <v>22.672253300000001</v>
      </c>
      <c r="P52" s="3">
        <v>23.1350093</v>
      </c>
      <c r="Q52" s="3">
        <v>23.821787799999999</v>
      </c>
      <c r="R52" s="3">
        <v>24.2866541</v>
      </c>
      <c r="S52" s="3">
        <v>24.7514331</v>
      </c>
      <c r="T52" s="3">
        <v>25.211386699999998</v>
      </c>
      <c r="U52" s="3">
        <v>25.680729100000001</v>
      </c>
      <c r="V52" s="3">
        <v>26.145246100000001</v>
      </c>
      <c r="W52" s="3">
        <v>26.6121759</v>
      </c>
      <c r="X52" s="3">
        <v>27.079105599999998</v>
      </c>
      <c r="Y52" s="3">
        <v>27.5460353</v>
      </c>
      <c r="Z52" s="3">
        <v>27.9086307</v>
      </c>
      <c r="AA52" s="3">
        <v>28.437209899999999</v>
      </c>
      <c r="AB52" s="3">
        <v>29.5835732</v>
      </c>
      <c r="AC52" s="3">
        <v>30.124976</v>
      </c>
      <c r="AD52" s="3">
        <v>30.585975000000001</v>
      </c>
      <c r="AE52" s="3">
        <v>31.151480200000002</v>
      </c>
      <c r="AF52" s="3">
        <v>31.2331407</v>
      </c>
      <c r="AG52" s="3">
        <v>31.2331407</v>
      </c>
      <c r="AH52" s="3">
        <v>31.2331407</v>
      </c>
      <c r="AI52" s="3">
        <v>31.2331407</v>
      </c>
      <c r="AJ52" s="4">
        <f t="shared" si="0"/>
        <v>12.071129500000001</v>
      </c>
    </row>
    <row r="53" spans="1:36" ht="14.4" x14ac:dyDescent="0.3">
      <c r="A53" s="1" t="s">
        <v>109</v>
      </c>
      <c r="B53" s="1" t="s">
        <v>110</v>
      </c>
      <c r="C53" s="1" t="s">
        <v>7</v>
      </c>
      <c r="D53" s="1" t="s">
        <v>8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3">
        <v>0.15765766000000001</v>
      </c>
      <c r="P53" s="5"/>
      <c r="Q53" s="5"/>
      <c r="R53" s="5"/>
      <c r="S53" s="5"/>
      <c r="T53" s="5"/>
      <c r="U53" s="5"/>
      <c r="V53" s="5"/>
      <c r="W53" s="5"/>
      <c r="X53" s="5"/>
      <c r="Y53" s="3">
        <v>0.15765766000000001</v>
      </c>
      <c r="Z53" s="3">
        <v>0.15765766000000001</v>
      </c>
      <c r="AA53" s="3">
        <v>0.15765766000000001</v>
      </c>
      <c r="AB53" s="3">
        <v>0.15765766000000001</v>
      </c>
      <c r="AC53" s="3">
        <v>0.15765766000000001</v>
      </c>
      <c r="AD53" s="3">
        <v>0.15765766000000001</v>
      </c>
      <c r="AE53" s="3">
        <v>0.15765766000000001</v>
      </c>
      <c r="AF53" s="3">
        <v>0.15765766000000001</v>
      </c>
      <c r="AG53" s="3">
        <v>0.15765766000000001</v>
      </c>
      <c r="AH53" s="3">
        <v>0.15765766000000001</v>
      </c>
      <c r="AI53" s="3">
        <v>0.15765766000000001</v>
      </c>
      <c r="AJ53" s="4">
        <f t="shared" si="0"/>
        <v>0.15765766000000001</v>
      </c>
    </row>
    <row r="54" spans="1:36" ht="14.4" x14ac:dyDescent="0.3">
      <c r="A54" s="1" t="s">
        <v>111</v>
      </c>
      <c r="B54" s="1" t="s">
        <v>112</v>
      </c>
      <c r="C54" s="1" t="s">
        <v>7</v>
      </c>
      <c r="D54" s="1" t="s">
        <v>8</v>
      </c>
      <c r="E54" s="3">
        <v>54.7083333</v>
      </c>
      <c r="F54" s="3">
        <v>54.625</v>
      </c>
      <c r="G54" s="3">
        <v>54.5416667</v>
      </c>
      <c r="H54" s="3">
        <v>54.4583333</v>
      </c>
      <c r="I54" s="3">
        <v>54.375</v>
      </c>
      <c r="J54" s="3">
        <v>54.2916667</v>
      </c>
      <c r="K54" s="3">
        <v>54.2083333</v>
      </c>
      <c r="L54" s="3">
        <v>54.125</v>
      </c>
      <c r="M54" s="3">
        <v>54.0416667</v>
      </c>
      <c r="N54" s="3">
        <v>53.9583333</v>
      </c>
      <c r="O54" s="3">
        <v>53.875</v>
      </c>
      <c r="P54" s="3">
        <v>53.787500000000001</v>
      </c>
      <c r="Q54" s="3">
        <v>53.7</v>
      </c>
      <c r="R54" s="3">
        <v>53.612499999999997</v>
      </c>
      <c r="S54" s="3">
        <v>53.524999999999999</v>
      </c>
      <c r="T54" s="3">
        <v>53.4375</v>
      </c>
      <c r="U54" s="3">
        <v>53.35</v>
      </c>
      <c r="V54" s="3">
        <v>53.262500000000003</v>
      </c>
      <c r="W54" s="3">
        <v>53.174999999999997</v>
      </c>
      <c r="X54" s="3">
        <v>53.087499999999999</v>
      </c>
      <c r="Y54" s="3">
        <v>53</v>
      </c>
      <c r="Z54" s="3">
        <v>53</v>
      </c>
      <c r="AA54" s="3">
        <v>53</v>
      </c>
      <c r="AB54" s="3">
        <v>53</v>
      </c>
      <c r="AC54" s="3">
        <v>53</v>
      </c>
      <c r="AD54" s="3">
        <v>53</v>
      </c>
      <c r="AE54" s="3">
        <v>53</v>
      </c>
      <c r="AF54" s="3">
        <v>53</v>
      </c>
      <c r="AG54" s="3">
        <v>53.375</v>
      </c>
      <c r="AH54" s="3">
        <v>53</v>
      </c>
      <c r="AI54" s="3">
        <v>53</v>
      </c>
      <c r="AJ54" s="4">
        <f t="shared" si="0"/>
        <v>-1.7083332999999996</v>
      </c>
    </row>
    <row r="55" spans="1:36" ht="14.4" x14ac:dyDescent="0.3">
      <c r="A55" s="1" t="s">
        <v>113</v>
      </c>
      <c r="B55" s="1" t="s">
        <v>114</v>
      </c>
      <c r="C55" s="1" t="s">
        <v>7</v>
      </c>
      <c r="D55" s="1" t="s">
        <v>8</v>
      </c>
      <c r="E55" s="3">
        <v>17.436147200000001</v>
      </c>
      <c r="F55" s="3">
        <v>17.5497835</v>
      </c>
      <c r="G55" s="3">
        <v>17.663419900000001</v>
      </c>
      <c r="H55" s="3">
        <v>17.777056300000002</v>
      </c>
      <c r="I55" s="3">
        <v>17.890692600000001</v>
      </c>
      <c r="J55" s="3">
        <v>18.004328999999998</v>
      </c>
      <c r="K55" s="3">
        <v>18.117965399999999</v>
      </c>
      <c r="L55" s="3">
        <v>18.231601699999999</v>
      </c>
      <c r="M55" s="3">
        <v>18.3452381</v>
      </c>
      <c r="N55" s="3">
        <v>18.4588745</v>
      </c>
      <c r="O55" s="3">
        <v>18.5725108</v>
      </c>
      <c r="P55" s="3">
        <v>18.585822499999999</v>
      </c>
      <c r="Q55" s="3">
        <v>18.599134200000002</v>
      </c>
      <c r="R55" s="3">
        <v>18.612445900000001</v>
      </c>
      <c r="S55" s="3">
        <v>18.6257576</v>
      </c>
      <c r="T55" s="3">
        <v>18.639069299999999</v>
      </c>
      <c r="U55" s="3">
        <v>18.652380999999998</v>
      </c>
      <c r="V55" s="3">
        <v>18.6656926</v>
      </c>
      <c r="W55" s="3">
        <v>18.679004299999999</v>
      </c>
      <c r="X55" s="3">
        <v>18.692316000000002</v>
      </c>
      <c r="Y55" s="3">
        <v>18.705627700000001</v>
      </c>
      <c r="Z55" s="3">
        <v>18.702813899999999</v>
      </c>
      <c r="AA55" s="3">
        <v>18.7</v>
      </c>
      <c r="AB55" s="3">
        <v>18.6971861</v>
      </c>
      <c r="AC55" s="3">
        <v>18.694372300000001</v>
      </c>
      <c r="AD55" s="3">
        <v>18.691558400000002</v>
      </c>
      <c r="AE55" s="3">
        <v>18.680735899999998</v>
      </c>
      <c r="AF55" s="3">
        <v>18.678571399999999</v>
      </c>
      <c r="AG55" s="3">
        <v>18.6764069</v>
      </c>
      <c r="AH55" s="3">
        <v>18.674242400000001</v>
      </c>
      <c r="AI55" s="3">
        <v>18.672077900000001</v>
      </c>
      <c r="AJ55" s="4">
        <f t="shared" si="0"/>
        <v>1.2359307000000008</v>
      </c>
    </row>
    <row r="56" spans="1:36" ht="14.4" x14ac:dyDescent="0.3">
      <c r="A56" s="1" t="s">
        <v>115</v>
      </c>
      <c r="B56" s="1" t="s">
        <v>116</v>
      </c>
      <c r="C56" s="1" t="s">
        <v>7</v>
      </c>
      <c r="D56" s="1" t="s">
        <v>8</v>
      </c>
      <c r="E56" s="3">
        <v>34.023553800000002</v>
      </c>
      <c r="F56" s="3">
        <v>34.023553800000002</v>
      </c>
      <c r="G56" s="3">
        <v>34.023553800000002</v>
      </c>
      <c r="H56" s="3">
        <v>34.059544500000001</v>
      </c>
      <c r="I56" s="3">
        <v>34.069729500000001</v>
      </c>
      <c r="J56" s="3">
        <v>34.079914600000002</v>
      </c>
      <c r="K56" s="3">
        <v>34.090099700000003</v>
      </c>
      <c r="L56" s="3">
        <v>34.100284700000003</v>
      </c>
      <c r="M56" s="3">
        <v>34.110469799999997</v>
      </c>
      <c r="N56" s="3">
        <v>34.120654799999997</v>
      </c>
      <c r="O56" s="3">
        <v>34.130839899999998</v>
      </c>
      <c r="P56" s="3">
        <v>34.156839699999999</v>
      </c>
      <c r="Q56" s="3">
        <v>34.182839399999999</v>
      </c>
      <c r="R56" s="3">
        <v>34.208839099999999</v>
      </c>
      <c r="S56" s="3">
        <v>34.239269999999998</v>
      </c>
      <c r="T56" s="3">
        <v>34.265273100000002</v>
      </c>
      <c r="U56" s="3">
        <v>34.295715199999997</v>
      </c>
      <c r="V56" s="3">
        <v>34.321721699999998</v>
      </c>
      <c r="W56" s="3">
        <v>34.347728199999999</v>
      </c>
      <c r="X56" s="3">
        <v>34.373734599999999</v>
      </c>
      <c r="Y56" s="3">
        <v>34.404194699999998</v>
      </c>
      <c r="Z56" s="3">
        <v>34.4327033</v>
      </c>
      <c r="AA56" s="3">
        <v>34.465674</v>
      </c>
      <c r="AB56" s="3">
        <v>34.4986532</v>
      </c>
      <c r="AC56" s="3">
        <v>34.527169100000002</v>
      </c>
      <c r="AD56" s="3">
        <v>34.560160600000003</v>
      </c>
      <c r="AE56" s="3">
        <v>34.574592099999997</v>
      </c>
      <c r="AF56" s="3">
        <v>34.602512599999997</v>
      </c>
      <c r="AG56" s="3">
        <v>34.630440399999998</v>
      </c>
      <c r="AH56" s="3">
        <v>34.653886</v>
      </c>
      <c r="AI56" s="3">
        <v>34.677331600000002</v>
      </c>
      <c r="AJ56" s="4">
        <f t="shared" si="0"/>
        <v>0.6537778000000003</v>
      </c>
    </row>
    <row r="57" spans="1:36" ht="14.4" x14ac:dyDescent="0.3">
      <c r="A57" s="1" t="s">
        <v>117</v>
      </c>
      <c r="B57" s="1" t="s">
        <v>118</v>
      </c>
      <c r="C57" s="1" t="s">
        <v>7</v>
      </c>
      <c r="D57" s="1" t="s">
        <v>8</v>
      </c>
      <c r="E57" s="3">
        <v>32.366167300000001</v>
      </c>
      <c r="F57" s="3">
        <v>32.381634300000002</v>
      </c>
      <c r="G57" s="3">
        <v>32.397101399999997</v>
      </c>
      <c r="H57" s="3">
        <v>32.413496799999997</v>
      </c>
      <c r="I57" s="3">
        <v>32.429893200000002</v>
      </c>
      <c r="J57" s="3">
        <v>32.446290500000003</v>
      </c>
      <c r="K57" s="3">
        <v>32.462688700000001</v>
      </c>
      <c r="L57" s="3">
        <v>32.481879399999997</v>
      </c>
      <c r="M57" s="3">
        <v>32.500143299999998</v>
      </c>
      <c r="N57" s="3">
        <v>32.519342100000003</v>
      </c>
      <c r="O57" s="3">
        <v>32.537612799999998</v>
      </c>
      <c r="P57" s="3">
        <v>32.558039600000001</v>
      </c>
      <c r="Q57" s="3">
        <v>32.577538300000001</v>
      </c>
      <c r="R57" s="3">
        <v>32.597976000000003</v>
      </c>
      <c r="S57" s="3">
        <v>32.617484300000001</v>
      </c>
      <c r="T57" s="3">
        <v>32.6341897</v>
      </c>
      <c r="U57" s="3">
        <v>32.653705000000002</v>
      </c>
      <c r="V57" s="3">
        <v>32.6741618</v>
      </c>
      <c r="W57" s="3">
        <v>32.693686700000001</v>
      </c>
      <c r="X57" s="3">
        <v>32.711339299999999</v>
      </c>
      <c r="Y57" s="3">
        <v>32.730871800000003</v>
      </c>
      <c r="Z57" s="3">
        <v>32.737548799999999</v>
      </c>
      <c r="AA57" s="3">
        <v>32.745165499999999</v>
      </c>
      <c r="AB57" s="3">
        <v>32.7189865</v>
      </c>
      <c r="AC57" s="3">
        <v>32.7228432</v>
      </c>
      <c r="AD57" s="3">
        <v>32.732328199999998</v>
      </c>
      <c r="AE57" s="3">
        <v>32.685482</v>
      </c>
      <c r="AF57" s="3">
        <v>32.684546500000003</v>
      </c>
      <c r="AG57" s="3">
        <v>32.683610999999999</v>
      </c>
      <c r="AH57" s="3">
        <v>32.683610999999999</v>
      </c>
      <c r="AI57" s="3">
        <v>32.683610999999999</v>
      </c>
      <c r="AJ57" s="4">
        <f t="shared" si="0"/>
        <v>0.31744369999999833</v>
      </c>
    </row>
    <row r="58" spans="1:36" ht="14.4" x14ac:dyDescent="0.3">
      <c r="A58" s="1" t="s">
        <v>119</v>
      </c>
      <c r="B58" s="1" t="s">
        <v>120</v>
      </c>
      <c r="C58" s="1" t="s">
        <v>7</v>
      </c>
      <c r="D58" s="1" t="s">
        <v>8</v>
      </c>
      <c r="E58" s="3">
        <v>0.24158758</v>
      </c>
      <c r="F58" s="3">
        <v>0.24158758</v>
      </c>
      <c r="G58" s="3">
        <v>0.24158758</v>
      </c>
      <c r="H58" s="3">
        <v>0.24158758</v>
      </c>
      <c r="I58" s="3">
        <v>0.24158758</v>
      </c>
      <c r="J58" s="3">
        <v>0.24158758</v>
      </c>
      <c r="K58" s="3">
        <v>0.24158758</v>
      </c>
      <c r="L58" s="3">
        <v>0.24158758</v>
      </c>
      <c r="M58" s="3">
        <v>0.24158758</v>
      </c>
      <c r="N58" s="3">
        <v>0.24158758</v>
      </c>
      <c r="O58" s="3">
        <v>0.24158758</v>
      </c>
      <c r="P58" s="3">
        <v>0.24158758</v>
      </c>
      <c r="Q58" s="3">
        <v>0.24158758</v>
      </c>
      <c r="R58" s="3">
        <v>0.24158758</v>
      </c>
      <c r="S58" s="3">
        <v>0.24158758</v>
      </c>
      <c r="T58" s="3">
        <v>0.24158758</v>
      </c>
      <c r="U58" s="3">
        <v>0.24158758</v>
      </c>
      <c r="V58" s="3">
        <v>0.24158758</v>
      </c>
      <c r="W58" s="3">
        <v>0.24158758</v>
      </c>
      <c r="X58" s="3">
        <v>0.24158758</v>
      </c>
      <c r="Y58" s="3">
        <v>0.24158758</v>
      </c>
      <c r="Z58" s="3">
        <v>0.24158758</v>
      </c>
      <c r="AA58" s="3">
        <v>0.24158758</v>
      </c>
      <c r="AB58" s="3">
        <v>0.24158758</v>
      </c>
      <c r="AC58" s="3">
        <v>0.24158758</v>
      </c>
      <c r="AD58" s="3">
        <v>0.24158758</v>
      </c>
      <c r="AE58" s="3">
        <v>0.24158758</v>
      </c>
      <c r="AF58" s="3">
        <v>0.24201897999999999</v>
      </c>
      <c r="AG58" s="3">
        <v>0.24331320000000001</v>
      </c>
      <c r="AH58" s="3">
        <v>0.24590164</v>
      </c>
      <c r="AI58" s="3">
        <v>0.25021569999999999</v>
      </c>
      <c r="AJ58" s="4">
        <f t="shared" si="0"/>
        <v>8.6281199999999891E-3</v>
      </c>
    </row>
    <row r="59" spans="1:36" ht="14.4" x14ac:dyDescent="0.3">
      <c r="A59" s="1" t="s">
        <v>121</v>
      </c>
      <c r="B59" s="1" t="s">
        <v>122</v>
      </c>
      <c r="C59" s="1" t="s">
        <v>7</v>
      </c>
      <c r="D59" s="1" t="s">
        <v>8</v>
      </c>
      <c r="E59" s="3">
        <v>67.08</v>
      </c>
      <c r="F59" s="3">
        <v>66.754666700000001</v>
      </c>
      <c r="G59" s="3">
        <v>66.429333299999996</v>
      </c>
      <c r="H59" s="3">
        <v>66.103999999999999</v>
      </c>
      <c r="I59" s="3">
        <v>65.778666700000002</v>
      </c>
      <c r="J59" s="3">
        <v>65.453333299999997</v>
      </c>
      <c r="K59" s="3">
        <v>65.128</v>
      </c>
      <c r="L59" s="3">
        <v>64.802666700000003</v>
      </c>
      <c r="M59" s="3">
        <v>64.477333299999998</v>
      </c>
      <c r="N59" s="3">
        <v>64.152000000000001</v>
      </c>
      <c r="O59" s="3">
        <v>63.826666699999997</v>
      </c>
      <c r="P59" s="3">
        <v>63.826666699999997</v>
      </c>
      <c r="Q59" s="3">
        <v>63.826666699999997</v>
      </c>
      <c r="R59" s="3">
        <v>63.826666699999997</v>
      </c>
      <c r="S59" s="3">
        <v>63.826666699999997</v>
      </c>
      <c r="T59" s="3">
        <v>63.826666699999997</v>
      </c>
      <c r="U59" s="3">
        <v>63.826666699999997</v>
      </c>
      <c r="V59" s="3">
        <v>63.826666699999997</v>
      </c>
      <c r="W59" s="3">
        <v>63.826666699999997</v>
      </c>
      <c r="X59" s="3">
        <v>63.826666699999997</v>
      </c>
      <c r="Y59" s="3">
        <v>63.826666699999997</v>
      </c>
      <c r="Z59" s="3">
        <v>63.826666699999997</v>
      </c>
      <c r="AA59" s="3">
        <v>63.826666699999997</v>
      </c>
      <c r="AB59" s="3">
        <v>63.826666699999997</v>
      </c>
      <c r="AC59" s="3">
        <v>63.826666699999997</v>
      </c>
      <c r="AD59" s="3">
        <v>63.826666699999997</v>
      </c>
      <c r="AE59" s="3">
        <v>63.826666699999997</v>
      </c>
      <c r="AF59" s="3">
        <v>63.826666699999997</v>
      </c>
      <c r="AG59" s="3">
        <v>63.826666699999997</v>
      </c>
      <c r="AH59" s="3">
        <v>63.826666699999997</v>
      </c>
      <c r="AI59" s="3">
        <v>63.826666699999997</v>
      </c>
      <c r="AJ59" s="4">
        <f t="shared" si="0"/>
        <v>-3.2533333000000013</v>
      </c>
    </row>
    <row r="60" spans="1:36" ht="14.4" x14ac:dyDescent="0.3">
      <c r="A60" s="1" t="s">
        <v>123</v>
      </c>
      <c r="B60" s="1" t="s">
        <v>124</v>
      </c>
      <c r="C60" s="1" t="s">
        <v>7</v>
      </c>
      <c r="D60" s="1" t="s">
        <v>8</v>
      </c>
      <c r="E60" s="3">
        <v>12.5369191</v>
      </c>
      <c r="F60" s="3">
        <v>12.631658399999999</v>
      </c>
      <c r="G60" s="3">
        <v>12.7144002</v>
      </c>
      <c r="H60" s="3">
        <v>12.8090502</v>
      </c>
      <c r="I60" s="3">
        <v>12.903700199999999</v>
      </c>
      <c r="J60" s="3">
        <v>12.998350200000001</v>
      </c>
      <c r="K60" s="3">
        <v>13.093000200000001</v>
      </c>
      <c r="L60" s="3">
        <v>13.1876502</v>
      </c>
      <c r="M60" s="3">
        <v>13.282300299999999</v>
      </c>
      <c r="N60" s="3">
        <v>13.376950300000001</v>
      </c>
      <c r="O60" s="3">
        <v>13.4716003</v>
      </c>
      <c r="P60" s="3">
        <v>13.5066934</v>
      </c>
      <c r="Q60" s="3">
        <v>13.541786500000001</v>
      </c>
      <c r="R60" s="3">
        <v>13.5768796</v>
      </c>
      <c r="S60" s="3">
        <v>13.611972700000001</v>
      </c>
      <c r="T60" s="3">
        <v>13.6470658</v>
      </c>
      <c r="U60" s="3">
        <v>13.6821588</v>
      </c>
      <c r="V60" s="3">
        <v>13.717251900000001</v>
      </c>
      <c r="W60" s="3">
        <v>13.752345</v>
      </c>
      <c r="X60" s="3">
        <v>13.787438099999999</v>
      </c>
      <c r="Y60" s="3">
        <v>13.8225312</v>
      </c>
      <c r="Z60" s="3">
        <v>14.002545400000001</v>
      </c>
      <c r="AA60" s="3">
        <v>15.04415</v>
      </c>
      <c r="AB60" s="3">
        <v>15.235099999999999</v>
      </c>
      <c r="AC60" s="3">
        <v>15.42605</v>
      </c>
      <c r="AD60" s="3">
        <v>15.617000000000001</v>
      </c>
      <c r="AE60" s="3">
        <v>15.6165</v>
      </c>
      <c r="AF60" s="3">
        <v>15.64</v>
      </c>
      <c r="AG60" s="3">
        <v>15.664</v>
      </c>
      <c r="AH60" s="3">
        <v>15.6875</v>
      </c>
      <c r="AI60" s="3">
        <v>15.711</v>
      </c>
      <c r="AJ60" s="4">
        <f t="shared" si="0"/>
        <v>3.1740808999999999</v>
      </c>
    </row>
    <row r="61" spans="1:36" ht="14.4" x14ac:dyDescent="0.3">
      <c r="A61" s="1" t="s">
        <v>125</v>
      </c>
      <c r="B61" s="1" t="s">
        <v>126</v>
      </c>
      <c r="C61" s="1" t="s">
        <v>7</v>
      </c>
      <c r="D61" s="1" t="s">
        <v>8</v>
      </c>
      <c r="E61" s="3">
        <v>33.013661800000001</v>
      </c>
      <c r="F61" s="3">
        <v>33.795239100000003</v>
      </c>
      <c r="G61" s="3">
        <v>34.576816399999998</v>
      </c>
      <c r="H61" s="3">
        <v>35.358393700000001</v>
      </c>
      <c r="I61" s="3">
        <v>36.139971000000003</v>
      </c>
      <c r="J61" s="3">
        <v>36.921548299999998</v>
      </c>
      <c r="K61" s="3">
        <v>37.7031256</v>
      </c>
      <c r="L61" s="3">
        <v>38.484703000000003</v>
      </c>
      <c r="M61" s="3">
        <v>39.266280299999998</v>
      </c>
      <c r="N61" s="3">
        <v>40.0478576</v>
      </c>
      <c r="O61" s="3">
        <v>40.829434900000003</v>
      </c>
      <c r="P61" s="3">
        <v>41.037776899999997</v>
      </c>
      <c r="Q61" s="3">
        <v>41.246118799999998</v>
      </c>
      <c r="R61" s="3">
        <v>41.4544608</v>
      </c>
      <c r="S61" s="3">
        <v>41.6628027</v>
      </c>
      <c r="T61" s="3">
        <v>41.871144700000002</v>
      </c>
      <c r="U61" s="3">
        <v>42.079486600000003</v>
      </c>
      <c r="V61" s="3">
        <v>42.287828599999997</v>
      </c>
      <c r="W61" s="3">
        <v>42.496170599999999</v>
      </c>
      <c r="X61" s="3">
        <v>42.7045125</v>
      </c>
      <c r="Y61" s="3">
        <v>42.912854500000002</v>
      </c>
      <c r="Z61" s="3">
        <v>43.039246499999997</v>
      </c>
      <c r="AA61" s="3">
        <v>43.165638600000001</v>
      </c>
      <c r="AB61" s="3">
        <v>43.292030599999997</v>
      </c>
      <c r="AC61" s="3">
        <v>43.418422700000001</v>
      </c>
      <c r="AD61" s="3">
        <v>43.544814700000003</v>
      </c>
      <c r="AE61" s="3">
        <v>43.712274899999997</v>
      </c>
      <c r="AF61" s="3">
        <v>43.879734999999997</v>
      </c>
      <c r="AG61" s="3">
        <v>44.047195199999997</v>
      </c>
      <c r="AH61" s="3">
        <v>44.214655399999998</v>
      </c>
      <c r="AI61" s="3">
        <v>44.382115499999998</v>
      </c>
      <c r="AJ61" s="4">
        <f t="shared" si="0"/>
        <v>11.368453699999996</v>
      </c>
    </row>
    <row r="62" spans="1:36" ht="14.4" x14ac:dyDescent="0.3">
      <c r="A62" s="1" t="s">
        <v>127</v>
      </c>
      <c r="B62" s="1" t="s">
        <v>128</v>
      </c>
      <c r="C62" s="1" t="s">
        <v>7</v>
      </c>
      <c r="D62" s="1" t="s">
        <v>8</v>
      </c>
      <c r="E62" s="3">
        <v>0.69990847</v>
      </c>
      <c r="F62" s="3">
        <v>0.69621369</v>
      </c>
      <c r="G62" s="3">
        <v>0.69251890999999999</v>
      </c>
      <c r="H62" s="3">
        <v>0.68882414000000003</v>
      </c>
      <c r="I62" s="3">
        <v>0.68512936000000002</v>
      </c>
      <c r="J62" s="3">
        <v>0.68143458000000001</v>
      </c>
      <c r="K62" s="3">
        <v>0.6777398</v>
      </c>
      <c r="L62" s="3">
        <v>0.67404503000000004</v>
      </c>
      <c r="M62" s="3">
        <v>0.67035025000000004</v>
      </c>
      <c r="N62" s="3">
        <v>0.66665547000000003</v>
      </c>
      <c r="O62" s="3">
        <v>0.66296069000000002</v>
      </c>
      <c r="P62" s="3">
        <v>0.67719397999999997</v>
      </c>
      <c r="Q62" s="3">
        <v>0.69142727999999998</v>
      </c>
      <c r="R62" s="3">
        <v>0.70566057000000004</v>
      </c>
      <c r="S62" s="3">
        <v>0.71989386</v>
      </c>
      <c r="T62" s="3">
        <v>0.73412714999999995</v>
      </c>
      <c r="U62" s="3">
        <v>0.74836044000000002</v>
      </c>
      <c r="V62" s="3">
        <v>0.76259372999999997</v>
      </c>
      <c r="W62" s="3">
        <v>0.77682702999999997</v>
      </c>
      <c r="X62" s="3">
        <v>0.79106032000000004</v>
      </c>
      <c r="Y62" s="3">
        <v>0.80529360999999999</v>
      </c>
      <c r="Z62" s="3">
        <v>0.80848454999999997</v>
      </c>
      <c r="AA62" s="3">
        <v>0.81167549999999999</v>
      </c>
      <c r="AB62" s="3">
        <v>0.81486643999999997</v>
      </c>
      <c r="AC62" s="3">
        <v>0.81805739</v>
      </c>
      <c r="AD62" s="3">
        <v>0.82124799000000004</v>
      </c>
      <c r="AE62" s="3">
        <v>0.82124799000000004</v>
      </c>
      <c r="AF62" s="3">
        <v>0.81578978999999996</v>
      </c>
      <c r="AG62" s="3">
        <v>0.81033160000000004</v>
      </c>
      <c r="AH62" s="3">
        <v>0.81411034999999998</v>
      </c>
      <c r="AI62" s="3">
        <v>0.81830895999999997</v>
      </c>
      <c r="AJ62" s="4">
        <f t="shared" si="0"/>
        <v>0.11840048999999997</v>
      </c>
    </row>
    <row r="63" spans="1:36" ht="14.4" x14ac:dyDescent="0.3">
      <c r="A63" s="1" t="s">
        <v>129</v>
      </c>
      <c r="B63" s="1" t="s">
        <v>130</v>
      </c>
      <c r="C63" s="1" t="s">
        <v>7</v>
      </c>
      <c r="D63" s="1" t="s">
        <v>8</v>
      </c>
      <c r="E63" s="3">
        <v>29.0414602</v>
      </c>
      <c r="F63" s="3">
        <v>29.029553</v>
      </c>
      <c r="G63" s="3">
        <v>29.014675400000002</v>
      </c>
      <c r="H63" s="3">
        <v>28.999797900000001</v>
      </c>
      <c r="I63" s="3">
        <v>28.984920299999999</v>
      </c>
      <c r="J63" s="3">
        <v>28.969951999999999</v>
      </c>
      <c r="K63" s="3">
        <v>28.955092700000002</v>
      </c>
      <c r="L63" s="3">
        <v>28.9402151</v>
      </c>
      <c r="M63" s="3">
        <v>28.925337599999999</v>
      </c>
      <c r="N63" s="3">
        <v>28.910460100000002</v>
      </c>
      <c r="O63" s="3">
        <v>28.9217403</v>
      </c>
      <c r="P63" s="3">
        <v>29.040800600000001</v>
      </c>
      <c r="Q63" s="3">
        <v>29.1609029</v>
      </c>
      <c r="R63" s="3">
        <v>29.280904100000001</v>
      </c>
      <c r="S63" s="3">
        <v>29.400246599999999</v>
      </c>
      <c r="T63" s="3">
        <v>29.5194826</v>
      </c>
      <c r="U63" s="3">
        <v>29.638401900000002</v>
      </c>
      <c r="V63" s="3">
        <v>29.7574319</v>
      </c>
      <c r="W63" s="3">
        <v>29.8769481</v>
      </c>
      <c r="X63" s="3">
        <v>29.9960904</v>
      </c>
      <c r="Y63" s="3">
        <v>30.115290099999999</v>
      </c>
      <c r="Z63" s="3">
        <v>30.1502923</v>
      </c>
      <c r="AA63" s="3">
        <v>30.185616499999998</v>
      </c>
      <c r="AB63" s="3">
        <v>30.220807900000001</v>
      </c>
      <c r="AC63" s="3">
        <v>30.255867599999998</v>
      </c>
      <c r="AD63" s="3">
        <v>30.2839107</v>
      </c>
      <c r="AE63" s="3">
        <v>30.286206</v>
      </c>
      <c r="AF63" s="3">
        <v>30.287543599999999</v>
      </c>
      <c r="AG63" s="3">
        <v>30.3353994</v>
      </c>
      <c r="AH63" s="3">
        <v>30.383277199999998</v>
      </c>
      <c r="AI63" s="3">
        <v>30.4311556</v>
      </c>
      <c r="AJ63" s="4">
        <f t="shared" si="0"/>
        <v>1.3896954000000008</v>
      </c>
    </row>
    <row r="64" spans="1:36" ht="14.4" x14ac:dyDescent="0.3">
      <c r="A64" s="1" t="s">
        <v>131</v>
      </c>
      <c r="B64" s="1" t="s">
        <v>132</v>
      </c>
      <c r="C64" s="1" t="s">
        <v>7</v>
      </c>
      <c r="D64" s="1" t="s">
        <v>8</v>
      </c>
      <c r="E64" s="3">
        <v>25.351703199999999</v>
      </c>
      <c r="F64" s="3">
        <v>25.379981900000001</v>
      </c>
      <c r="G64" s="3">
        <v>25.2488098</v>
      </c>
      <c r="H64" s="3">
        <v>25.173483000000001</v>
      </c>
      <c r="I64" s="3">
        <v>25.0609599</v>
      </c>
      <c r="J64" s="3">
        <v>24.943177899999998</v>
      </c>
      <c r="K64" s="3">
        <v>24.8253959</v>
      </c>
      <c r="L64" s="3">
        <v>24.707613899999998</v>
      </c>
      <c r="M64" s="3">
        <v>24.610983000000001</v>
      </c>
      <c r="N64" s="3">
        <v>24.493099699999998</v>
      </c>
      <c r="O64" s="3">
        <v>24.380697000000001</v>
      </c>
      <c r="P64" s="3">
        <v>24.309755899999999</v>
      </c>
      <c r="Q64" s="3">
        <v>24.244553</v>
      </c>
      <c r="R64" s="3">
        <v>24.1794814</v>
      </c>
      <c r="S64" s="3">
        <v>24.021811400000001</v>
      </c>
      <c r="T64" s="3">
        <v>23.9568558</v>
      </c>
      <c r="U64" s="3">
        <v>23.891782299999999</v>
      </c>
      <c r="V64" s="3">
        <v>23.826798100000001</v>
      </c>
      <c r="W64" s="3">
        <v>23.761998599999998</v>
      </c>
      <c r="X64" s="3">
        <v>23.6966678</v>
      </c>
      <c r="Y64" s="3">
        <v>23.631785199999999</v>
      </c>
      <c r="Z64" s="3">
        <v>23.5399256</v>
      </c>
      <c r="AA64" s="3">
        <v>23.448177900000001</v>
      </c>
      <c r="AB64" s="3">
        <v>23.356381200000001</v>
      </c>
      <c r="AC64" s="3">
        <v>23.2655034</v>
      </c>
      <c r="AD64" s="3">
        <v>23.163056300000001</v>
      </c>
      <c r="AE64" s="3">
        <v>23.071045000000002</v>
      </c>
      <c r="AF64" s="3">
        <v>22.977397700000001</v>
      </c>
      <c r="AG64" s="3">
        <v>22.909708200000001</v>
      </c>
      <c r="AH64" s="3">
        <v>22.843583299999999</v>
      </c>
      <c r="AI64" s="3">
        <v>22.778634</v>
      </c>
      <c r="AJ64" s="4">
        <f t="shared" si="0"/>
        <v>-2.5730691999999991</v>
      </c>
    </row>
    <row r="65" spans="1:36" ht="14.4" x14ac:dyDescent="0.3">
      <c r="A65" s="1" t="s">
        <v>133</v>
      </c>
      <c r="B65" s="1" t="s">
        <v>134</v>
      </c>
      <c r="C65" s="1" t="s">
        <v>7</v>
      </c>
      <c r="D65" s="1" t="s">
        <v>8</v>
      </c>
      <c r="E65" s="3">
        <v>26.222406400000001</v>
      </c>
      <c r="F65" s="3">
        <v>26.209530099999998</v>
      </c>
      <c r="G65" s="3">
        <v>26.192656599999999</v>
      </c>
      <c r="H65" s="3">
        <v>26.1757831</v>
      </c>
      <c r="I65" s="3">
        <v>26.158909600000001</v>
      </c>
      <c r="J65" s="3">
        <v>26.141982500000001</v>
      </c>
      <c r="K65" s="3">
        <v>26.1252268</v>
      </c>
      <c r="L65" s="3">
        <v>26.108353300000001</v>
      </c>
      <c r="M65" s="3">
        <v>26.091479700000001</v>
      </c>
      <c r="N65" s="3">
        <v>26.074606200000002</v>
      </c>
      <c r="O65" s="3">
        <v>26.0731617</v>
      </c>
      <c r="P65" s="3">
        <v>26.141374599999999</v>
      </c>
      <c r="Q65" s="3">
        <v>26.2104404</v>
      </c>
      <c r="R65" s="3">
        <v>26.279480400000001</v>
      </c>
      <c r="S65" s="3">
        <v>26.348132700000001</v>
      </c>
      <c r="T65" s="3">
        <v>26.416713399999999</v>
      </c>
      <c r="U65" s="3">
        <v>26.485103299999999</v>
      </c>
      <c r="V65" s="3">
        <v>26.5535514</v>
      </c>
      <c r="W65" s="3">
        <v>26.622245700000001</v>
      </c>
      <c r="X65" s="3">
        <v>26.6907268</v>
      </c>
      <c r="Y65" s="3">
        <v>26.7591617</v>
      </c>
      <c r="Z65" s="3">
        <v>26.810556200000001</v>
      </c>
      <c r="AA65" s="3">
        <v>26.861994899999999</v>
      </c>
      <c r="AB65" s="3">
        <v>26.913361500000001</v>
      </c>
      <c r="AC65" s="3">
        <v>26.964773699999999</v>
      </c>
      <c r="AD65" s="3">
        <v>27.012082500000002</v>
      </c>
      <c r="AE65" s="3">
        <v>27.0494117</v>
      </c>
      <c r="AF65" s="3">
        <v>27.049044899999998</v>
      </c>
      <c r="AG65" s="3">
        <v>27.079779500000001</v>
      </c>
      <c r="AH65" s="3">
        <v>27.1111571</v>
      </c>
      <c r="AI65" s="3">
        <v>27.143195599999999</v>
      </c>
      <c r="AJ65" s="4">
        <f t="shared" si="0"/>
        <v>0.92078919999999798</v>
      </c>
    </row>
    <row r="66" spans="1:36" ht="14.4" x14ac:dyDescent="0.3">
      <c r="A66" s="1" t="s">
        <v>135</v>
      </c>
      <c r="B66" s="1" t="s">
        <v>136</v>
      </c>
      <c r="C66" s="1" t="s">
        <v>7</v>
      </c>
      <c r="D66" s="1" t="s">
        <v>8</v>
      </c>
      <c r="E66" s="3">
        <v>38.828559599999998</v>
      </c>
      <c r="F66" s="3">
        <v>38.834373999999997</v>
      </c>
      <c r="G66" s="3">
        <v>38.829472500000001</v>
      </c>
      <c r="H66" s="3">
        <v>38.844222000000002</v>
      </c>
      <c r="I66" s="3">
        <v>38.860900399999998</v>
      </c>
      <c r="J66" s="3">
        <v>38.874440200000002</v>
      </c>
      <c r="K66" s="3">
        <v>38.883529899999999</v>
      </c>
      <c r="L66" s="3">
        <v>38.890762799999997</v>
      </c>
      <c r="M66" s="3">
        <v>38.8947535</v>
      </c>
      <c r="N66" s="3">
        <v>38.891440199999998</v>
      </c>
      <c r="O66" s="3">
        <v>38.911496700000001</v>
      </c>
      <c r="P66" s="3">
        <v>38.950060800000003</v>
      </c>
      <c r="Q66" s="3">
        <v>38.988394599999999</v>
      </c>
      <c r="R66" s="3">
        <v>39.024506500000001</v>
      </c>
      <c r="S66" s="3">
        <v>39.060296700000002</v>
      </c>
      <c r="T66" s="3">
        <v>39.096469800000001</v>
      </c>
      <c r="U66" s="3">
        <v>39.150402800000002</v>
      </c>
      <c r="V66" s="3">
        <v>39.189327200000001</v>
      </c>
      <c r="W66" s="3">
        <v>39.229161699999999</v>
      </c>
      <c r="X66" s="3">
        <v>39.267459000000002</v>
      </c>
      <c r="Y66" s="3">
        <v>39.305670999999997</v>
      </c>
      <c r="Z66" s="3">
        <v>39.319223899999997</v>
      </c>
      <c r="AA66" s="3">
        <v>39.333249700000003</v>
      </c>
      <c r="AB66" s="3">
        <v>39.346981599999999</v>
      </c>
      <c r="AC66" s="3">
        <v>39.362652699999998</v>
      </c>
      <c r="AD66" s="3">
        <v>39.349983399999999</v>
      </c>
      <c r="AE66" s="3">
        <v>39.368244900000001</v>
      </c>
      <c r="AF66" s="3">
        <v>39.3871763</v>
      </c>
      <c r="AG66" s="3">
        <v>39.399259200000003</v>
      </c>
      <c r="AH66" s="3">
        <v>39.411428700000002</v>
      </c>
      <c r="AI66" s="3">
        <v>39.423607799999999</v>
      </c>
      <c r="AJ66" s="4">
        <f t="shared" si="0"/>
        <v>0.5950482000000008</v>
      </c>
    </row>
    <row r="67" spans="1:36" ht="14.4" x14ac:dyDescent="0.3">
      <c r="A67" s="1" t="s">
        <v>137</v>
      </c>
      <c r="B67" s="1" t="s">
        <v>138</v>
      </c>
      <c r="C67" s="1" t="s">
        <v>7</v>
      </c>
      <c r="D67" s="1" t="s">
        <v>8</v>
      </c>
      <c r="E67" s="3">
        <v>37.627778599999999</v>
      </c>
      <c r="F67" s="3">
        <v>37.656374999999997</v>
      </c>
      <c r="G67" s="3">
        <v>37.677921699999999</v>
      </c>
      <c r="H67" s="3">
        <v>37.714084700000001</v>
      </c>
      <c r="I67" s="3">
        <v>37.752436600000003</v>
      </c>
      <c r="J67" s="3">
        <v>37.788274999999999</v>
      </c>
      <c r="K67" s="3">
        <v>37.8204463</v>
      </c>
      <c r="L67" s="3">
        <v>37.756499599999998</v>
      </c>
      <c r="M67" s="3">
        <v>37.784726599999999</v>
      </c>
      <c r="N67" s="3">
        <v>37.807013400000002</v>
      </c>
      <c r="O67" s="3">
        <v>37.849003400000001</v>
      </c>
      <c r="P67" s="3">
        <v>37.897716500000001</v>
      </c>
      <c r="Q67" s="3">
        <v>37.944834999999998</v>
      </c>
      <c r="R67" s="3">
        <v>37.990266599999998</v>
      </c>
      <c r="S67" s="3">
        <v>38.036353499999997</v>
      </c>
      <c r="T67" s="3">
        <v>38.082610899999999</v>
      </c>
      <c r="U67" s="3">
        <v>38.144066899999999</v>
      </c>
      <c r="V67" s="3">
        <v>38.192289199999998</v>
      </c>
      <c r="W67" s="3">
        <v>38.242101400000003</v>
      </c>
      <c r="X67" s="3">
        <v>38.288778800000003</v>
      </c>
      <c r="Y67" s="3">
        <v>38.334615300000003</v>
      </c>
      <c r="Z67" s="3">
        <v>38.355764399999998</v>
      </c>
      <c r="AA67" s="3">
        <v>38.384154799999997</v>
      </c>
      <c r="AB67" s="3">
        <v>38.403337299999997</v>
      </c>
      <c r="AC67" s="3">
        <v>38.424109299999998</v>
      </c>
      <c r="AD67" s="3">
        <v>38.4245181</v>
      </c>
      <c r="AE67" s="3">
        <v>38.446094799999997</v>
      </c>
      <c r="AF67" s="3">
        <v>38.469734699999997</v>
      </c>
      <c r="AG67" s="3">
        <v>38.480814899999999</v>
      </c>
      <c r="AH67" s="3">
        <v>38.498045699999999</v>
      </c>
      <c r="AI67" s="3">
        <v>38.514954199999998</v>
      </c>
      <c r="AJ67" s="4">
        <f t="shared" si="0"/>
        <v>0.88717559999999906</v>
      </c>
    </row>
    <row r="68" spans="1:36" ht="14.4" x14ac:dyDescent="0.3">
      <c r="A68" s="1" t="s">
        <v>139</v>
      </c>
      <c r="B68" s="1" t="s">
        <v>140</v>
      </c>
      <c r="C68" s="1" t="s">
        <v>7</v>
      </c>
      <c r="D68" s="1" t="s">
        <v>8</v>
      </c>
      <c r="E68" s="3">
        <v>52.854392400000002</v>
      </c>
      <c r="F68" s="3">
        <v>52.528677199999997</v>
      </c>
      <c r="G68" s="3">
        <v>52.202961999999999</v>
      </c>
      <c r="H68" s="3">
        <v>51.877246800000002</v>
      </c>
      <c r="I68" s="3">
        <v>51.551531599999997</v>
      </c>
      <c r="J68" s="3">
        <v>51.225816399999999</v>
      </c>
      <c r="K68" s="3">
        <v>50.900101100000001</v>
      </c>
      <c r="L68" s="3">
        <v>50.574385900000003</v>
      </c>
      <c r="M68" s="3">
        <v>56.010798800000003</v>
      </c>
      <c r="N68" s="3">
        <v>55.647733100000004</v>
      </c>
      <c r="O68" s="3">
        <v>55.284667399999996</v>
      </c>
      <c r="P68" s="3">
        <v>55.001888399999999</v>
      </c>
      <c r="Q68" s="3">
        <v>54.719109400000001</v>
      </c>
      <c r="R68" s="3">
        <v>54.436330300000002</v>
      </c>
      <c r="S68" s="3">
        <v>54.153551299999997</v>
      </c>
      <c r="T68" s="3">
        <v>53.870772299999999</v>
      </c>
      <c r="U68" s="3">
        <v>53.5879932</v>
      </c>
      <c r="V68" s="3">
        <v>53.305214200000002</v>
      </c>
      <c r="W68" s="3">
        <v>53.022435199999997</v>
      </c>
      <c r="X68" s="3">
        <v>52.739656099999998</v>
      </c>
      <c r="Y68" s="3">
        <v>52.4568771</v>
      </c>
      <c r="Z68" s="3">
        <v>52.288564999999998</v>
      </c>
      <c r="AA68" s="3">
        <v>52.120252899999997</v>
      </c>
      <c r="AB68" s="3">
        <v>51.951940700000002</v>
      </c>
      <c r="AC68" s="3">
        <v>51.7836286</v>
      </c>
      <c r="AD68" s="3">
        <v>51.615316499999999</v>
      </c>
      <c r="AE68" s="3">
        <v>51.356538899999997</v>
      </c>
      <c r="AF68" s="3">
        <v>51.097761300000002</v>
      </c>
      <c r="AG68" s="3">
        <v>50.8389837</v>
      </c>
      <c r="AH68" s="3">
        <v>50.580206199999999</v>
      </c>
      <c r="AI68" s="3">
        <v>50.321428599999997</v>
      </c>
      <c r="AJ68" s="4">
        <f t="shared" si="0"/>
        <v>-2.5329638000000045</v>
      </c>
    </row>
    <row r="69" spans="1:36" ht="14.4" x14ac:dyDescent="0.3">
      <c r="A69" s="1" t="s">
        <v>141</v>
      </c>
      <c r="B69" s="1" t="s">
        <v>142</v>
      </c>
      <c r="C69" s="1" t="s">
        <v>7</v>
      </c>
      <c r="D69" s="1" t="s">
        <v>8</v>
      </c>
      <c r="E69" s="3">
        <v>4.4010250000000001E-2</v>
      </c>
      <c r="F69" s="3">
        <v>4.555729E-2</v>
      </c>
      <c r="G69" s="3">
        <v>4.7104319999999998E-2</v>
      </c>
      <c r="H69" s="3">
        <v>4.8651359999999998E-2</v>
      </c>
      <c r="I69" s="3">
        <v>5.0198399999999997E-2</v>
      </c>
      <c r="J69" s="3">
        <v>5.1745439999999997E-2</v>
      </c>
      <c r="K69" s="3">
        <v>5.3292480000000003E-2</v>
      </c>
      <c r="L69" s="3">
        <v>5.4839520000000003E-2</v>
      </c>
      <c r="M69" s="3">
        <v>5.6386560000000002E-2</v>
      </c>
      <c r="N69" s="3">
        <v>5.7933600000000002E-2</v>
      </c>
      <c r="O69" s="3">
        <v>5.9480640000000001E-2</v>
      </c>
      <c r="P69" s="3">
        <v>6.0126579999999999E-2</v>
      </c>
      <c r="Q69" s="3">
        <v>6.0772510000000002E-2</v>
      </c>
      <c r="R69" s="3">
        <v>6.1418449999999999E-2</v>
      </c>
      <c r="S69" s="3">
        <v>6.2064389999999997E-2</v>
      </c>
      <c r="T69" s="3">
        <v>6.2710329999999995E-2</v>
      </c>
      <c r="U69" s="3">
        <v>6.3356270000000006E-2</v>
      </c>
      <c r="V69" s="3">
        <v>6.4002210000000004E-2</v>
      </c>
      <c r="W69" s="3">
        <v>6.4648150000000001E-2</v>
      </c>
      <c r="X69" s="3">
        <v>6.5294089999999999E-2</v>
      </c>
      <c r="Y69" s="3">
        <v>6.5940029999999997E-2</v>
      </c>
      <c r="Z69" s="3">
        <v>6.2480290000000001E-2</v>
      </c>
      <c r="AA69" s="3">
        <v>5.9020540000000003E-2</v>
      </c>
      <c r="AB69" s="3">
        <v>5.55608E-2</v>
      </c>
      <c r="AC69" s="3">
        <v>5.2101059999999998E-2</v>
      </c>
      <c r="AD69" s="3">
        <v>4.8641320000000002E-2</v>
      </c>
      <c r="AE69" s="3">
        <v>4.5185589999999998E-2</v>
      </c>
      <c r="AF69" s="3">
        <v>4.5185589999999998E-2</v>
      </c>
      <c r="AG69" s="3">
        <v>4.5185589999999998E-2</v>
      </c>
      <c r="AH69" s="3">
        <v>4.5185589999999998E-2</v>
      </c>
      <c r="AI69" s="3">
        <v>4.5185589999999998E-2</v>
      </c>
      <c r="AJ69" s="4">
        <f t="shared" si="0"/>
        <v>1.1753399999999969E-3</v>
      </c>
    </row>
    <row r="70" spans="1:36" ht="14.4" x14ac:dyDescent="0.3">
      <c r="A70" s="1" t="s">
        <v>143</v>
      </c>
      <c r="B70" s="1" t="s">
        <v>144</v>
      </c>
      <c r="C70" s="1" t="s">
        <v>7</v>
      </c>
      <c r="D70" s="1" t="s">
        <v>8</v>
      </c>
      <c r="E70" s="3">
        <v>34.254120100000002</v>
      </c>
      <c r="F70" s="3">
        <v>34.473486999999999</v>
      </c>
      <c r="G70" s="3">
        <v>34.709318500000002</v>
      </c>
      <c r="H70" s="3">
        <v>34.9296589</v>
      </c>
      <c r="I70" s="3">
        <v>35.157369000000003</v>
      </c>
      <c r="J70" s="3">
        <v>35.385080799999997</v>
      </c>
      <c r="K70" s="3">
        <v>35.612794299999997</v>
      </c>
      <c r="L70" s="3">
        <v>35.840910899999997</v>
      </c>
      <c r="M70" s="3">
        <v>36.068899600000002</v>
      </c>
      <c r="N70" s="3">
        <v>36.297029000000002</v>
      </c>
      <c r="O70" s="3">
        <v>36.5325177</v>
      </c>
      <c r="P70" s="3">
        <v>36.686504300000003</v>
      </c>
      <c r="Q70" s="3">
        <v>36.8266554</v>
      </c>
      <c r="R70" s="3">
        <v>36.967032400000001</v>
      </c>
      <c r="S70" s="3">
        <v>37.119002000000002</v>
      </c>
      <c r="T70" s="3">
        <v>37.267673899999998</v>
      </c>
      <c r="U70" s="3">
        <v>37.423210400000002</v>
      </c>
      <c r="V70" s="3">
        <v>37.569161999999999</v>
      </c>
      <c r="W70" s="3">
        <v>37.723517200000003</v>
      </c>
      <c r="X70" s="3">
        <v>37.871673199999996</v>
      </c>
      <c r="Y70" s="3">
        <v>37.999098199999999</v>
      </c>
      <c r="Z70" s="3">
        <v>38.084153399999998</v>
      </c>
      <c r="AA70" s="3">
        <v>38.162139199999999</v>
      </c>
      <c r="AB70" s="3">
        <v>38.224339299999997</v>
      </c>
      <c r="AC70" s="3">
        <v>38.307312799999998</v>
      </c>
      <c r="AD70" s="3">
        <v>38.397841300000003</v>
      </c>
      <c r="AE70" s="3">
        <v>38.452127400000002</v>
      </c>
      <c r="AF70" s="3">
        <v>38.519860000000001</v>
      </c>
      <c r="AG70" s="3">
        <v>38.525193199999997</v>
      </c>
      <c r="AH70" s="3">
        <v>38.582543700000002</v>
      </c>
      <c r="AI70" s="3">
        <v>38.6395214</v>
      </c>
      <c r="AJ70" s="4">
        <f t="shared" si="0"/>
        <v>4.3854012999999981</v>
      </c>
    </row>
    <row r="71" spans="1:36" ht="14.4" x14ac:dyDescent="0.3">
      <c r="A71" s="1" t="s">
        <v>145</v>
      </c>
      <c r="B71" s="1" t="s">
        <v>146</v>
      </c>
      <c r="C71" s="1" t="s">
        <v>7</v>
      </c>
      <c r="D71" s="1" t="s">
        <v>8</v>
      </c>
      <c r="E71" s="3">
        <v>16.049505</v>
      </c>
      <c r="F71" s="3">
        <v>16.4253465</v>
      </c>
      <c r="G71" s="3">
        <v>16.049505</v>
      </c>
      <c r="H71" s="3">
        <v>11.2928713</v>
      </c>
      <c r="I71" s="3">
        <v>11.2615842</v>
      </c>
      <c r="J71" s="3">
        <v>11.230297</v>
      </c>
      <c r="K71" s="3">
        <v>11.1990099</v>
      </c>
      <c r="L71" s="3">
        <v>11.1677228</v>
      </c>
      <c r="M71" s="3">
        <v>11.1364356</v>
      </c>
      <c r="N71" s="3">
        <v>11.1051485</v>
      </c>
      <c r="O71" s="3">
        <v>11.0738614</v>
      </c>
      <c r="P71" s="3">
        <v>11.0425743</v>
      </c>
      <c r="Q71" s="3">
        <v>11.011287100000001</v>
      </c>
      <c r="R71" s="3">
        <v>10.98</v>
      </c>
      <c r="S71" s="3">
        <v>10.9487129</v>
      </c>
      <c r="T71" s="3">
        <v>10.917425700000001</v>
      </c>
      <c r="U71" s="3">
        <v>10.886138600000001</v>
      </c>
      <c r="V71" s="3">
        <v>10.854851500000001</v>
      </c>
      <c r="W71" s="3">
        <v>10.8235644</v>
      </c>
      <c r="X71" s="3">
        <v>10.792277199999999</v>
      </c>
      <c r="Y71" s="3">
        <v>10.760990100000001</v>
      </c>
      <c r="Z71" s="3">
        <v>10.729703000000001</v>
      </c>
      <c r="AA71" s="3">
        <v>10.698415799999999</v>
      </c>
      <c r="AB71" s="3">
        <v>10.667128699999999</v>
      </c>
      <c r="AC71" s="3">
        <v>10.635841599999999</v>
      </c>
      <c r="AD71" s="3">
        <v>10.604554500000001</v>
      </c>
      <c r="AE71" s="3">
        <v>10.573267299999999</v>
      </c>
      <c r="AF71" s="3">
        <v>10.541980199999999</v>
      </c>
      <c r="AG71" s="3">
        <v>10.510693099999999</v>
      </c>
      <c r="AH71" s="3">
        <v>10.4794059</v>
      </c>
      <c r="AI71" s="3">
        <v>10.4481188</v>
      </c>
      <c r="AJ71" s="4">
        <f t="shared" si="0"/>
        <v>-5.6013862000000003</v>
      </c>
    </row>
    <row r="72" spans="1:36" ht="14.4" x14ac:dyDescent="0.3">
      <c r="A72" s="1" t="s">
        <v>147</v>
      </c>
      <c r="B72" s="1" t="s">
        <v>148</v>
      </c>
      <c r="C72" s="1" t="s">
        <v>7</v>
      </c>
      <c r="D72" s="1" t="s">
        <v>8</v>
      </c>
      <c r="E72" s="3">
        <v>27.840501400000001</v>
      </c>
      <c r="F72" s="3">
        <v>28.4790706</v>
      </c>
      <c r="G72" s="3">
        <v>29.117639799999999</v>
      </c>
      <c r="H72" s="3">
        <v>29.756208999999998</v>
      </c>
      <c r="I72" s="3">
        <v>30.394778200000001</v>
      </c>
      <c r="J72" s="3">
        <v>31.033347299999999</v>
      </c>
      <c r="K72" s="3">
        <v>31.671916499999998</v>
      </c>
      <c r="L72" s="3">
        <v>32.310485700000001</v>
      </c>
      <c r="M72" s="3">
        <v>32.9490549</v>
      </c>
      <c r="N72" s="3">
        <v>33.587624099999999</v>
      </c>
      <c r="O72" s="3">
        <v>34.2563727</v>
      </c>
      <c r="P72" s="3">
        <v>34.580500299999997</v>
      </c>
      <c r="Q72" s="3">
        <v>34.835307800000002</v>
      </c>
      <c r="R72" s="3">
        <v>35.114186400000001</v>
      </c>
      <c r="S72" s="3">
        <v>35.4070556</v>
      </c>
      <c r="T72" s="3">
        <v>35.7042517</v>
      </c>
      <c r="U72" s="3">
        <v>36.002998099999999</v>
      </c>
      <c r="V72" s="3">
        <v>36.284420300000001</v>
      </c>
      <c r="W72" s="3">
        <v>36.597951100000003</v>
      </c>
      <c r="X72" s="3">
        <v>36.8992881</v>
      </c>
      <c r="Y72" s="3">
        <v>37.089938199999999</v>
      </c>
      <c r="Z72" s="3">
        <v>37.101920499999999</v>
      </c>
      <c r="AA72" s="3">
        <v>37.079778500000003</v>
      </c>
      <c r="AB72" s="3">
        <v>37.082113499999998</v>
      </c>
      <c r="AC72" s="3">
        <v>37.084448500000001</v>
      </c>
      <c r="AD72" s="3">
        <v>37.127532500000001</v>
      </c>
      <c r="AE72" s="3">
        <v>37.1428686</v>
      </c>
      <c r="AF72" s="3">
        <v>37.152233899999999</v>
      </c>
      <c r="AG72" s="3">
        <v>37.156646799999997</v>
      </c>
      <c r="AH72" s="3">
        <v>37.165233600000001</v>
      </c>
      <c r="AI72" s="3">
        <v>37.173820399999997</v>
      </c>
      <c r="AJ72" s="4">
        <f t="shared" si="0"/>
        <v>9.3333189999999959</v>
      </c>
    </row>
    <row r="73" spans="1:36" ht="14.4" x14ac:dyDescent="0.3">
      <c r="A73" s="1" t="s">
        <v>149</v>
      </c>
      <c r="B73" s="1" t="s">
        <v>150</v>
      </c>
      <c r="C73" s="1" t="s">
        <v>7</v>
      </c>
      <c r="D73" s="1" t="s">
        <v>8</v>
      </c>
      <c r="E73" s="3">
        <v>52.040575599999997</v>
      </c>
      <c r="F73" s="3">
        <v>52.040575599999997</v>
      </c>
      <c r="G73" s="3">
        <v>52.193866499999999</v>
      </c>
      <c r="H73" s="3">
        <v>52.271691400000002</v>
      </c>
      <c r="I73" s="3">
        <v>52.349516399999999</v>
      </c>
      <c r="J73" s="3">
        <v>52.427341400000003</v>
      </c>
      <c r="K73" s="3">
        <v>52.505166299999999</v>
      </c>
      <c r="L73" s="3">
        <v>52.582991300000003</v>
      </c>
      <c r="M73" s="3">
        <v>52.660816199999999</v>
      </c>
      <c r="N73" s="3">
        <v>52.738641200000004</v>
      </c>
      <c r="O73" s="3">
        <v>52.8164661</v>
      </c>
      <c r="P73" s="3">
        <v>53.045600399999998</v>
      </c>
      <c r="Q73" s="3">
        <v>53.274734600000002</v>
      </c>
      <c r="R73" s="3">
        <v>53.503868799999999</v>
      </c>
      <c r="S73" s="3">
        <v>53.733003099999998</v>
      </c>
      <c r="T73" s="3">
        <v>53.962137300000002</v>
      </c>
      <c r="U73" s="3">
        <v>54.191271499999999</v>
      </c>
      <c r="V73" s="3">
        <v>54.420405799999997</v>
      </c>
      <c r="W73" s="3">
        <v>54.649540000000002</v>
      </c>
      <c r="X73" s="3">
        <v>54.878674199999999</v>
      </c>
      <c r="Y73" s="3">
        <v>55.107808400000003</v>
      </c>
      <c r="Z73" s="3">
        <v>55.508799199999999</v>
      </c>
      <c r="AA73" s="3">
        <v>55.909790000000001</v>
      </c>
      <c r="AB73" s="3">
        <v>54.911755200000002</v>
      </c>
      <c r="AC73" s="3">
        <v>55.302783499999997</v>
      </c>
      <c r="AD73" s="3">
        <v>55.693811799999999</v>
      </c>
      <c r="AE73" s="3">
        <v>55.699332900000002</v>
      </c>
      <c r="AF73" s="3">
        <v>56.093857800000002</v>
      </c>
      <c r="AG73" s="3">
        <v>56.093857800000002</v>
      </c>
      <c r="AH73" s="3">
        <v>56.093857800000002</v>
      </c>
      <c r="AI73" s="3">
        <v>56.093857800000002</v>
      </c>
      <c r="AJ73" s="4">
        <f t="shared" si="0"/>
        <v>4.0532822000000053</v>
      </c>
    </row>
    <row r="74" spans="1:36" ht="14.4" x14ac:dyDescent="0.3">
      <c r="A74" s="1" t="s">
        <v>151</v>
      </c>
      <c r="B74" s="1" t="s">
        <v>152</v>
      </c>
      <c r="C74" s="1" t="s">
        <v>7</v>
      </c>
      <c r="D74" s="1" t="s">
        <v>8</v>
      </c>
      <c r="E74" s="3">
        <v>18.5363851</v>
      </c>
      <c r="F74" s="3">
        <v>18.467211599999999</v>
      </c>
      <c r="G74" s="3">
        <v>18.398038100000001</v>
      </c>
      <c r="H74" s="3">
        <v>19.0395</v>
      </c>
      <c r="I74" s="3">
        <v>18.9665</v>
      </c>
      <c r="J74" s="3">
        <v>18.8935</v>
      </c>
      <c r="K74" s="3">
        <v>18.820499999999999</v>
      </c>
      <c r="L74" s="3">
        <v>18.747499999999999</v>
      </c>
      <c r="M74" s="3">
        <v>18.674499999999998</v>
      </c>
      <c r="N74" s="3">
        <v>18.601500000000001</v>
      </c>
      <c r="O74" s="3">
        <v>18.528500000000001</v>
      </c>
      <c r="P74" s="3">
        <v>18.455500000000001</v>
      </c>
      <c r="Q74" s="3">
        <v>18.3825</v>
      </c>
      <c r="R74" s="3">
        <v>18.3095</v>
      </c>
      <c r="S74" s="3">
        <v>16.149009199999998</v>
      </c>
      <c r="T74" s="3">
        <v>16.083604099999999</v>
      </c>
      <c r="U74" s="3">
        <v>16.019012</v>
      </c>
      <c r="V74" s="3">
        <v>15.9547531</v>
      </c>
      <c r="W74" s="3">
        <v>15.890325000000001</v>
      </c>
      <c r="X74" s="3">
        <v>15.825696600000001</v>
      </c>
      <c r="Y74" s="3">
        <v>15.7612989</v>
      </c>
      <c r="Z74" s="3">
        <v>15.697284</v>
      </c>
      <c r="AA74" s="3">
        <v>15.632619</v>
      </c>
      <c r="AB74" s="3">
        <v>15.5679306</v>
      </c>
      <c r="AC74" s="3">
        <v>15.5031099</v>
      </c>
      <c r="AD74" s="3">
        <v>15.437809400000001</v>
      </c>
      <c r="AE74" s="3">
        <v>15.372742300000001</v>
      </c>
      <c r="AF74" s="3">
        <v>15.308426600000001</v>
      </c>
      <c r="AG74" s="3">
        <v>15.2435084</v>
      </c>
      <c r="AH74" s="3">
        <v>15.178866599999999</v>
      </c>
      <c r="AI74" s="3">
        <v>15.114224800000001</v>
      </c>
      <c r="AJ74" s="4">
        <f t="shared" si="0"/>
        <v>-3.4221602999999998</v>
      </c>
    </row>
    <row r="75" spans="1:36" ht="14.4" x14ac:dyDescent="0.3">
      <c r="A75" s="1" t="s">
        <v>153</v>
      </c>
      <c r="B75" s="1" t="s">
        <v>154</v>
      </c>
      <c r="C75" s="1" t="s">
        <v>7</v>
      </c>
      <c r="D75" s="1" t="s">
        <v>8</v>
      </c>
      <c r="E75" s="3">
        <v>36.299334700000003</v>
      </c>
      <c r="F75" s="3">
        <v>36.456887500000001</v>
      </c>
      <c r="G75" s="3">
        <v>36.627845000000001</v>
      </c>
      <c r="H75" s="3">
        <v>36.788712799999999</v>
      </c>
      <c r="I75" s="3">
        <v>36.953462299999998</v>
      </c>
      <c r="J75" s="3">
        <v>37.118858000000003</v>
      </c>
      <c r="K75" s="3">
        <v>37.283137799999999</v>
      </c>
      <c r="L75" s="3">
        <v>37.449095100000001</v>
      </c>
      <c r="M75" s="3">
        <v>37.614589799999997</v>
      </c>
      <c r="N75" s="3">
        <v>37.779993400000002</v>
      </c>
      <c r="O75" s="3">
        <v>37.951271699999999</v>
      </c>
      <c r="P75" s="3">
        <v>38.076695999999998</v>
      </c>
      <c r="Q75" s="3">
        <v>38.208459900000001</v>
      </c>
      <c r="R75" s="3">
        <v>38.324481200000001</v>
      </c>
      <c r="S75" s="3">
        <v>38.446917300000003</v>
      </c>
      <c r="T75" s="3">
        <v>38.570137899999999</v>
      </c>
      <c r="U75" s="3">
        <v>38.696957900000001</v>
      </c>
      <c r="V75" s="3">
        <v>38.817914700000003</v>
      </c>
      <c r="W75" s="3">
        <v>38.9437146</v>
      </c>
      <c r="X75" s="3">
        <v>39.0552572</v>
      </c>
      <c r="Y75" s="3">
        <v>39.162529499999998</v>
      </c>
      <c r="Z75" s="3">
        <v>39.2461415</v>
      </c>
      <c r="AA75" s="3">
        <v>39.380705200000001</v>
      </c>
      <c r="AB75" s="3">
        <v>39.449407200000003</v>
      </c>
      <c r="AC75" s="3">
        <v>39.518933099999998</v>
      </c>
      <c r="AD75" s="3">
        <v>39.6072074</v>
      </c>
      <c r="AE75" s="3">
        <v>39.656537399999998</v>
      </c>
      <c r="AF75" s="3">
        <v>39.710499200000001</v>
      </c>
      <c r="AG75" s="3">
        <v>39.720526300000003</v>
      </c>
      <c r="AH75" s="3">
        <v>39.766190600000002</v>
      </c>
      <c r="AI75" s="3">
        <v>39.811602399999998</v>
      </c>
      <c r="AJ75" s="4">
        <f t="shared" si="0"/>
        <v>3.5122676999999953</v>
      </c>
    </row>
    <row r="76" spans="1:36" ht="14.4" x14ac:dyDescent="0.3">
      <c r="A76" s="1" t="s">
        <v>155</v>
      </c>
      <c r="B76" s="1" t="s">
        <v>156</v>
      </c>
      <c r="C76" s="1" t="s">
        <v>7</v>
      </c>
      <c r="D76" s="1" t="s">
        <v>8</v>
      </c>
      <c r="E76" s="3">
        <v>29.0077988</v>
      </c>
      <c r="F76" s="3">
        <v>28.882014699999999</v>
      </c>
      <c r="G76" s="3">
        <v>28.754532099999999</v>
      </c>
      <c r="H76" s="3">
        <v>28.697121299999999</v>
      </c>
      <c r="I76" s="3">
        <v>28.565716200000001</v>
      </c>
      <c r="J76" s="3">
        <v>28.434311099999999</v>
      </c>
      <c r="K76" s="3">
        <v>28.302906</v>
      </c>
      <c r="L76" s="3">
        <v>28.171500900000002</v>
      </c>
      <c r="M76" s="3">
        <v>28.040297899999999</v>
      </c>
      <c r="N76" s="3">
        <v>27.909514699999999</v>
      </c>
      <c r="O76" s="3">
        <v>25.402127199999999</v>
      </c>
      <c r="P76" s="3">
        <v>27.661162000000001</v>
      </c>
      <c r="Q76" s="3">
        <v>27.544034100000001</v>
      </c>
      <c r="R76" s="3">
        <v>27.4271748</v>
      </c>
      <c r="S76" s="3">
        <v>27.108187000000001</v>
      </c>
      <c r="T76" s="3">
        <v>26.991974800000001</v>
      </c>
      <c r="U76" s="3">
        <v>26.875511800000002</v>
      </c>
      <c r="V76" s="3">
        <v>26.759232399999998</v>
      </c>
      <c r="W76" s="3">
        <v>26.643337899999999</v>
      </c>
      <c r="X76" s="3">
        <v>26.531751799999999</v>
      </c>
      <c r="Y76" s="3">
        <v>24.136459200000001</v>
      </c>
      <c r="Z76" s="3">
        <v>24.364910699999999</v>
      </c>
      <c r="AA76" s="3">
        <v>24.234780099999998</v>
      </c>
      <c r="AB76" s="3">
        <v>24.1047954</v>
      </c>
      <c r="AC76" s="3">
        <v>23.974527299999998</v>
      </c>
      <c r="AD76" s="3">
        <v>23.844214999999998</v>
      </c>
      <c r="AE76" s="3">
        <v>23.709635200000001</v>
      </c>
      <c r="AF76" s="3">
        <v>23.5807866</v>
      </c>
      <c r="AG76" s="3">
        <v>23.454778099999999</v>
      </c>
      <c r="AH76" s="3">
        <v>23.326368899999999</v>
      </c>
      <c r="AI76" s="3">
        <v>23.2011872</v>
      </c>
      <c r="AJ76" s="4">
        <f t="shared" si="0"/>
        <v>-5.8066116000000001</v>
      </c>
    </row>
    <row r="77" spans="1:36" ht="14.4" x14ac:dyDescent="0.3">
      <c r="A77" s="1" t="s">
        <v>157</v>
      </c>
      <c r="B77" s="1" t="s">
        <v>158</v>
      </c>
      <c r="C77" s="1" t="s">
        <v>7</v>
      </c>
      <c r="D77" s="1" t="s">
        <v>8</v>
      </c>
      <c r="E77" s="3">
        <v>71.818936899999997</v>
      </c>
      <c r="F77" s="3">
        <v>72.006175499999998</v>
      </c>
      <c r="G77" s="3">
        <v>72.193414099999998</v>
      </c>
      <c r="H77" s="3">
        <v>72.380652699999999</v>
      </c>
      <c r="I77" s="3">
        <v>72.567891299999999</v>
      </c>
      <c r="J77" s="3">
        <v>72.755129800000006</v>
      </c>
      <c r="K77" s="3">
        <v>72.942368400000007</v>
      </c>
      <c r="L77" s="3">
        <v>73.129606999999993</v>
      </c>
      <c r="M77" s="3">
        <v>73.316845599999994</v>
      </c>
      <c r="N77" s="3">
        <v>73.504084199999994</v>
      </c>
      <c r="O77" s="3">
        <v>73.691322799999995</v>
      </c>
      <c r="P77" s="3">
        <v>73.624465700000002</v>
      </c>
      <c r="Q77" s="3">
        <v>73.557608599999995</v>
      </c>
      <c r="R77" s="3">
        <v>73.490751500000002</v>
      </c>
      <c r="S77" s="3">
        <v>73.423894399999995</v>
      </c>
      <c r="T77" s="3">
        <v>73.357037300000002</v>
      </c>
      <c r="U77" s="3">
        <v>73.405859699999993</v>
      </c>
      <c r="V77" s="3">
        <v>73.343720599999997</v>
      </c>
      <c r="W77" s="3">
        <v>73.322566600000002</v>
      </c>
      <c r="X77" s="3">
        <v>73.255557699999997</v>
      </c>
      <c r="Y77" s="3">
        <v>73.188548900000001</v>
      </c>
      <c r="Z77" s="3">
        <v>73.300865400000006</v>
      </c>
      <c r="AA77" s="3">
        <v>73.410773599999999</v>
      </c>
      <c r="AB77" s="3">
        <v>73.520681800000006</v>
      </c>
      <c r="AC77" s="3">
        <v>73.630589999999998</v>
      </c>
      <c r="AD77" s="3">
        <v>73.735645399999996</v>
      </c>
      <c r="AE77" s="3">
        <v>73.735645399999996</v>
      </c>
      <c r="AF77" s="3">
        <v>73.733219300000002</v>
      </c>
      <c r="AG77" s="3">
        <v>73.733219300000002</v>
      </c>
      <c r="AH77" s="3">
        <v>73.733219300000002</v>
      </c>
      <c r="AI77" s="3">
        <v>73.733219300000002</v>
      </c>
      <c r="AJ77" s="4">
        <f t="shared" si="0"/>
        <v>1.9142824000000047</v>
      </c>
    </row>
    <row r="78" spans="1:36" ht="14.4" x14ac:dyDescent="0.3">
      <c r="A78" s="1" t="s">
        <v>159</v>
      </c>
      <c r="B78" s="1" t="s">
        <v>160</v>
      </c>
      <c r="C78" s="1" t="s">
        <v>7</v>
      </c>
      <c r="D78" s="1" t="s">
        <v>8</v>
      </c>
      <c r="E78" s="3">
        <v>51.433497500000001</v>
      </c>
      <c r="F78" s="3">
        <v>51.799014800000002</v>
      </c>
      <c r="G78" s="3">
        <v>52.164532000000001</v>
      </c>
      <c r="H78" s="3">
        <v>52.530049300000002</v>
      </c>
      <c r="I78" s="3">
        <v>52.895566500000001</v>
      </c>
      <c r="J78" s="3">
        <v>53.2610837</v>
      </c>
      <c r="K78" s="3">
        <v>53.626601000000001</v>
      </c>
      <c r="L78" s="3">
        <v>53.9921182</v>
      </c>
      <c r="M78" s="3">
        <v>54.357635500000001</v>
      </c>
      <c r="N78" s="3">
        <v>54.7231527</v>
      </c>
      <c r="O78" s="3">
        <v>55.08867</v>
      </c>
      <c r="P78" s="3">
        <v>55.4541325</v>
      </c>
      <c r="Q78" s="3">
        <v>55.819595</v>
      </c>
      <c r="R78" s="3">
        <v>56.185057499999999</v>
      </c>
      <c r="S78" s="3">
        <v>56.550519999999999</v>
      </c>
      <c r="T78" s="3">
        <v>56.915982499999998</v>
      </c>
      <c r="U78" s="3">
        <v>57.281444999999998</v>
      </c>
      <c r="V78" s="3">
        <v>57.646907499999998</v>
      </c>
      <c r="W78" s="3">
        <v>58.012369999999997</v>
      </c>
      <c r="X78" s="3">
        <v>58.377832499999997</v>
      </c>
      <c r="Y78" s="3">
        <v>58.743295000000003</v>
      </c>
      <c r="Z78" s="3">
        <v>59.108702800000003</v>
      </c>
      <c r="AA78" s="3">
        <v>59.474110600000003</v>
      </c>
      <c r="AB78" s="3">
        <v>59.839518300000002</v>
      </c>
      <c r="AC78" s="3">
        <v>60.204926100000002</v>
      </c>
      <c r="AD78" s="3">
        <v>60.570333900000001</v>
      </c>
      <c r="AE78" s="3">
        <v>60.935960600000001</v>
      </c>
      <c r="AF78" s="3">
        <v>61.301587300000001</v>
      </c>
      <c r="AG78" s="3">
        <v>61.667214000000001</v>
      </c>
      <c r="AH78" s="3">
        <v>62.032840700000001</v>
      </c>
      <c r="AI78" s="3">
        <v>62.398467400000001</v>
      </c>
      <c r="AJ78" s="4">
        <f t="shared" si="0"/>
        <v>10.9649699</v>
      </c>
    </row>
    <row r="79" spans="1:36" ht="14.4" x14ac:dyDescent="0.3">
      <c r="A79" s="1" t="s">
        <v>161</v>
      </c>
      <c r="B79" s="1" t="s">
        <v>162</v>
      </c>
      <c r="C79" s="1" t="s">
        <v>7</v>
      </c>
      <c r="D79" s="1" t="s">
        <v>8</v>
      </c>
      <c r="E79" s="3">
        <v>26.3639452</v>
      </c>
      <c r="F79" s="3">
        <v>26.5195428</v>
      </c>
      <c r="G79" s="3">
        <v>26.675140500000001</v>
      </c>
      <c r="H79" s="3">
        <v>26.830738199999999</v>
      </c>
      <c r="I79" s="3">
        <v>26.9863359</v>
      </c>
      <c r="J79" s="3">
        <v>27.141933600000002</v>
      </c>
      <c r="K79" s="3">
        <v>27.297531299999999</v>
      </c>
      <c r="L79" s="3">
        <v>27.453128899999999</v>
      </c>
      <c r="M79" s="3">
        <v>27.608726600000001</v>
      </c>
      <c r="N79" s="3">
        <v>27.764324299999998</v>
      </c>
      <c r="O79" s="3">
        <v>27.919871000000001</v>
      </c>
      <c r="P79" s="3">
        <v>28.126421100000002</v>
      </c>
      <c r="Q79" s="3">
        <v>28.332971100000002</v>
      </c>
      <c r="R79" s="3">
        <v>28.523893600000001</v>
      </c>
      <c r="S79" s="3">
        <v>28.746071300000001</v>
      </c>
      <c r="T79" s="3">
        <v>28.953150099999998</v>
      </c>
      <c r="U79" s="3">
        <v>29.1597039</v>
      </c>
      <c r="V79" s="3">
        <v>29.3662578</v>
      </c>
      <c r="W79" s="3">
        <v>29.572811600000001</v>
      </c>
      <c r="X79" s="3">
        <v>29.7793654</v>
      </c>
      <c r="Y79" s="3">
        <v>29.985919299999999</v>
      </c>
      <c r="Z79" s="3">
        <v>30.138232200000001</v>
      </c>
      <c r="AA79" s="3">
        <v>30.290545099999999</v>
      </c>
      <c r="AB79" s="3">
        <v>30.442858000000001</v>
      </c>
      <c r="AC79" s="3">
        <v>30.595170899999999</v>
      </c>
      <c r="AD79" s="3">
        <v>30.747483800000001</v>
      </c>
      <c r="AE79" s="3">
        <v>30.8997967</v>
      </c>
      <c r="AF79" s="3">
        <v>31.052109600000001</v>
      </c>
      <c r="AG79" s="3">
        <v>31.204422600000001</v>
      </c>
      <c r="AH79" s="3">
        <v>31.356735499999999</v>
      </c>
      <c r="AI79" s="3">
        <v>31.509048400000001</v>
      </c>
      <c r="AJ79" s="4">
        <f t="shared" si="0"/>
        <v>5.1451032000000012</v>
      </c>
    </row>
    <row r="80" spans="1:36" ht="14.4" x14ac:dyDescent="0.3">
      <c r="A80" s="1" t="s">
        <v>163</v>
      </c>
      <c r="B80" s="1" t="s">
        <v>164</v>
      </c>
      <c r="C80" s="1" t="s">
        <v>7</v>
      </c>
      <c r="D80" s="1" t="s">
        <v>8</v>
      </c>
      <c r="E80" s="3">
        <v>5.7306589999999998E-2</v>
      </c>
      <c r="F80" s="3">
        <v>5.7306589999999998E-2</v>
      </c>
      <c r="G80" s="3">
        <v>5.7306589999999998E-2</v>
      </c>
      <c r="H80" s="3">
        <v>5.7306589999999998E-2</v>
      </c>
      <c r="I80" s="3">
        <v>5.7306589999999998E-2</v>
      </c>
      <c r="J80" s="3">
        <v>5.7306589999999998E-2</v>
      </c>
      <c r="K80" s="3">
        <v>5.7306589999999998E-2</v>
      </c>
      <c r="L80" s="3">
        <v>5.7306589999999998E-2</v>
      </c>
      <c r="M80" s="3">
        <v>5.7306589999999998E-2</v>
      </c>
      <c r="N80" s="3">
        <v>5.7306589999999998E-2</v>
      </c>
      <c r="O80" s="3">
        <v>5.7306589999999998E-2</v>
      </c>
      <c r="P80" s="3">
        <v>5.7306589999999998E-2</v>
      </c>
      <c r="Q80" s="3">
        <v>5.7306589999999998E-2</v>
      </c>
      <c r="R80" s="3">
        <v>5.7306589999999998E-2</v>
      </c>
      <c r="S80" s="3">
        <v>5.7306589999999998E-2</v>
      </c>
      <c r="T80" s="3">
        <v>5.7306589999999998E-2</v>
      </c>
      <c r="U80" s="3">
        <v>5.7306589999999998E-2</v>
      </c>
      <c r="V80" s="3">
        <v>5.7306589999999998E-2</v>
      </c>
      <c r="W80" s="3">
        <v>5.7306589999999998E-2</v>
      </c>
      <c r="X80" s="3">
        <v>5.7306589999999998E-2</v>
      </c>
      <c r="Y80" s="3">
        <v>5.7306589999999998E-2</v>
      </c>
      <c r="Z80" s="3">
        <v>5.7306589999999998E-2</v>
      </c>
      <c r="AA80" s="3">
        <v>5.7306589999999998E-2</v>
      </c>
      <c r="AB80" s="3">
        <v>5.7306589999999998E-2</v>
      </c>
      <c r="AC80" s="3">
        <v>5.7306589999999998E-2</v>
      </c>
      <c r="AD80" s="3">
        <v>5.7306589999999998E-2</v>
      </c>
      <c r="AE80" s="3">
        <v>5.7306589999999998E-2</v>
      </c>
      <c r="AF80" s="3">
        <v>5.7306589999999998E-2</v>
      </c>
      <c r="AG80" s="3">
        <v>5.7306589999999998E-2</v>
      </c>
      <c r="AH80" s="3">
        <v>5.7306589999999998E-2</v>
      </c>
      <c r="AI80" s="3">
        <v>5.7306589999999998E-2</v>
      </c>
      <c r="AJ80" s="4">
        <f t="shared" si="0"/>
        <v>0</v>
      </c>
    </row>
    <row r="81" spans="1:36" ht="14.4" x14ac:dyDescent="0.3">
      <c r="A81" s="1" t="s">
        <v>165</v>
      </c>
      <c r="B81" s="1" t="s">
        <v>166</v>
      </c>
      <c r="C81" s="1" t="s">
        <v>7</v>
      </c>
      <c r="D81" s="1" t="s">
        <v>8</v>
      </c>
      <c r="E81" s="5"/>
      <c r="F81" s="3">
        <v>90.868571399999993</v>
      </c>
      <c r="G81" s="3">
        <v>90.9085714</v>
      </c>
      <c r="H81" s="3">
        <v>90.948571400000006</v>
      </c>
      <c r="I81" s="3">
        <v>90.988571399999998</v>
      </c>
      <c r="J81" s="3">
        <v>91.028571400000004</v>
      </c>
      <c r="K81" s="3">
        <v>91.068571399999996</v>
      </c>
      <c r="L81" s="3">
        <v>91.108571400000002</v>
      </c>
      <c r="M81" s="3">
        <v>91.148571399999994</v>
      </c>
      <c r="N81" s="3">
        <v>91.188571400000001</v>
      </c>
      <c r="O81" s="3">
        <v>91.228571400000007</v>
      </c>
      <c r="P81" s="3">
        <v>91.267142899999996</v>
      </c>
      <c r="Q81" s="3">
        <v>91.305714300000005</v>
      </c>
      <c r="R81" s="3">
        <v>91.3442857</v>
      </c>
      <c r="S81" s="3">
        <v>91.382857099999995</v>
      </c>
      <c r="T81" s="3">
        <v>91.421428599999999</v>
      </c>
      <c r="U81" s="3">
        <v>91.46</v>
      </c>
      <c r="V81" s="3">
        <v>91.498571400000003</v>
      </c>
      <c r="W81" s="3">
        <v>91.537142900000006</v>
      </c>
      <c r="X81" s="3">
        <v>91.575714300000001</v>
      </c>
      <c r="Y81" s="3">
        <v>91.614285699999996</v>
      </c>
      <c r="Z81" s="3">
        <v>91.654285700000003</v>
      </c>
      <c r="AA81" s="3">
        <v>91.694285699999995</v>
      </c>
      <c r="AB81" s="3">
        <v>91.734285700000001</v>
      </c>
      <c r="AC81" s="3">
        <v>91.774285699999993</v>
      </c>
      <c r="AD81" s="3">
        <v>91.814285699999999</v>
      </c>
      <c r="AE81" s="3">
        <v>91.857142899999999</v>
      </c>
      <c r="AF81" s="3">
        <v>91.9</v>
      </c>
      <c r="AG81" s="3">
        <v>91.942857099999998</v>
      </c>
      <c r="AH81" s="3">
        <v>91.985714299999998</v>
      </c>
      <c r="AI81" s="3">
        <v>92.028571400000004</v>
      </c>
      <c r="AJ81" s="4">
        <f>AI81-F81</f>
        <v>1.1600000000000108</v>
      </c>
    </row>
    <row r="82" spans="1:36" ht="14.4" x14ac:dyDescent="0.3">
      <c r="A82" s="1" t="s">
        <v>167</v>
      </c>
      <c r="B82" s="1" t="s">
        <v>168</v>
      </c>
      <c r="C82" s="1" t="s">
        <v>7</v>
      </c>
      <c r="D82" s="1" t="s">
        <v>8</v>
      </c>
      <c r="E82" s="3">
        <v>92.217254600000004</v>
      </c>
      <c r="F82" s="3">
        <v>92.193340300000003</v>
      </c>
      <c r="G82" s="3">
        <v>92.169426000000001</v>
      </c>
      <c r="H82" s="3">
        <v>92.1455117</v>
      </c>
      <c r="I82" s="3">
        <v>92.121597399999999</v>
      </c>
      <c r="J82" s="3">
        <v>92.097683099999998</v>
      </c>
      <c r="K82" s="3">
        <v>92.073768799999996</v>
      </c>
      <c r="L82" s="3">
        <v>92.049854499999995</v>
      </c>
      <c r="M82" s="3">
        <v>92.025940199999994</v>
      </c>
      <c r="N82" s="3">
        <v>92.002025799999998</v>
      </c>
      <c r="O82" s="3">
        <v>91.978111499999997</v>
      </c>
      <c r="P82" s="3">
        <v>91.958477900000005</v>
      </c>
      <c r="Q82" s="3">
        <v>91.9388443</v>
      </c>
      <c r="R82" s="3">
        <v>91.9192106</v>
      </c>
      <c r="S82" s="3">
        <v>91.899576999999994</v>
      </c>
      <c r="T82" s="3">
        <v>91.879943299999994</v>
      </c>
      <c r="U82" s="3">
        <v>91.860309700000002</v>
      </c>
      <c r="V82" s="3">
        <v>91.840676099999996</v>
      </c>
      <c r="W82" s="3">
        <v>91.821042399999996</v>
      </c>
      <c r="X82" s="3">
        <v>91.801408800000004</v>
      </c>
      <c r="Y82" s="3">
        <v>91.781775100000004</v>
      </c>
      <c r="Z82" s="3">
        <v>91.735661899999997</v>
      </c>
      <c r="AA82" s="3">
        <v>91.689548599999995</v>
      </c>
      <c r="AB82" s="3">
        <v>91.643435400000001</v>
      </c>
      <c r="AC82" s="3">
        <v>91.597322199999994</v>
      </c>
      <c r="AD82" s="3">
        <v>91.551208900000006</v>
      </c>
      <c r="AE82" s="3">
        <v>91.505103399999996</v>
      </c>
      <c r="AF82" s="3">
        <v>91.4589979</v>
      </c>
      <c r="AG82" s="3">
        <v>91.412892499999998</v>
      </c>
      <c r="AH82" s="3">
        <v>91.366787000000002</v>
      </c>
      <c r="AI82" s="3">
        <v>91.320681500000006</v>
      </c>
      <c r="AJ82" s="4">
        <f t="shared" ref="AJ82:AJ143" si="1">AI82-E82</f>
        <v>-0.89657309999999768</v>
      </c>
    </row>
    <row r="83" spans="1:36" ht="14.4" x14ac:dyDescent="0.3">
      <c r="A83" s="1" t="s">
        <v>169</v>
      </c>
      <c r="B83" s="1" t="s">
        <v>170</v>
      </c>
      <c r="C83" s="1" t="s">
        <v>7</v>
      </c>
      <c r="D83" s="1" t="s">
        <v>8</v>
      </c>
      <c r="E83" s="3">
        <v>11.482660299999999</v>
      </c>
      <c r="F83" s="3">
        <v>11.5554086</v>
      </c>
      <c r="G83" s="3">
        <v>11.6281569</v>
      </c>
      <c r="H83" s="3">
        <v>11.700905199999999</v>
      </c>
      <c r="I83" s="3">
        <v>11.7736535</v>
      </c>
      <c r="J83" s="3">
        <v>11.8464019</v>
      </c>
      <c r="K83" s="3">
        <v>11.919150200000001</v>
      </c>
      <c r="L83" s="3">
        <v>11.9918985</v>
      </c>
      <c r="M83" s="3">
        <v>12.0646468</v>
      </c>
      <c r="N83" s="3">
        <v>12.137395100000001</v>
      </c>
      <c r="O83" s="3">
        <v>12.2101434</v>
      </c>
      <c r="P83" s="3">
        <v>12.253544399999999</v>
      </c>
      <c r="Q83" s="3">
        <v>12.2969454</v>
      </c>
      <c r="R83" s="3">
        <v>12.3403464</v>
      </c>
      <c r="S83" s="3">
        <v>12.383747400000001</v>
      </c>
      <c r="T83" s="3">
        <v>12.427148300000001</v>
      </c>
      <c r="U83" s="3">
        <v>12.4705493</v>
      </c>
      <c r="V83" s="3">
        <v>12.513950299999999</v>
      </c>
      <c r="W83" s="3">
        <v>12.557351300000001</v>
      </c>
      <c r="X83" s="3">
        <v>12.6007523</v>
      </c>
      <c r="Y83" s="3">
        <v>12.644153299999999</v>
      </c>
      <c r="Z83" s="3">
        <v>12.7235151</v>
      </c>
      <c r="AA83" s="3">
        <v>12.802876899999999</v>
      </c>
      <c r="AB83" s="3">
        <v>12.8822387</v>
      </c>
      <c r="AC83" s="3">
        <v>12.961600499999999</v>
      </c>
      <c r="AD83" s="3">
        <v>13.0409623</v>
      </c>
      <c r="AE83" s="3">
        <v>13.057496</v>
      </c>
      <c r="AF83" s="3">
        <v>13.078163099999999</v>
      </c>
      <c r="AG83" s="3">
        <v>13.1153639</v>
      </c>
      <c r="AH83" s="3">
        <v>13.1525648</v>
      </c>
      <c r="AI83" s="3">
        <v>13.185632200000001</v>
      </c>
      <c r="AJ83" s="4">
        <f t="shared" si="1"/>
        <v>1.7029719000000014</v>
      </c>
    </row>
    <row r="84" spans="1:36" ht="14.4" x14ac:dyDescent="0.3">
      <c r="A84" s="1" t="s">
        <v>171</v>
      </c>
      <c r="B84" s="1" t="s">
        <v>172</v>
      </c>
      <c r="C84" s="1" t="s">
        <v>7</v>
      </c>
      <c r="D84" s="1" t="s">
        <v>8</v>
      </c>
      <c r="E84" s="3">
        <v>39.6028205</v>
      </c>
      <c r="F84" s="3">
        <v>39.6028205</v>
      </c>
      <c r="G84" s="3">
        <v>39.631025999999999</v>
      </c>
      <c r="H84" s="3">
        <v>39.642970200000001</v>
      </c>
      <c r="I84" s="3">
        <v>39.654914400000003</v>
      </c>
      <c r="J84" s="3">
        <v>39.666858499999996</v>
      </c>
      <c r="K84" s="3">
        <v>39.678802699999999</v>
      </c>
      <c r="L84" s="3">
        <v>39.690746900000001</v>
      </c>
      <c r="M84" s="3">
        <v>39.702691000000002</v>
      </c>
      <c r="N84" s="3">
        <v>39.714635199999996</v>
      </c>
      <c r="O84" s="3">
        <v>39.726579399999999</v>
      </c>
      <c r="P84" s="3">
        <v>39.815513000000003</v>
      </c>
      <c r="Q84" s="3">
        <v>39.904446700000001</v>
      </c>
      <c r="R84" s="3">
        <v>39.993380299999998</v>
      </c>
      <c r="S84" s="3">
        <v>40.082313999999997</v>
      </c>
      <c r="T84" s="3">
        <v>40.171247700000002</v>
      </c>
      <c r="U84" s="3">
        <v>40.260181299999999</v>
      </c>
      <c r="V84" s="3">
        <v>40.349114999999998</v>
      </c>
      <c r="W84" s="3">
        <v>40.438048600000002</v>
      </c>
      <c r="X84" s="3">
        <v>40.5269823</v>
      </c>
      <c r="Y84" s="3">
        <v>40.615915999999999</v>
      </c>
      <c r="Z84" s="3">
        <v>40.615915999999999</v>
      </c>
      <c r="AA84" s="3">
        <v>40.615915999999999</v>
      </c>
      <c r="AB84" s="3">
        <v>40.615915999999999</v>
      </c>
      <c r="AC84" s="3">
        <v>40.615915999999999</v>
      </c>
      <c r="AD84" s="3">
        <v>40.615915999999999</v>
      </c>
      <c r="AE84" s="3">
        <v>40.615915999999999</v>
      </c>
      <c r="AF84" s="3">
        <v>40.615915999999999</v>
      </c>
      <c r="AG84" s="3">
        <v>40.615915999999999</v>
      </c>
      <c r="AH84" s="3">
        <v>40.615915999999999</v>
      </c>
      <c r="AI84" s="3">
        <v>40.615915999999999</v>
      </c>
      <c r="AJ84" s="4">
        <f t="shared" si="1"/>
        <v>1.0130954999999986</v>
      </c>
    </row>
    <row r="85" spans="1:36" ht="14.4" x14ac:dyDescent="0.3">
      <c r="A85" s="1" t="s">
        <v>173</v>
      </c>
      <c r="B85" s="1" t="s">
        <v>174</v>
      </c>
      <c r="C85" s="1" t="s">
        <v>7</v>
      </c>
      <c r="D85" s="1" t="s">
        <v>8</v>
      </c>
      <c r="E85" s="3">
        <v>43.6154522</v>
      </c>
      <c r="F85" s="3">
        <v>43.142722200000001</v>
      </c>
      <c r="G85" s="3">
        <v>42.669992100000002</v>
      </c>
      <c r="H85" s="3">
        <v>42.197262000000002</v>
      </c>
      <c r="I85" s="3">
        <v>41.724532000000004</v>
      </c>
      <c r="J85" s="3">
        <v>41.251801899999997</v>
      </c>
      <c r="K85" s="3">
        <v>40.779071799999997</v>
      </c>
      <c r="L85" s="3">
        <v>40.306341699999997</v>
      </c>
      <c r="M85" s="3">
        <v>39.833611699999999</v>
      </c>
      <c r="N85" s="3">
        <v>39.360881599999999</v>
      </c>
      <c r="O85" s="3">
        <v>38.888151499999999</v>
      </c>
      <c r="P85" s="3">
        <v>38.490120400000002</v>
      </c>
      <c r="Q85" s="3">
        <v>38.092089299999998</v>
      </c>
      <c r="R85" s="3">
        <v>37.694058200000001</v>
      </c>
      <c r="S85" s="3">
        <v>37.296027100000003</v>
      </c>
      <c r="T85" s="3">
        <v>36.897995999999999</v>
      </c>
      <c r="U85" s="3">
        <v>36.499964800000001</v>
      </c>
      <c r="V85" s="3">
        <v>36.101933699999996</v>
      </c>
      <c r="W85" s="3">
        <v>35.703902599999999</v>
      </c>
      <c r="X85" s="3">
        <v>35.305871500000002</v>
      </c>
      <c r="Y85" s="3">
        <v>34.907840399999998</v>
      </c>
      <c r="Z85" s="3">
        <v>34.852913800000003</v>
      </c>
      <c r="AA85" s="3">
        <v>34.797987200000001</v>
      </c>
      <c r="AB85" s="3">
        <v>34.7430606</v>
      </c>
      <c r="AC85" s="3">
        <v>34.688133999999998</v>
      </c>
      <c r="AD85" s="3">
        <v>34.633207300000002</v>
      </c>
      <c r="AE85" s="3">
        <v>34.816911300000001</v>
      </c>
      <c r="AF85" s="3">
        <v>35.0006153</v>
      </c>
      <c r="AG85" s="3">
        <v>35.032345999999997</v>
      </c>
      <c r="AH85" s="3">
        <v>35.0640766</v>
      </c>
      <c r="AI85" s="3">
        <v>35.0958513</v>
      </c>
      <c r="AJ85" s="4">
        <f t="shared" si="1"/>
        <v>-8.5196009000000004</v>
      </c>
    </row>
    <row r="86" spans="1:36" ht="14.4" x14ac:dyDescent="0.3">
      <c r="A86" s="1" t="s">
        <v>175</v>
      </c>
      <c r="B86" s="1" t="s">
        <v>176</v>
      </c>
      <c r="C86" s="1" t="s">
        <v>7</v>
      </c>
      <c r="D86" s="1" t="s">
        <v>8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5"/>
      <c r="AI86" s="5"/>
      <c r="AJ86" s="4">
        <f t="shared" si="1"/>
        <v>0</v>
      </c>
    </row>
    <row r="87" spans="1:36" ht="14.4" x14ac:dyDescent="0.3">
      <c r="A87" s="1" t="s">
        <v>177</v>
      </c>
      <c r="B87" s="1" t="s">
        <v>178</v>
      </c>
      <c r="C87" s="1" t="s">
        <v>7</v>
      </c>
      <c r="D87" s="1" t="s">
        <v>8</v>
      </c>
      <c r="E87" s="3">
        <v>29.610939299999998</v>
      </c>
      <c r="F87" s="3">
        <v>29.4697216</v>
      </c>
      <c r="G87" s="3">
        <v>29.328503999999999</v>
      </c>
      <c r="H87" s="3">
        <v>29.1872863</v>
      </c>
      <c r="I87" s="3">
        <v>29.046068699999999</v>
      </c>
      <c r="J87" s="3">
        <v>28.904851000000001</v>
      </c>
      <c r="K87" s="3">
        <v>28.7636334</v>
      </c>
      <c r="L87" s="3">
        <v>28.622415799999999</v>
      </c>
      <c r="M87" s="3">
        <v>28.4811981</v>
      </c>
      <c r="N87" s="3">
        <v>28.339980499999999</v>
      </c>
      <c r="O87" s="3">
        <v>28.198762800000001</v>
      </c>
      <c r="P87" s="3">
        <v>28.052254600000001</v>
      </c>
      <c r="Q87" s="3">
        <v>27.905746400000002</v>
      </c>
      <c r="R87" s="3">
        <v>27.759238199999999</v>
      </c>
      <c r="S87" s="3">
        <v>27.612729900000001</v>
      </c>
      <c r="T87" s="3">
        <v>27.466221699999998</v>
      </c>
      <c r="U87" s="3">
        <v>27.319713499999999</v>
      </c>
      <c r="V87" s="3">
        <v>27.173205299999999</v>
      </c>
      <c r="W87" s="3">
        <v>27.0266971</v>
      </c>
      <c r="X87" s="3">
        <v>26.880188799999999</v>
      </c>
      <c r="Y87" s="3">
        <v>26.7336806</v>
      </c>
      <c r="Z87" s="3">
        <v>26.5871724</v>
      </c>
      <c r="AA87" s="3">
        <v>26.440664200000001</v>
      </c>
      <c r="AB87" s="3">
        <v>26.2941559</v>
      </c>
      <c r="AC87" s="3">
        <v>26.1476477</v>
      </c>
      <c r="AD87" s="3">
        <v>26.001139500000001</v>
      </c>
      <c r="AE87" s="3">
        <v>25.8383526</v>
      </c>
      <c r="AF87" s="3">
        <v>25.6755657</v>
      </c>
      <c r="AG87" s="3">
        <v>25.5127788</v>
      </c>
      <c r="AH87" s="3">
        <v>25.349991899999999</v>
      </c>
      <c r="AI87" s="3">
        <v>25.187204900000001</v>
      </c>
      <c r="AJ87" s="4">
        <f t="shared" si="1"/>
        <v>-4.4237343999999972</v>
      </c>
    </row>
    <row r="88" spans="1:36" ht="14.4" x14ac:dyDescent="0.3">
      <c r="A88" s="1" t="s">
        <v>179</v>
      </c>
      <c r="B88" s="1" t="s">
        <v>180</v>
      </c>
      <c r="C88" s="1" t="s">
        <v>7</v>
      </c>
      <c r="D88" s="1" t="s">
        <v>8</v>
      </c>
      <c r="E88" s="3">
        <v>40.974308299999997</v>
      </c>
      <c r="F88" s="3">
        <v>40.407806299999997</v>
      </c>
      <c r="G88" s="3">
        <v>39.841304299999997</v>
      </c>
      <c r="H88" s="3">
        <v>39.274802399999999</v>
      </c>
      <c r="I88" s="3">
        <v>38.708300399999999</v>
      </c>
      <c r="J88" s="3">
        <v>38.141798399999999</v>
      </c>
      <c r="K88" s="3">
        <v>37.575296399999999</v>
      </c>
      <c r="L88" s="3">
        <v>37.0087945</v>
      </c>
      <c r="M88" s="3">
        <v>36.442292500000001</v>
      </c>
      <c r="N88" s="3">
        <v>35.875790500000001</v>
      </c>
      <c r="O88" s="3">
        <v>35.309288500000001</v>
      </c>
      <c r="P88" s="3">
        <v>34.742786600000002</v>
      </c>
      <c r="Q88" s="3">
        <v>34.176284600000002</v>
      </c>
      <c r="R88" s="3">
        <v>33.609782600000003</v>
      </c>
      <c r="S88" s="3">
        <v>33.043280600000003</v>
      </c>
      <c r="T88" s="3">
        <v>32.476778699999997</v>
      </c>
      <c r="U88" s="3">
        <v>31.910276700000001</v>
      </c>
      <c r="V88" s="3">
        <v>31.343774700000001</v>
      </c>
      <c r="W88" s="3">
        <v>30.777272700000001</v>
      </c>
      <c r="X88" s="3">
        <v>30.210770799999999</v>
      </c>
      <c r="Y88" s="3">
        <v>29.644268799999999</v>
      </c>
      <c r="Z88" s="3">
        <v>29.077865599999999</v>
      </c>
      <c r="AA88" s="3">
        <v>28.5114625</v>
      </c>
      <c r="AB88" s="3">
        <v>27.9450593</v>
      </c>
      <c r="AC88" s="3">
        <v>27.378656100000001</v>
      </c>
      <c r="AD88" s="3">
        <v>26.812252999999998</v>
      </c>
      <c r="AE88" s="3">
        <v>26.245059300000001</v>
      </c>
      <c r="AF88" s="3">
        <v>25.678853799999999</v>
      </c>
      <c r="AG88" s="3">
        <v>25.112648199999999</v>
      </c>
      <c r="AH88" s="3">
        <v>24.545454500000002</v>
      </c>
      <c r="AI88" s="3">
        <v>23.979248999999999</v>
      </c>
      <c r="AJ88" s="4">
        <f t="shared" si="1"/>
        <v>-16.995059299999998</v>
      </c>
    </row>
    <row r="89" spans="1:36" ht="14.4" x14ac:dyDescent="0.3">
      <c r="A89" s="1" t="s">
        <v>181</v>
      </c>
      <c r="B89" s="1" t="s">
        <v>182</v>
      </c>
      <c r="C89" s="1" t="s">
        <v>7</v>
      </c>
      <c r="D89" s="1" t="s">
        <v>8</v>
      </c>
      <c r="E89" s="3">
        <v>79.421408299999996</v>
      </c>
      <c r="F89" s="3">
        <v>79.121088200000003</v>
      </c>
      <c r="G89" s="3">
        <v>78.820768099999995</v>
      </c>
      <c r="H89" s="3">
        <v>78.520448099999996</v>
      </c>
      <c r="I89" s="3">
        <v>78.220128000000003</v>
      </c>
      <c r="J89" s="3">
        <v>77.919808000000003</v>
      </c>
      <c r="K89" s="3">
        <v>77.619487899999996</v>
      </c>
      <c r="L89" s="3">
        <v>77.319167899999997</v>
      </c>
      <c r="M89" s="3">
        <v>77.018847800000003</v>
      </c>
      <c r="N89" s="3">
        <v>76.718527699999996</v>
      </c>
      <c r="O89" s="3">
        <v>76.418207699999996</v>
      </c>
      <c r="P89" s="3">
        <v>76.117887600000003</v>
      </c>
      <c r="Q89" s="3">
        <v>75.817567600000004</v>
      </c>
      <c r="R89" s="3">
        <v>75.517247499999996</v>
      </c>
      <c r="S89" s="3">
        <v>75.216927499999997</v>
      </c>
      <c r="T89" s="3">
        <v>74.916607400000004</v>
      </c>
      <c r="U89" s="3">
        <v>74.616287299999996</v>
      </c>
      <c r="V89" s="3">
        <v>74.315967299999997</v>
      </c>
      <c r="W89" s="3">
        <v>74.015647200000004</v>
      </c>
      <c r="X89" s="3">
        <v>73.715327200000004</v>
      </c>
      <c r="Y89" s="3">
        <v>73.415007099999997</v>
      </c>
      <c r="Z89" s="3">
        <v>73.114722599999993</v>
      </c>
      <c r="AA89" s="3">
        <v>72.814438100000004</v>
      </c>
      <c r="AB89" s="3">
        <v>72.5141536</v>
      </c>
      <c r="AC89" s="3">
        <v>72.213869099999997</v>
      </c>
      <c r="AD89" s="3">
        <v>71.913584599999993</v>
      </c>
      <c r="AE89" s="3">
        <v>71.613442399999997</v>
      </c>
      <c r="AF89" s="3">
        <v>71.313300100000006</v>
      </c>
      <c r="AG89" s="3">
        <v>71.013157899999996</v>
      </c>
      <c r="AH89" s="3">
        <v>70.713015600000006</v>
      </c>
      <c r="AI89" s="3">
        <v>70.412873399999995</v>
      </c>
      <c r="AJ89" s="4">
        <f t="shared" si="1"/>
        <v>-9.0085349000000008</v>
      </c>
    </row>
    <row r="90" spans="1:36" ht="14.4" x14ac:dyDescent="0.3">
      <c r="A90" s="1" t="s">
        <v>183</v>
      </c>
      <c r="B90" s="1" t="s">
        <v>184</v>
      </c>
      <c r="C90" s="1" t="s">
        <v>7</v>
      </c>
      <c r="D90" s="1" t="s">
        <v>8</v>
      </c>
      <c r="E90" s="3">
        <v>96.226381500000002</v>
      </c>
      <c r="F90" s="3">
        <v>95.928449200000003</v>
      </c>
      <c r="G90" s="3">
        <v>95.630516900000003</v>
      </c>
      <c r="H90" s="3">
        <v>95.332584699999998</v>
      </c>
      <c r="I90" s="3">
        <v>95.034652399999999</v>
      </c>
      <c r="J90" s="3">
        <v>94.736720099999999</v>
      </c>
      <c r="K90" s="3">
        <v>94.438787899999994</v>
      </c>
      <c r="L90" s="3">
        <v>94.140855599999995</v>
      </c>
      <c r="M90" s="3">
        <v>93.842923400000004</v>
      </c>
      <c r="N90" s="3">
        <v>93.544991100000004</v>
      </c>
      <c r="O90" s="3">
        <v>93.247058800000005</v>
      </c>
      <c r="P90" s="3">
        <v>92.9491266</v>
      </c>
      <c r="Q90" s="3">
        <v>92.6511943</v>
      </c>
      <c r="R90" s="3">
        <v>92.353262000000001</v>
      </c>
      <c r="S90" s="3">
        <v>92.055329799999996</v>
      </c>
      <c r="T90" s="3">
        <v>91.757397499999996</v>
      </c>
      <c r="U90" s="3">
        <v>91.459465199999997</v>
      </c>
      <c r="V90" s="3">
        <v>91.161533000000006</v>
      </c>
      <c r="W90" s="3">
        <v>90.863600700000006</v>
      </c>
      <c r="X90" s="3">
        <v>90.565668400000007</v>
      </c>
      <c r="Y90" s="3">
        <v>90.267736200000002</v>
      </c>
      <c r="Z90" s="3">
        <v>89.969768299999998</v>
      </c>
      <c r="AA90" s="3">
        <v>89.671800399999995</v>
      </c>
      <c r="AB90" s="3">
        <v>89.373832399999998</v>
      </c>
      <c r="AC90" s="3">
        <v>89.075864499999994</v>
      </c>
      <c r="AD90" s="3">
        <v>88.777896600000005</v>
      </c>
      <c r="AE90" s="3">
        <v>88.4798574</v>
      </c>
      <c r="AF90" s="3">
        <v>88.181818199999995</v>
      </c>
      <c r="AG90" s="3">
        <v>87.883779000000004</v>
      </c>
      <c r="AH90" s="3">
        <v>87.585739799999999</v>
      </c>
      <c r="AI90" s="3">
        <v>87.2877005</v>
      </c>
      <c r="AJ90" s="4">
        <f t="shared" si="1"/>
        <v>-8.9386810000000025</v>
      </c>
    </row>
    <row r="91" spans="1:36" ht="14.4" x14ac:dyDescent="0.3">
      <c r="A91" s="1" t="s">
        <v>185</v>
      </c>
      <c r="B91" s="1" t="s">
        <v>186</v>
      </c>
      <c r="C91" s="1" t="s">
        <v>7</v>
      </c>
      <c r="D91" s="1" t="s">
        <v>8</v>
      </c>
      <c r="E91" s="3">
        <v>25.59</v>
      </c>
      <c r="F91" s="3">
        <v>25.824041099999999</v>
      </c>
      <c r="G91" s="3">
        <v>26.0580815</v>
      </c>
      <c r="H91" s="3">
        <v>26.292122599999999</v>
      </c>
      <c r="I91" s="3">
        <v>26.526162899999999</v>
      </c>
      <c r="J91" s="3">
        <v>26.760204000000002</v>
      </c>
      <c r="K91" s="3">
        <v>26.994245200000002</v>
      </c>
      <c r="L91" s="3">
        <v>27.228285499999998</v>
      </c>
      <c r="M91" s="3">
        <v>27.462326600000001</v>
      </c>
      <c r="N91" s="3">
        <v>27.696366999999999</v>
      </c>
      <c r="O91" s="3">
        <v>27.930408100000001</v>
      </c>
      <c r="P91" s="3">
        <v>28.164366999999999</v>
      </c>
      <c r="Q91" s="3">
        <v>28.398326600000001</v>
      </c>
      <c r="R91" s="3">
        <v>28.632285499999998</v>
      </c>
      <c r="S91" s="3">
        <v>28.866245200000002</v>
      </c>
      <c r="T91" s="3">
        <v>29.100204000000002</v>
      </c>
      <c r="U91" s="3">
        <v>29.334162899999999</v>
      </c>
      <c r="V91" s="3">
        <v>29.568122599999999</v>
      </c>
      <c r="W91" s="3">
        <v>29.8020815</v>
      </c>
      <c r="X91" s="3">
        <v>30.036041099999998</v>
      </c>
      <c r="Y91" s="3">
        <v>30.27</v>
      </c>
      <c r="Z91" s="3">
        <v>30.27</v>
      </c>
      <c r="AA91" s="3">
        <v>30.27</v>
      </c>
      <c r="AB91" s="3">
        <v>30.27</v>
      </c>
      <c r="AC91" s="3">
        <v>30.27</v>
      </c>
      <c r="AD91" s="3">
        <v>30.27</v>
      </c>
      <c r="AE91" s="3">
        <v>30.269976700000001</v>
      </c>
      <c r="AF91" s="3">
        <v>30.269976700000001</v>
      </c>
      <c r="AG91" s="3">
        <v>30.269976700000001</v>
      </c>
      <c r="AH91" s="3">
        <v>30.269976700000001</v>
      </c>
      <c r="AI91" s="3">
        <v>30.269976700000001</v>
      </c>
      <c r="AJ91" s="4">
        <f t="shared" si="1"/>
        <v>4.679976700000001</v>
      </c>
    </row>
    <row r="92" spans="1:36" ht="14.4" x14ac:dyDescent="0.3">
      <c r="A92" s="1" t="s">
        <v>187</v>
      </c>
      <c r="B92" s="1" t="s">
        <v>188</v>
      </c>
      <c r="C92" s="1" t="s">
        <v>7</v>
      </c>
      <c r="D92" s="1" t="s">
        <v>8</v>
      </c>
      <c r="E92" s="3">
        <v>52.058823500000003</v>
      </c>
      <c r="F92" s="3">
        <v>52.058823500000003</v>
      </c>
      <c r="G92" s="3">
        <v>52.058823500000003</v>
      </c>
      <c r="H92" s="3">
        <v>52.058823500000003</v>
      </c>
      <c r="I92" s="3">
        <v>52.058823500000003</v>
      </c>
      <c r="J92" s="3">
        <v>52.058823500000003</v>
      </c>
      <c r="K92" s="3">
        <v>52.058823500000003</v>
      </c>
      <c r="L92" s="3">
        <v>52.058823500000003</v>
      </c>
      <c r="M92" s="3">
        <v>52.058823500000003</v>
      </c>
      <c r="N92" s="3">
        <v>52.058823500000003</v>
      </c>
      <c r="O92" s="3">
        <v>52.058823500000003</v>
      </c>
      <c r="P92" s="3">
        <v>52.058823500000003</v>
      </c>
      <c r="Q92" s="3">
        <v>52.058823500000003</v>
      </c>
      <c r="R92" s="3">
        <v>52.058823500000003</v>
      </c>
      <c r="S92" s="3">
        <v>52.058823500000003</v>
      </c>
      <c r="T92" s="3">
        <v>52.058823500000003</v>
      </c>
      <c r="U92" s="3">
        <v>52.058823500000003</v>
      </c>
      <c r="V92" s="3">
        <v>52.058823500000003</v>
      </c>
      <c r="W92" s="3">
        <v>52.058823500000003</v>
      </c>
      <c r="X92" s="3">
        <v>52.058823500000003</v>
      </c>
      <c r="Y92" s="3">
        <v>52.058823500000003</v>
      </c>
      <c r="Z92" s="3">
        <v>52.058823500000003</v>
      </c>
      <c r="AA92" s="3">
        <v>52.058823500000003</v>
      </c>
      <c r="AB92" s="3">
        <v>52.058823500000003</v>
      </c>
      <c r="AC92" s="3">
        <v>52.058823500000003</v>
      </c>
      <c r="AD92" s="3">
        <v>52.058823500000003</v>
      </c>
      <c r="AE92" s="3">
        <v>52.058823500000003</v>
      </c>
      <c r="AF92" s="3">
        <v>52.058823500000003</v>
      </c>
      <c r="AG92" s="3">
        <v>52.058823500000003</v>
      </c>
      <c r="AH92" s="3">
        <v>52.058823500000003</v>
      </c>
      <c r="AI92" s="3">
        <v>52.058823500000003</v>
      </c>
      <c r="AJ92" s="4">
        <f t="shared" si="1"/>
        <v>0</v>
      </c>
    </row>
    <row r="93" spans="1:36" ht="14.4" x14ac:dyDescent="0.3">
      <c r="A93" s="1" t="s">
        <v>189</v>
      </c>
      <c r="B93" s="1" t="s">
        <v>190</v>
      </c>
      <c r="C93" s="1" t="s">
        <v>7</v>
      </c>
      <c r="D93" s="1" t="s">
        <v>8</v>
      </c>
      <c r="E93" s="3">
        <v>6.4384000000000002E-4</v>
      </c>
      <c r="F93" s="3">
        <v>6.4384000000000002E-4</v>
      </c>
      <c r="G93" s="3">
        <v>6.4384000000000002E-4</v>
      </c>
      <c r="H93" s="3">
        <v>6.4384000000000002E-4</v>
      </c>
      <c r="I93" s="3">
        <v>6.4384000000000002E-4</v>
      </c>
      <c r="J93" s="3">
        <v>6.4384000000000002E-4</v>
      </c>
      <c r="K93" s="3">
        <v>6.4384000000000002E-4</v>
      </c>
      <c r="L93" s="3">
        <v>5.3600000000000002E-4</v>
      </c>
      <c r="M93" s="3">
        <v>5.3600000000000002E-4</v>
      </c>
      <c r="N93" s="3">
        <v>5.3600000000000002E-4</v>
      </c>
      <c r="O93" s="3">
        <v>5.3600000000000002E-4</v>
      </c>
      <c r="P93" s="3">
        <v>5.3600000000000002E-4</v>
      </c>
      <c r="Q93" s="3">
        <v>5.3600000000000002E-4</v>
      </c>
      <c r="R93" s="3">
        <v>5.3600000000000002E-4</v>
      </c>
      <c r="S93" s="3">
        <v>5.3600000000000002E-4</v>
      </c>
      <c r="T93" s="3">
        <v>5.3600000000000002E-4</v>
      </c>
      <c r="U93" s="3">
        <v>5.3600000000000002E-4</v>
      </c>
      <c r="V93" s="3">
        <v>5.3600000000000002E-4</v>
      </c>
      <c r="W93" s="3">
        <v>5.3600000000000002E-4</v>
      </c>
      <c r="X93" s="3">
        <v>5.3600000000000002E-4</v>
      </c>
      <c r="Y93" s="3">
        <v>5.3600000000000002E-4</v>
      </c>
      <c r="Z93" s="3">
        <v>5.3600000000000002E-4</v>
      </c>
      <c r="AA93" s="3">
        <v>5.3600000000000002E-4</v>
      </c>
      <c r="AB93" s="3">
        <v>5.3600000000000002E-4</v>
      </c>
      <c r="AC93" s="3">
        <v>5.3600000000000002E-4</v>
      </c>
      <c r="AD93" s="3">
        <v>5.3600000000000002E-4</v>
      </c>
      <c r="AE93" s="3">
        <v>5.3600000000000002E-4</v>
      </c>
      <c r="AF93" s="3">
        <v>5.3600000000000002E-4</v>
      </c>
      <c r="AG93" s="3">
        <v>5.3600000000000002E-4</v>
      </c>
      <c r="AH93" s="3">
        <v>5.3600000000000002E-4</v>
      </c>
      <c r="AI93" s="3">
        <v>5.3600000000000002E-4</v>
      </c>
      <c r="AJ93" s="4">
        <f t="shared" si="1"/>
        <v>-1.0784E-4</v>
      </c>
    </row>
    <row r="94" spans="1:36" ht="14.4" x14ac:dyDescent="0.3">
      <c r="A94" s="1" t="s">
        <v>191</v>
      </c>
      <c r="B94" s="1" t="s">
        <v>192</v>
      </c>
      <c r="C94" s="1" t="s">
        <v>7</v>
      </c>
      <c r="D94" s="1" t="s">
        <v>8</v>
      </c>
      <c r="E94" s="3">
        <v>44.617394599999997</v>
      </c>
      <c r="F94" s="3">
        <v>44.083613300000003</v>
      </c>
      <c r="G94" s="3">
        <v>43.549832000000002</v>
      </c>
      <c r="H94" s="3">
        <v>43.016050800000002</v>
      </c>
      <c r="I94" s="3">
        <v>42.482269500000001</v>
      </c>
      <c r="J94" s="3">
        <v>41.9484882</v>
      </c>
      <c r="K94" s="3">
        <v>41.414707</v>
      </c>
      <c r="L94" s="3">
        <v>40.880925699999999</v>
      </c>
      <c r="M94" s="3">
        <v>40.347144499999999</v>
      </c>
      <c r="N94" s="3">
        <v>39.813363199999998</v>
      </c>
      <c r="O94" s="3">
        <v>39.279581899999997</v>
      </c>
      <c r="P94" s="3">
        <v>38.825494599999999</v>
      </c>
      <c r="Q94" s="3">
        <v>38.3714072</v>
      </c>
      <c r="R94" s="3">
        <v>37.917319900000003</v>
      </c>
      <c r="S94" s="3">
        <v>37.463232499999997</v>
      </c>
      <c r="T94" s="3">
        <v>37.009145199999999</v>
      </c>
      <c r="U94" s="3">
        <v>36.555057900000001</v>
      </c>
      <c r="V94" s="3">
        <v>36.100970500000003</v>
      </c>
      <c r="W94" s="3">
        <v>35.646883199999998</v>
      </c>
      <c r="X94" s="3">
        <v>35.192795799999999</v>
      </c>
      <c r="Y94" s="3">
        <v>34.738708500000001</v>
      </c>
      <c r="Z94" s="3">
        <v>34.483389299999999</v>
      </c>
      <c r="AA94" s="3">
        <v>34.228070199999998</v>
      </c>
      <c r="AB94" s="3">
        <v>33.972751000000002</v>
      </c>
      <c r="AC94" s="3">
        <v>33.717431900000001</v>
      </c>
      <c r="AD94" s="3">
        <v>33.462112699999999</v>
      </c>
      <c r="AE94" s="3">
        <v>33.353863400000002</v>
      </c>
      <c r="AF94" s="3">
        <v>33.245614000000003</v>
      </c>
      <c r="AG94" s="3">
        <v>33.137364699999999</v>
      </c>
      <c r="AH94" s="3">
        <v>33.029115300000001</v>
      </c>
      <c r="AI94" s="3">
        <v>32.920865999999997</v>
      </c>
      <c r="AJ94" s="4">
        <f t="shared" si="1"/>
        <v>-11.696528600000001</v>
      </c>
    </row>
    <row r="95" spans="1:36" ht="14.4" x14ac:dyDescent="0.3">
      <c r="A95" s="1" t="s">
        <v>193</v>
      </c>
      <c r="B95" s="1" t="s">
        <v>194</v>
      </c>
      <c r="C95" s="1" t="s">
        <v>7</v>
      </c>
      <c r="D95" s="1" t="s">
        <v>8</v>
      </c>
      <c r="E95" s="3">
        <v>44.444444400000002</v>
      </c>
      <c r="F95" s="3">
        <v>44.444444400000002</v>
      </c>
      <c r="G95" s="3">
        <v>44.444444400000002</v>
      </c>
      <c r="H95" s="3">
        <v>44.444444400000002</v>
      </c>
      <c r="I95" s="3">
        <v>44.444444400000002</v>
      </c>
      <c r="J95" s="3">
        <v>44.444444400000002</v>
      </c>
      <c r="K95" s="3">
        <v>44.444444400000002</v>
      </c>
      <c r="L95" s="3">
        <v>44.444444400000002</v>
      </c>
      <c r="M95" s="3">
        <v>44.444444400000002</v>
      </c>
      <c r="N95" s="3">
        <v>44.444444400000002</v>
      </c>
      <c r="O95" s="3">
        <v>44.444444400000002</v>
      </c>
      <c r="P95" s="3">
        <v>44.444444400000002</v>
      </c>
      <c r="Q95" s="3">
        <v>44.444444400000002</v>
      </c>
      <c r="R95" s="3">
        <v>44.444444400000002</v>
      </c>
      <c r="S95" s="3">
        <v>44.444444400000002</v>
      </c>
      <c r="T95" s="3">
        <v>44.444444400000002</v>
      </c>
      <c r="U95" s="3">
        <v>44.444444400000002</v>
      </c>
      <c r="V95" s="3">
        <v>44.444444400000002</v>
      </c>
      <c r="W95" s="3">
        <v>44.444444400000002</v>
      </c>
      <c r="X95" s="3">
        <v>44.444444400000002</v>
      </c>
      <c r="Y95" s="3">
        <v>44.444444400000002</v>
      </c>
      <c r="Z95" s="3">
        <v>44.814814800000001</v>
      </c>
      <c r="AA95" s="3">
        <v>45.185185199999999</v>
      </c>
      <c r="AB95" s="3">
        <v>45.555555599999998</v>
      </c>
      <c r="AC95" s="3">
        <v>45.925925900000003</v>
      </c>
      <c r="AD95" s="3">
        <v>46.296296300000002</v>
      </c>
      <c r="AE95" s="3">
        <v>51.8518519</v>
      </c>
      <c r="AF95" s="3">
        <v>51.8518519</v>
      </c>
      <c r="AG95" s="3">
        <v>51.8518519</v>
      </c>
      <c r="AH95" s="3">
        <v>51.8518519</v>
      </c>
      <c r="AI95" s="3">
        <v>51.8518519</v>
      </c>
      <c r="AJ95" s="4">
        <f t="shared" si="1"/>
        <v>7.4074074999999979</v>
      </c>
    </row>
    <row r="96" spans="1:36" ht="14.4" x14ac:dyDescent="0.3">
      <c r="A96" s="1" t="s">
        <v>195</v>
      </c>
      <c r="B96" s="1" t="s">
        <v>196</v>
      </c>
      <c r="C96" s="1" t="s">
        <v>7</v>
      </c>
      <c r="D96" s="1" t="s">
        <v>8</v>
      </c>
      <c r="E96" s="3">
        <v>94.499110999999999</v>
      </c>
      <c r="F96" s="3">
        <v>94.479842500000004</v>
      </c>
      <c r="G96" s="3">
        <v>94.460573999999994</v>
      </c>
      <c r="H96" s="3">
        <v>94.441305600000007</v>
      </c>
      <c r="I96" s="3">
        <v>94.422037099999997</v>
      </c>
      <c r="J96" s="3">
        <v>94.402768600000002</v>
      </c>
      <c r="K96" s="3">
        <v>94.383500100000006</v>
      </c>
      <c r="L96" s="3">
        <v>94.364231599999997</v>
      </c>
      <c r="M96" s="3">
        <v>94.344963199999995</v>
      </c>
      <c r="N96" s="3">
        <v>94.3256947</v>
      </c>
      <c r="O96" s="3">
        <v>94.306426200000004</v>
      </c>
      <c r="P96" s="3">
        <v>94.283865899999995</v>
      </c>
      <c r="Q96" s="3">
        <v>94.2613056</v>
      </c>
      <c r="R96" s="3">
        <v>94.238745199999997</v>
      </c>
      <c r="S96" s="3">
        <v>94.216184900000002</v>
      </c>
      <c r="T96" s="3">
        <v>94.193624600000007</v>
      </c>
      <c r="U96" s="3">
        <v>94.171064299999998</v>
      </c>
      <c r="V96" s="3">
        <v>94.148503899999994</v>
      </c>
      <c r="W96" s="3">
        <v>94.125943599999999</v>
      </c>
      <c r="X96" s="3">
        <v>94.103383300000004</v>
      </c>
      <c r="Y96" s="3">
        <v>94.080822999999995</v>
      </c>
      <c r="Z96" s="3">
        <v>94.021437599999999</v>
      </c>
      <c r="AA96" s="3">
        <v>93.962052299999996</v>
      </c>
      <c r="AB96" s="3">
        <v>93.902666999999994</v>
      </c>
      <c r="AC96" s="3">
        <v>93.843281700000006</v>
      </c>
      <c r="AD96" s="3">
        <v>93.783896400000003</v>
      </c>
      <c r="AE96" s="3">
        <v>93.737160299999999</v>
      </c>
      <c r="AF96" s="3">
        <v>93.690373399999999</v>
      </c>
      <c r="AG96" s="3">
        <v>93.643637299999995</v>
      </c>
      <c r="AH96" s="3">
        <v>93.596850399999994</v>
      </c>
      <c r="AI96" s="3">
        <v>93.550114300000004</v>
      </c>
      <c r="AJ96" s="4">
        <f t="shared" si="1"/>
        <v>-0.94899669999999503</v>
      </c>
    </row>
    <row r="97" spans="1:36" ht="14.4" x14ac:dyDescent="0.3">
      <c r="A97" s="1" t="s">
        <v>197</v>
      </c>
      <c r="B97" s="1" t="s">
        <v>198</v>
      </c>
      <c r="C97" s="1" t="s">
        <v>7</v>
      </c>
      <c r="D97" s="1" t="s">
        <v>8</v>
      </c>
      <c r="E97" s="3">
        <v>28.620244599999999</v>
      </c>
      <c r="F97" s="3">
        <v>28.640815799999999</v>
      </c>
      <c r="G97" s="3">
        <v>28.6615003</v>
      </c>
      <c r="H97" s="3">
        <v>28.6810291</v>
      </c>
      <c r="I97" s="3">
        <v>28.7010589</v>
      </c>
      <c r="J97" s="3">
        <v>28.721088600000002</v>
      </c>
      <c r="K97" s="3">
        <v>28.741143999999998</v>
      </c>
      <c r="L97" s="3">
        <v>28.704606699999999</v>
      </c>
      <c r="M97" s="3">
        <v>28.724672000000002</v>
      </c>
      <c r="N97" s="3">
        <v>28.744688</v>
      </c>
      <c r="O97" s="3">
        <v>28.762483199999998</v>
      </c>
      <c r="P97" s="3">
        <v>28.786574399999999</v>
      </c>
      <c r="Q97" s="3">
        <v>28.8096438</v>
      </c>
      <c r="R97" s="3">
        <v>28.832789300000002</v>
      </c>
      <c r="S97" s="3">
        <v>28.856479700000001</v>
      </c>
      <c r="T97" s="3">
        <v>28.8800819</v>
      </c>
      <c r="U97" s="3">
        <v>28.904101499999999</v>
      </c>
      <c r="V97" s="3">
        <v>28.927522100000001</v>
      </c>
      <c r="W97" s="3">
        <v>28.963454800000001</v>
      </c>
      <c r="X97" s="3">
        <v>28.9862492</v>
      </c>
      <c r="Y97" s="3">
        <v>29.008145299999999</v>
      </c>
      <c r="Z97" s="3">
        <v>29.048663399999999</v>
      </c>
      <c r="AA97" s="3">
        <v>29.0931593</v>
      </c>
      <c r="AB97" s="3">
        <v>29.132319200000001</v>
      </c>
      <c r="AC97" s="3">
        <v>29.171686699999999</v>
      </c>
      <c r="AD97" s="3">
        <v>29.212402900000001</v>
      </c>
      <c r="AE97" s="3">
        <v>29.238377100000001</v>
      </c>
      <c r="AF97" s="3">
        <v>29.2383059</v>
      </c>
      <c r="AG97" s="3">
        <v>29.242941900000002</v>
      </c>
      <c r="AH97" s="3">
        <v>29.251630800000001</v>
      </c>
      <c r="AI97" s="3">
        <v>29.260582500000002</v>
      </c>
      <c r="AJ97" s="4">
        <f t="shared" si="1"/>
        <v>0.64033790000000224</v>
      </c>
    </row>
    <row r="98" spans="1:36" ht="14.4" x14ac:dyDescent="0.3">
      <c r="A98" s="1" t="s">
        <v>199</v>
      </c>
      <c r="B98" s="1" t="s">
        <v>200</v>
      </c>
      <c r="C98" s="1" t="s">
        <v>7</v>
      </c>
      <c r="D98" s="1" t="s">
        <v>8</v>
      </c>
      <c r="E98" s="3">
        <v>62.452229899999999</v>
      </c>
      <c r="F98" s="3">
        <v>62.2649835</v>
      </c>
      <c r="G98" s="3">
        <v>62.0777371</v>
      </c>
      <c r="H98" s="3">
        <v>61.890490700000001</v>
      </c>
      <c r="I98" s="3">
        <v>61.703244300000001</v>
      </c>
      <c r="J98" s="3">
        <v>61.515997900000002</v>
      </c>
      <c r="K98" s="3">
        <v>61.328751500000003</v>
      </c>
      <c r="L98" s="3">
        <v>61.141505000000002</v>
      </c>
      <c r="M98" s="3">
        <v>60.954258600000003</v>
      </c>
      <c r="N98" s="3">
        <v>60.767012200000003</v>
      </c>
      <c r="O98" s="3">
        <v>60.579765799999997</v>
      </c>
      <c r="P98" s="3">
        <v>60.398516399999998</v>
      </c>
      <c r="Q98" s="3">
        <v>60.217267</v>
      </c>
      <c r="R98" s="3">
        <v>60.0360175</v>
      </c>
      <c r="S98" s="3">
        <v>59.854768100000001</v>
      </c>
      <c r="T98" s="3">
        <v>59.673518600000001</v>
      </c>
      <c r="U98" s="3">
        <v>59.492269200000003</v>
      </c>
      <c r="V98" s="3">
        <v>59.311019799999997</v>
      </c>
      <c r="W98" s="3">
        <v>59.129770299999997</v>
      </c>
      <c r="X98" s="3">
        <v>58.948520899999998</v>
      </c>
      <c r="Y98" s="3">
        <v>58.767271399999998</v>
      </c>
      <c r="Z98" s="3">
        <v>58.567718300000003</v>
      </c>
      <c r="AA98" s="3">
        <v>58.3681652</v>
      </c>
      <c r="AB98" s="3">
        <v>58.168612000000003</v>
      </c>
      <c r="AC98" s="3">
        <v>57.9690589</v>
      </c>
      <c r="AD98" s="3">
        <v>57.769505799999997</v>
      </c>
      <c r="AE98" s="3">
        <v>57.583787600000001</v>
      </c>
      <c r="AF98" s="3">
        <v>57.3966396</v>
      </c>
      <c r="AG98" s="3">
        <v>57.209402099999998</v>
      </c>
      <c r="AH98" s="3">
        <v>57.022164600000004</v>
      </c>
      <c r="AI98" s="3">
        <v>56.834927200000003</v>
      </c>
      <c r="AJ98" s="4">
        <f t="shared" si="1"/>
        <v>-5.6173026999999962</v>
      </c>
    </row>
    <row r="99" spans="1:36" ht="14.4" x14ac:dyDescent="0.3">
      <c r="A99" s="1" t="s">
        <v>201</v>
      </c>
      <c r="B99" s="1" t="s">
        <v>202</v>
      </c>
      <c r="C99" s="1" t="s">
        <v>7</v>
      </c>
      <c r="D99" s="1" t="s">
        <v>8</v>
      </c>
      <c r="E99" s="3">
        <v>34.041646200000002</v>
      </c>
      <c r="F99" s="3">
        <v>33.877745900000001</v>
      </c>
      <c r="G99" s="3">
        <v>33.709502100000002</v>
      </c>
      <c r="H99" s="3">
        <v>33.645104799999999</v>
      </c>
      <c r="I99" s="3">
        <v>33.478067600000003</v>
      </c>
      <c r="J99" s="3">
        <v>33.311030299999999</v>
      </c>
      <c r="K99" s="3">
        <v>33.143993000000002</v>
      </c>
      <c r="L99" s="3">
        <v>32.976955799999999</v>
      </c>
      <c r="M99" s="3">
        <v>32.809918500000002</v>
      </c>
      <c r="N99" s="3">
        <v>32.642881299999999</v>
      </c>
      <c r="O99" s="3">
        <v>29.517116699999999</v>
      </c>
      <c r="P99" s="3">
        <v>32.3266524</v>
      </c>
      <c r="Q99" s="3">
        <v>32.177460799999999</v>
      </c>
      <c r="R99" s="3">
        <v>32.028269100000003</v>
      </c>
      <c r="S99" s="3">
        <v>31.643696899999998</v>
      </c>
      <c r="T99" s="3">
        <v>31.495510700000001</v>
      </c>
      <c r="U99" s="3">
        <v>31.3474273</v>
      </c>
      <c r="V99" s="3">
        <v>31.199385800000002</v>
      </c>
      <c r="W99" s="3">
        <v>31.051323</v>
      </c>
      <c r="X99" s="3">
        <v>30.903234900000001</v>
      </c>
      <c r="Y99" s="3">
        <v>27.940891199999999</v>
      </c>
      <c r="Z99" s="3">
        <v>28.6879068</v>
      </c>
      <c r="AA99" s="3">
        <v>28.523002999999999</v>
      </c>
      <c r="AB99" s="3">
        <v>28.358099299999999</v>
      </c>
      <c r="AC99" s="3">
        <v>28.193228300000001</v>
      </c>
      <c r="AD99" s="3">
        <v>28.0282619</v>
      </c>
      <c r="AE99" s="3">
        <v>27.850394900000001</v>
      </c>
      <c r="AF99" s="3">
        <v>27.677600399999999</v>
      </c>
      <c r="AG99" s="3">
        <v>27.505935099999999</v>
      </c>
      <c r="AH99" s="3">
        <v>27.3315506</v>
      </c>
      <c r="AI99" s="3">
        <v>27.160220599999999</v>
      </c>
      <c r="AJ99" s="4">
        <f t="shared" si="1"/>
        <v>-6.8814256000000036</v>
      </c>
    </row>
    <row r="100" spans="1:36" ht="14.4" x14ac:dyDescent="0.3">
      <c r="A100" s="1" t="s">
        <v>203</v>
      </c>
      <c r="B100" s="1" t="s">
        <v>204</v>
      </c>
      <c r="C100" s="1" t="s">
        <v>7</v>
      </c>
      <c r="D100" s="1" t="s">
        <v>8</v>
      </c>
      <c r="E100" s="3">
        <v>33.088892899999998</v>
      </c>
      <c r="F100" s="3">
        <v>33.088892899999998</v>
      </c>
      <c r="G100" s="3">
        <v>33.214094099999997</v>
      </c>
      <c r="H100" s="3">
        <v>33.2766947</v>
      </c>
      <c r="I100" s="3">
        <v>33.339295300000003</v>
      </c>
      <c r="J100" s="3">
        <v>33.4018959</v>
      </c>
      <c r="K100" s="3">
        <v>33.422650900000001</v>
      </c>
      <c r="L100" s="3">
        <v>33.4851733</v>
      </c>
      <c r="M100" s="3">
        <v>33.589697700000002</v>
      </c>
      <c r="N100" s="3">
        <v>33.652298299999998</v>
      </c>
      <c r="O100" s="3">
        <v>33.714898900000001</v>
      </c>
      <c r="P100" s="3">
        <v>33.777499599999999</v>
      </c>
      <c r="Q100" s="3">
        <v>33.840100200000002</v>
      </c>
      <c r="R100" s="3">
        <v>33.902700799999998</v>
      </c>
      <c r="S100" s="3">
        <v>33.934953499999999</v>
      </c>
      <c r="T100" s="3">
        <v>33.997498200000003</v>
      </c>
      <c r="U100" s="3">
        <v>34.060042899999999</v>
      </c>
      <c r="V100" s="3">
        <v>34.122587600000003</v>
      </c>
      <c r="W100" s="3">
        <v>34.185132199999998</v>
      </c>
      <c r="X100" s="3">
        <v>34.247676900000002</v>
      </c>
      <c r="Y100" s="3">
        <v>34.310221599999998</v>
      </c>
      <c r="Z100" s="3">
        <v>34.317369499999998</v>
      </c>
      <c r="AA100" s="3">
        <v>34.324517499999999</v>
      </c>
      <c r="AB100" s="3">
        <v>34.3316655</v>
      </c>
      <c r="AC100" s="3">
        <v>33.956529400000001</v>
      </c>
      <c r="AD100" s="3">
        <v>33.963597800000002</v>
      </c>
      <c r="AE100" s="3">
        <v>34.001063799999997</v>
      </c>
      <c r="AF100" s="3">
        <v>34.133387499999998</v>
      </c>
      <c r="AG100" s="3">
        <v>34.177593199999997</v>
      </c>
      <c r="AH100" s="3">
        <v>34.221770599999999</v>
      </c>
      <c r="AI100" s="3">
        <v>34.265948000000002</v>
      </c>
      <c r="AJ100" s="4">
        <f t="shared" si="1"/>
        <v>1.177055100000004</v>
      </c>
    </row>
    <row r="101" spans="1:36" ht="14.4" x14ac:dyDescent="0.3">
      <c r="A101" s="1" t="s">
        <v>205</v>
      </c>
      <c r="B101" s="1" t="s">
        <v>206</v>
      </c>
      <c r="C101" s="1" t="s">
        <v>7</v>
      </c>
      <c r="D101" s="1" t="s">
        <v>8</v>
      </c>
      <c r="E101" s="3">
        <v>13.894049300000001</v>
      </c>
      <c r="F101" s="3">
        <v>13.8858128</v>
      </c>
      <c r="G101" s="3">
        <v>13.8775762</v>
      </c>
      <c r="H101" s="3">
        <v>13.8693396</v>
      </c>
      <c r="I101" s="3">
        <v>13.861103</v>
      </c>
      <c r="J101" s="3">
        <v>13.852866499999999</v>
      </c>
      <c r="K101" s="3">
        <v>13.844629899999999</v>
      </c>
      <c r="L101" s="3">
        <v>13.836393299999999</v>
      </c>
      <c r="M101" s="3">
        <v>13.828156699999999</v>
      </c>
      <c r="N101" s="3">
        <v>13.8199202</v>
      </c>
      <c r="O101" s="3">
        <v>13.8116836</v>
      </c>
      <c r="P101" s="3">
        <v>13.803447</v>
      </c>
      <c r="Q101" s="3">
        <v>13.7952104</v>
      </c>
      <c r="R101" s="3">
        <v>13.7869739</v>
      </c>
      <c r="S101" s="3">
        <v>13.7787373</v>
      </c>
      <c r="T101" s="3">
        <v>13.770500699999999</v>
      </c>
      <c r="U101" s="3">
        <v>13.762264200000001</v>
      </c>
      <c r="V101" s="3">
        <v>13.754027600000001</v>
      </c>
      <c r="W101" s="3">
        <v>13.745791000000001</v>
      </c>
      <c r="X101" s="3">
        <v>13.7375544</v>
      </c>
      <c r="Y101" s="3">
        <v>13.7293179</v>
      </c>
      <c r="Z101" s="3">
        <v>13.616618300000001</v>
      </c>
      <c r="AA101" s="3">
        <v>13.5039187</v>
      </c>
      <c r="AB101" s="3">
        <v>13.3912192</v>
      </c>
      <c r="AC101" s="3">
        <v>13.278519599999999</v>
      </c>
      <c r="AD101" s="3">
        <v>13.16582</v>
      </c>
      <c r="AE101" s="3">
        <v>13.0529753</v>
      </c>
      <c r="AF101" s="3">
        <v>12.9401306</v>
      </c>
      <c r="AG101" s="3">
        <v>12.8272859</v>
      </c>
      <c r="AH101" s="3">
        <v>12.7144412</v>
      </c>
      <c r="AI101" s="3">
        <v>12.601596499999999</v>
      </c>
      <c r="AJ101" s="4">
        <f t="shared" si="1"/>
        <v>-1.2924528000000013</v>
      </c>
    </row>
    <row r="102" spans="1:36" ht="14.4" x14ac:dyDescent="0.3">
      <c r="A102" s="1" t="s">
        <v>207</v>
      </c>
      <c r="B102" s="1" t="s">
        <v>208</v>
      </c>
      <c r="C102" s="1" t="s">
        <v>7</v>
      </c>
      <c r="D102" s="1" t="s">
        <v>8</v>
      </c>
      <c r="E102" s="3">
        <v>20.183598499999999</v>
      </c>
      <c r="F102" s="3">
        <v>20.3029598</v>
      </c>
      <c r="G102" s="3">
        <v>20.422321100000001</v>
      </c>
      <c r="H102" s="3">
        <v>20.543968400000001</v>
      </c>
      <c r="I102" s="3">
        <v>20.663343000000001</v>
      </c>
      <c r="J102" s="3">
        <v>20.782717600000002</v>
      </c>
      <c r="K102" s="3">
        <v>20.902092100000001</v>
      </c>
      <c r="L102" s="3">
        <v>21.035512199999999</v>
      </c>
      <c r="M102" s="3">
        <v>21.154966600000002</v>
      </c>
      <c r="N102" s="3">
        <v>21.274420899999999</v>
      </c>
      <c r="O102" s="3">
        <v>21.436844499999999</v>
      </c>
      <c r="P102" s="3">
        <v>21.576567699999998</v>
      </c>
      <c r="Q102" s="3">
        <v>21.716290999999998</v>
      </c>
      <c r="R102" s="3">
        <v>21.856014299999998</v>
      </c>
      <c r="S102" s="3">
        <v>21.995737599999998</v>
      </c>
      <c r="T102" s="3">
        <v>22.137930999999998</v>
      </c>
      <c r="U102" s="3">
        <v>22.277669899999999</v>
      </c>
      <c r="V102" s="3">
        <v>22.4174088</v>
      </c>
      <c r="W102" s="3">
        <v>22.5571476</v>
      </c>
      <c r="X102" s="3">
        <v>22.4662322</v>
      </c>
      <c r="Y102" s="3">
        <v>22.604551000000001</v>
      </c>
      <c r="Z102" s="3">
        <v>22.6364299</v>
      </c>
      <c r="AA102" s="3">
        <v>22.668308799999998</v>
      </c>
      <c r="AB102" s="3">
        <v>22.700187799999998</v>
      </c>
      <c r="AC102" s="3">
        <v>22.5502301</v>
      </c>
      <c r="AD102" s="3">
        <v>22.581854</v>
      </c>
      <c r="AE102" s="3">
        <v>22.558952399999999</v>
      </c>
      <c r="AF102" s="3">
        <v>22.5429542</v>
      </c>
      <c r="AG102" s="3">
        <v>22.528161300000001</v>
      </c>
      <c r="AH102" s="3">
        <v>22.512272599999999</v>
      </c>
      <c r="AI102" s="3">
        <v>22.496274400000001</v>
      </c>
      <c r="AJ102" s="4">
        <f t="shared" si="1"/>
        <v>2.3126759000000021</v>
      </c>
    </row>
    <row r="103" spans="1:36" ht="14.4" x14ac:dyDescent="0.3">
      <c r="A103" s="1" t="s">
        <v>209</v>
      </c>
      <c r="B103" s="1" t="s">
        <v>210</v>
      </c>
      <c r="C103" s="1" t="s">
        <v>7</v>
      </c>
      <c r="D103" s="1" t="s">
        <v>8</v>
      </c>
      <c r="E103" s="3">
        <v>35.224688200000003</v>
      </c>
      <c r="F103" s="3">
        <v>35.155571299999998</v>
      </c>
      <c r="G103" s="3">
        <v>35.084282799999997</v>
      </c>
      <c r="H103" s="3">
        <v>35.016901699999998</v>
      </c>
      <c r="I103" s="3">
        <v>34.950064599999997</v>
      </c>
      <c r="J103" s="3">
        <v>34.882295399999997</v>
      </c>
      <c r="K103" s="3">
        <v>34.813246700000001</v>
      </c>
      <c r="L103" s="3">
        <v>34.743698500000001</v>
      </c>
      <c r="M103" s="3">
        <v>34.6871692</v>
      </c>
      <c r="N103" s="3">
        <v>34.614608699999998</v>
      </c>
      <c r="O103" s="3">
        <v>34.555672199999997</v>
      </c>
      <c r="P103" s="3">
        <v>34.518104899999997</v>
      </c>
      <c r="Q103" s="3">
        <v>34.480721799999998</v>
      </c>
      <c r="R103" s="3">
        <v>34.4427065</v>
      </c>
      <c r="S103" s="3">
        <v>34.404275400000003</v>
      </c>
      <c r="T103" s="3">
        <v>34.3660207</v>
      </c>
      <c r="U103" s="3">
        <v>34.333175599999997</v>
      </c>
      <c r="V103" s="3">
        <v>34.295763800000003</v>
      </c>
      <c r="W103" s="3">
        <v>34.258614199999997</v>
      </c>
      <c r="X103" s="3">
        <v>34.222245700000002</v>
      </c>
      <c r="Y103" s="3">
        <v>34.184632999999998</v>
      </c>
      <c r="Z103" s="3">
        <v>34.159151700000002</v>
      </c>
      <c r="AA103" s="3">
        <v>34.133782099999998</v>
      </c>
      <c r="AB103" s="3">
        <v>34.108423299999998</v>
      </c>
      <c r="AC103" s="3">
        <v>34.082751600000002</v>
      </c>
      <c r="AD103" s="3">
        <v>34.055926499999998</v>
      </c>
      <c r="AE103" s="3">
        <v>34.0179434</v>
      </c>
      <c r="AF103" s="3">
        <v>33.977203000000003</v>
      </c>
      <c r="AG103" s="3">
        <v>33.960785799999996</v>
      </c>
      <c r="AH103" s="3">
        <v>33.942126500000001</v>
      </c>
      <c r="AI103" s="3">
        <v>33.925050800000001</v>
      </c>
      <c r="AJ103" s="4">
        <f t="shared" si="1"/>
        <v>-1.2996374000000017</v>
      </c>
    </row>
    <row r="104" spans="1:36" ht="14.4" x14ac:dyDescent="0.3">
      <c r="A104" s="1" t="s">
        <v>211</v>
      </c>
      <c r="B104" s="1" t="s">
        <v>212</v>
      </c>
      <c r="C104" s="1" t="s">
        <v>7</v>
      </c>
      <c r="D104" s="1" t="s">
        <v>8</v>
      </c>
      <c r="E104" s="3">
        <v>34.369060900000001</v>
      </c>
      <c r="F104" s="3">
        <v>34.333291799999998</v>
      </c>
      <c r="G104" s="3">
        <v>34.241726999999997</v>
      </c>
      <c r="H104" s="3">
        <v>34.1746713</v>
      </c>
      <c r="I104" s="3">
        <v>34.090878699999998</v>
      </c>
      <c r="J104" s="3">
        <v>34.003860500000002</v>
      </c>
      <c r="K104" s="3">
        <v>33.915892900000003</v>
      </c>
      <c r="L104" s="3">
        <v>33.8275553</v>
      </c>
      <c r="M104" s="3">
        <v>33.748851999999999</v>
      </c>
      <c r="N104" s="3">
        <v>33.6582814</v>
      </c>
      <c r="O104" s="3">
        <v>32.938156200000002</v>
      </c>
      <c r="P104" s="3">
        <v>33.5167529</v>
      </c>
      <c r="Q104" s="3">
        <v>33.4559845</v>
      </c>
      <c r="R104" s="3">
        <v>33.394817099999997</v>
      </c>
      <c r="S104" s="3">
        <v>33.287843000000002</v>
      </c>
      <c r="T104" s="3">
        <v>33.226517100000002</v>
      </c>
      <c r="U104" s="3">
        <v>33.169191699999999</v>
      </c>
      <c r="V104" s="3">
        <v>33.108485799999997</v>
      </c>
      <c r="W104" s="3">
        <v>33.0480631</v>
      </c>
      <c r="X104" s="3">
        <v>32.988135800000002</v>
      </c>
      <c r="Y104" s="3">
        <v>32.285016900000002</v>
      </c>
      <c r="Z104" s="3">
        <v>32.3001681</v>
      </c>
      <c r="AA104" s="3">
        <v>32.240955300000003</v>
      </c>
      <c r="AB104" s="3">
        <v>32.181725100000001</v>
      </c>
      <c r="AC104" s="3">
        <v>32.122658299999998</v>
      </c>
      <c r="AD104" s="3">
        <v>32.057292500000003</v>
      </c>
      <c r="AE104" s="3">
        <v>31.990198599999999</v>
      </c>
      <c r="AF104" s="3">
        <v>31.921002900000001</v>
      </c>
      <c r="AG104" s="3">
        <v>31.8696457</v>
      </c>
      <c r="AH104" s="3">
        <v>31.815565899999999</v>
      </c>
      <c r="AI104" s="3">
        <v>31.7630713</v>
      </c>
      <c r="AJ104" s="4">
        <f t="shared" si="1"/>
        <v>-2.6059896000000009</v>
      </c>
    </row>
    <row r="105" spans="1:36" ht="14.4" x14ac:dyDescent="0.3">
      <c r="A105" s="1" t="s">
        <v>213</v>
      </c>
      <c r="B105" s="1" t="s">
        <v>214</v>
      </c>
      <c r="C105" s="1" t="s">
        <v>7</v>
      </c>
      <c r="D105" s="1" t="s">
        <v>8</v>
      </c>
      <c r="E105" s="3">
        <v>31.663482500000001</v>
      </c>
      <c r="F105" s="3">
        <v>31.7332435</v>
      </c>
      <c r="G105" s="3">
        <v>31.577565100000001</v>
      </c>
      <c r="H105" s="3">
        <v>31.4996546</v>
      </c>
      <c r="I105" s="3">
        <v>31.3613496</v>
      </c>
      <c r="J105" s="3">
        <v>31.213294699999999</v>
      </c>
      <c r="K105" s="3">
        <v>31.065239699999999</v>
      </c>
      <c r="L105" s="3">
        <v>30.917184800000001</v>
      </c>
      <c r="M105" s="3">
        <v>30.769129800000002</v>
      </c>
      <c r="N105" s="3">
        <v>30.621074799999999</v>
      </c>
      <c r="O105" s="3">
        <v>28.315550399999999</v>
      </c>
      <c r="P105" s="3">
        <v>30.337608599999999</v>
      </c>
      <c r="Q105" s="3">
        <v>30.202674200000001</v>
      </c>
      <c r="R105" s="3">
        <v>30.067995199999999</v>
      </c>
      <c r="S105" s="3">
        <v>29.7634711</v>
      </c>
      <c r="T105" s="3">
        <v>29.629308699999999</v>
      </c>
      <c r="U105" s="3">
        <v>29.494919199999998</v>
      </c>
      <c r="V105" s="3">
        <v>29.360706100000002</v>
      </c>
      <c r="W105" s="3">
        <v>29.2268288</v>
      </c>
      <c r="X105" s="3">
        <v>29.092671899999999</v>
      </c>
      <c r="Y105" s="3">
        <v>26.884750400000001</v>
      </c>
      <c r="Z105" s="3">
        <v>27.0154569</v>
      </c>
      <c r="AA105" s="3">
        <v>26.860016300000002</v>
      </c>
      <c r="AB105" s="3">
        <v>26.704495099999999</v>
      </c>
      <c r="AC105" s="3">
        <v>26.550186100000001</v>
      </c>
      <c r="AD105" s="3">
        <v>26.3784864</v>
      </c>
      <c r="AE105" s="3">
        <v>26.2233099</v>
      </c>
      <c r="AF105" s="3">
        <v>26.073112500000001</v>
      </c>
      <c r="AG105" s="3">
        <v>25.922368800000001</v>
      </c>
      <c r="AH105" s="3">
        <v>25.767553599999999</v>
      </c>
      <c r="AI105" s="3">
        <v>25.614326500000001</v>
      </c>
      <c r="AJ105" s="4">
        <f t="shared" si="1"/>
        <v>-6.049156</v>
      </c>
    </row>
    <row r="106" spans="1:36" ht="14.4" x14ac:dyDescent="0.3">
      <c r="A106" s="1" t="s">
        <v>215</v>
      </c>
      <c r="B106" s="1" t="s">
        <v>216</v>
      </c>
      <c r="C106" s="1" t="s">
        <v>7</v>
      </c>
      <c r="D106" s="1" t="s">
        <v>8</v>
      </c>
      <c r="E106" s="3">
        <v>31.0458304</v>
      </c>
      <c r="F106" s="3">
        <v>32.073096700000001</v>
      </c>
      <c r="G106" s="3">
        <v>31.897612599999999</v>
      </c>
      <c r="H106" s="3">
        <v>31.826129900000002</v>
      </c>
      <c r="I106" s="3">
        <v>31.754647200000001</v>
      </c>
      <c r="J106" s="3">
        <v>31.683164600000001</v>
      </c>
      <c r="K106" s="3">
        <v>31.611681900000001</v>
      </c>
      <c r="L106" s="3">
        <v>31.5401992</v>
      </c>
      <c r="M106" s="3">
        <v>31.468716499999999</v>
      </c>
      <c r="N106" s="3">
        <v>31.397233799999999</v>
      </c>
      <c r="O106" s="3">
        <v>31.325751100000002</v>
      </c>
      <c r="P106" s="3">
        <v>31.249571700000001</v>
      </c>
      <c r="Q106" s="3">
        <v>31.1733923</v>
      </c>
      <c r="R106" s="3">
        <v>31.097212800000001</v>
      </c>
      <c r="S106" s="3">
        <v>31.0210334</v>
      </c>
      <c r="T106" s="3">
        <v>30.944853899999998</v>
      </c>
      <c r="U106" s="3">
        <v>30.868674500000001</v>
      </c>
      <c r="V106" s="3">
        <v>30.792494999999999</v>
      </c>
      <c r="W106" s="3">
        <v>30.716315600000001</v>
      </c>
      <c r="X106" s="3">
        <v>30.640136099999999</v>
      </c>
      <c r="Y106" s="3">
        <v>30.563956699999999</v>
      </c>
      <c r="Z106" s="3">
        <v>30.492151100000001</v>
      </c>
      <c r="AA106" s="3">
        <v>30.420345600000001</v>
      </c>
      <c r="AB106" s="3">
        <v>30.348540100000001</v>
      </c>
      <c r="AC106" s="3">
        <v>30.276734600000001</v>
      </c>
      <c r="AD106" s="3">
        <v>30.1002793</v>
      </c>
      <c r="AE106" s="3">
        <v>30.030912600000001</v>
      </c>
      <c r="AF106" s="3">
        <v>29.969809000000001</v>
      </c>
      <c r="AG106" s="3">
        <v>29.9028469</v>
      </c>
      <c r="AH106" s="3">
        <v>29.8289917</v>
      </c>
      <c r="AI106" s="3">
        <v>29.755136499999999</v>
      </c>
      <c r="AJ106" s="4">
        <f t="shared" si="1"/>
        <v>-1.2906939000000008</v>
      </c>
    </row>
    <row r="107" spans="1:36" ht="14.4" x14ac:dyDescent="0.3">
      <c r="A107" s="1" t="s">
        <v>217</v>
      </c>
      <c r="B107" s="1" t="s">
        <v>218</v>
      </c>
      <c r="C107" s="1" t="s">
        <v>7</v>
      </c>
      <c r="D107" s="1" t="s">
        <v>8</v>
      </c>
      <c r="E107" s="3">
        <v>65.437714200000002</v>
      </c>
      <c r="F107" s="3">
        <v>64.4846735</v>
      </c>
      <c r="G107" s="3">
        <v>63.531632799999997</v>
      </c>
      <c r="H107" s="3">
        <v>62.578592</v>
      </c>
      <c r="I107" s="3">
        <v>61.625551299999998</v>
      </c>
      <c r="J107" s="3">
        <v>60.672510600000003</v>
      </c>
      <c r="K107" s="3">
        <v>59.7194699</v>
      </c>
      <c r="L107" s="3">
        <v>58.766429100000003</v>
      </c>
      <c r="M107" s="3">
        <v>57.813388400000001</v>
      </c>
      <c r="N107" s="3">
        <v>56.860347699999998</v>
      </c>
      <c r="O107" s="3">
        <v>55.907306900000002</v>
      </c>
      <c r="P107" s="3">
        <v>55.817837599999997</v>
      </c>
      <c r="Q107" s="3">
        <v>55.728368199999998</v>
      </c>
      <c r="R107" s="3">
        <v>55.638898900000001</v>
      </c>
      <c r="S107" s="3">
        <v>55.549429500000002</v>
      </c>
      <c r="T107" s="3">
        <v>55.459960100000004</v>
      </c>
      <c r="U107" s="3">
        <v>55.370490799999999</v>
      </c>
      <c r="V107" s="3">
        <v>55.2810214</v>
      </c>
      <c r="W107" s="3">
        <v>55.191552100000003</v>
      </c>
      <c r="X107" s="3">
        <v>55.102082699999997</v>
      </c>
      <c r="Y107" s="3">
        <v>55.012613399999999</v>
      </c>
      <c r="Z107" s="3">
        <v>54.501311000000001</v>
      </c>
      <c r="AA107" s="3">
        <v>53.990008699999997</v>
      </c>
      <c r="AB107" s="3">
        <v>53.478706299999999</v>
      </c>
      <c r="AC107" s="3">
        <v>52.967404000000002</v>
      </c>
      <c r="AD107" s="3">
        <v>52.456101599999997</v>
      </c>
      <c r="AE107" s="3">
        <v>50.743454499999999</v>
      </c>
      <c r="AF107" s="3">
        <v>50.039333800000001</v>
      </c>
      <c r="AG107" s="3">
        <v>49.716817800000001</v>
      </c>
      <c r="AH107" s="3">
        <v>49.394296400000002</v>
      </c>
      <c r="AI107" s="3">
        <v>49.071780400000002</v>
      </c>
      <c r="AJ107" s="4">
        <f t="shared" si="1"/>
        <v>-16.365933800000001</v>
      </c>
    </row>
    <row r="108" spans="1:36" ht="14.4" x14ac:dyDescent="0.3">
      <c r="A108" s="1" t="s">
        <v>219</v>
      </c>
      <c r="B108" s="1" t="s">
        <v>220</v>
      </c>
      <c r="C108" s="1" t="s">
        <v>7</v>
      </c>
      <c r="D108" s="1" t="s">
        <v>8</v>
      </c>
      <c r="E108" s="3">
        <v>31.812551899999999</v>
      </c>
      <c r="F108" s="3">
        <v>31.6512244</v>
      </c>
      <c r="G108" s="3">
        <v>31.500325799999999</v>
      </c>
      <c r="H108" s="3">
        <v>31.420421999999999</v>
      </c>
      <c r="I108" s="3">
        <v>31.265863299999999</v>
      </c>
      <c r="J108" s="3">
        <v>31.099217800000002</v>
      </c>
      <c r="K108" s="3">
        <v>30.9325723</v>
      </c>
      <c r="L108" s="3">
        <v>30.765926799999999</v>
      </c>
      <c r="M108" s="3">
        <v>30.599281300000001</v>
      </c>
      <c r="N108" s="3">
        <v>30.4326358</v>
      </c>
      <c r="O108" s="3">
        <v>27.6732871</v>
      </c>
      <c r="P108" s="3">
        <v>30.1162028</v>
      </c>
      <c r="Q108" s="3">
        <v>29.967003900000002</v>
      </c>
      <c r="R108" s="3">
        <v>29.818119800000002</v>
      </c>
      <c r="S108" s="3">
        <v>29.460304600000001</v>
      </c>
      <c r="T108" s="3">
        <v>29.3121638</v>
      </c>
      <c r="U108" s="3">
        <v>29.163744399999999</v>
      </c>
      <c r="V108" s="3">
        <v>29.015541599999999</v>
      </c>
      <c r="W108" s="3">
        <v>28.8677505</v>
      </c>
      <c r="X108" s="3">
        <v>28.7196164</v>
      </c>
      <c r="Y108" s="3">
        <v>26.104617099999999</v>
      </c>
      <c r="Z108" s="3">
        <v>26.278272399999999</v>
      </c>
      <c r="AA108" s="3">
        <v>26.105093100000001</v>
      </c>
      <c r="AB108" s="3">
        <v>25.931818700000001</v>
      </c>
      <c r="AC108" s="3">
        <v>25.759969600000002</v>
      </c>
      <c r="AD108" s="3">
        <v>25.586536500000001</v>
      </c>
      <c r="AE108" s="3">
        <v>25.4130988</v>
      </c>
      <c r="AF108" s="3">
        <v>25.243930800000001</v>
      </c>
      <c r="AG108" s="3">
        <v>25.075365099999999</v>
      </c>
      <c r="AH108" s="3">
        <v>24.9033224</v>
      </c>
      <c r="AI108" s="3">
        <v>24.733205900000002</v>
      </c>
      <c r="AJ108" s="4">
        <f t="shared" si="1"/>
        <v>-7.0793459999999975</v>
      </c>
    </row>
    <row r="109" spans="1:36" ht="14.4" x14ac:dyDescent="0.3">
      <c r="A109" s="1" t="s">
        <v>221</v>
      </c>
      <c r="B109" s="1" t="s">
        <v>222</v>
      </c>
      <c r="C109" s="1" t="s">
        <v>7</v>
      </c>
      <c r="D109" s="1" t="s">
        <v>8</v>
      </c>
      <c r="E109" s="3">
        <v>6.0701754399999999</v>
      </c>
      <c r="F109" s="3">
        <v>6.0701754399999999</v>
      </c>
      <c r="G109" s="3">
        <v>6.0701754399999999</v>
      </c>
      <c r="H109" s="3">
        <v>6.0701754399999999</v>
      </c>
      <c r="I109" s="3">
        <v>6.0701754399999999</v>
      </c>
      <c r="J109" s="3">
        <v>6.0701754399999999</v>
      </c>
      <c r="K109" s="3">
        <v>6.0701754399999999</v>
      </c>
      <c r="L109" s="3">
        <v>6.0701754399999999</v>
      </c>
      <c r="M109" s="3">
        <v>6.0701754399999999</v>
      </c>
      <c r="N109" s="3">
        <v>6.0701754399999999</v>
      </c>
      <c r="O109" s="3">
        <v>6.0701754399999999</v>
      </c>
      <c r="P109" s="3">
        <v>6.0701754399999999</v>
      </c>
      <c r="Q109" s="3">
        <v>6.0701754399999999</v>
      </c>
      <c r="R109" s="3">
        <v>6.0701754399999999</v>
      </c>
      <c r="S109" s="3">
        <v>6.0701754399999999</v>
      </c>
      <c r="T109" s="3">
        <v>6.0701754399999999</v>
      </c>
      <c r="U109" s="3">
        <v>6.0701754399999999</v>
      </c>
      <c r="V109" s="3">
        <v>6.0701754399999999</v>
      </c>
      <c r="W109" s="3">
        <v>6.0701754399999999</v>
      </c>
      <c r="X109" s="3">
        <v>6.0701754399999999</v>
      </c>
      <c r="Y109" s="3">
        <v>6.0701754399999999</v>
      </c>
      <c r="Z109" s="3">
        <v>6.0701754399999999</v>
      </c>
      <c r="AA109" s="3">
        <v>6.0701754399999999</v>
      </c>
      <c r="AB109" s="3">
        <v>6.0701754399999999</v>
      </c>
      <c r="AC109" s="3">
        <v>6.0701754399999999</v>
      </c>
      <c r="AD109" s="3">
        <v>6.0701754399999999</v>
      </c>
      <c r="AE109" s="3">
        <v>6.0701754399999999</v>
      </c>
      <c r="AF109" s="3">
        <v>6.0701754399999999</v>
      </c>
      <c r="AG109" s="3">
        <v>6.0701754399999999</v>
      </c>
      <c r="AH109" s="3">
        <v>6.0701754399999999</v>
      </c>
      <c r="AI109" s="3">
        <v>6.0701754399999999</v>
      </c>
      <c r="AJ109" s="4">
        <f t="shared" si="1"/>
        <v>0</v>
      </c>
    </row>
    <row r="110" spans="1:36" ht="14.4" x14ac:dyDescent="0.3">
      <c r="A110" s="1" t="s">
        <v>223</v>
      </c>
      <c r="B110" s="1" t="s">
        <v>224</v>
      </c>
      <c r="C110" s="1" t="s">
        <v>7</v>
      </c>
      <c r="D110" s="1" t="s">
        <v>8</v>
      </c>
      <c r="E110" s="3">
        <v>21.504848299999999</v>
      </c>
      <c r="F110" s="3">
        <v>21.627713</v>
      </c>
      <c r="G110" s="3">
        <v>21.750577700000001</v>
      </c>
      <c r="H110" s="3">
        <v>21.873442300000001</v>
      </c>
      <c r="I110" s="3">
        <v>21.996307000000002</v>
      </c>
      <c r="J110" s="3">
        <v>22.119171699999999</v>
      </c>
      <c r="K110" s="3">
        <v>22.242036299999999</v>
      </c>
      <c r="L110" s="3">
        <v>22.364901</v>
      </c>
      <c r="M110" s="3">
        <v>22.487765700000001</v>
      </c>
      <c r="N110" s="3">
        <v>22.6106303</v>
      </c>
      <c r="O110" s="3">
        <v>22.733495000000001</v>
      </c>
      <c r="P110" s="3">
        <v>22.797567600000001</v>
      </c>
      <c r="Q110" s="3">
        <v>22.8616402</v>
      </c>
      <c r="R110" s="3">
        <v>22.925712799999999</v>
      </c>
      <c r="S110" s="3">
        <v>22.989785399999999</v>
      </c>
      <c r="T110" s="3">
        <v>23.053858000000002</v>
      </c>
      <c r="U110" s="3">
        <v>23.117930600000001</v>
      </c>
      <c r="V110" s="3">
        <v>23.1820032</v>
      </c>
      <c r="W110" s="3">
        <v>23.2460758</v>
      </c>
      <c r="X110" s="3">
        <v>23.310148399999999</v>
      </c>
      <c r="Y110" s="3">
        <v>23.374220999999999</v>
      </c>
      <c r="Z110" s="3">
        <v>23.4638217</v>
      </c>
      <c r="AA110" s="3">
        <v>23.553422399999999</v>
      </c>
      <c r="AB110" s="3">
        <v>23.643023199999998</v>
      </c>
      <c r="AC110" s="3">
        <v>23.7326239</v>
      </c>
      <c r="AD110" s="3">
        <v>23.822224599999998</v>
      </c>
      <c r="AE110" s="3">
        <v>23.9118253</v>
      </c>
      <c r="AF110" s="3">
        <v>24.0014261</v>
      </c>
      <c r="AG110" s="3">
        <v>24.091026800000002</v>
      </c>
      <c r="AH110" s="3">
        <v>24.1806275</v>
      </c>
      <c r="AI110" s="3">
        <v>24.270228299999999</v>
      </c>
      <c r="AJ110" s="4">
        <f t="shared" si="1"/>
        <v>2.7653800000000004</v>
      </c>
    </row>
    <row r="111" spans="1:36" ht="14.4" x14ac:dyDescent="0.3">
      <c r="A111" s="1" t="s">
        <v>225</v>
      </c>
      <c r="B111" s="1" t="s">
        <v>226</v>
      </c>
      <c r="C111" s="1" t="s">
        <v>7</v>
      </c>
      <c r="D111" s="1" t="s">
        <v>8</v>
      </c>
      <c r="E111" s="3">
        <v>6.7011177200000001</v>
      </c>
      <c r="F111" s="3">
        <v>6.9460299000000001</v>
      </c>
      <c r="G111" s="3">
        <v>7.1909420800000001</v>
      </c>
      <c r="H111" s="3">
        <v>7.4358542600000002</v>
      </c>
      <c r="I111" s="3">
        <v>7.6807664400000002</v>
      </c>
      <c r="J111" s="3">
        <v>7.9256786200000002</v>
      </c>
      <c r="K111" s="3">
        <v>8.1705907999999994</v>
      </c>
      <c r="L111" s="3">
        <v>8.4155029799999994</v>
      </c>
      <c r="M111" s="3">
        <v>8.6604151500000004</v>
      </c>
      <c r="N111" s="3">
        <v>8.9053273300000004</v>
      </c>
      <c r="O111" s="3">
        <v>9.1502395100000005</v>
      </c>
      <c r="P111" s="3">
        <v>9.2809115999999996</v>
      </c>
      <c r="Q111" s="3">
        <v>9.4115836799999997</v>
      </c>
      <c r="R111" s="3">
        <v>9.5422557700000006</v>
      </c>
      <c r="S111" s="3">
        <v>9.6729278599999997</v>
      </c>
      <c r="T111" s="3">
        <v>9.8035999399999998</v>
      </c>
      <c r="U111" s="3">
        <v>9.9342720300000007</v>
      </c>
      <c r="V111" s="3">
        <v>10.0649441</v>
      </c>
      <c r="W111" s="3">
        <v>10.1956162</v>
      </c>
      <c r="X111" s="3">
        <v>10.3262883</v>
      </c>
      <c r="Y111" s="3">
        <v>10.4569604</v>
      </c>
      <c r="Z111" s="3">
        <v>10.556510400000001</v>
      </c>
      <c r="AA111" s="3">
        <v>10.656060399999999</v>
      </c>
      <c r="AB111" s="3">
        <v>10.7556104</v>
      </c>
      <c r="AC111" s="3">
        <v>10.855160400000001</v>
      </c>
      <c r="AD111" s="3">
        <v>10.9547104</v>
      </c>
      <c r="AE111" s="3">
        <v>11.0661925</v>
      </c>
      <c r="AF111" s="3">
        <v>11.177529399999999</v>
      </c>
      <c r="AG111" s="3">
        <v>11.235593</v>
      </c>
      <c r="AH111" s="3">
        <v>11.2936566</v>
      </c>
      <c r="AI111" s="3">
        <v>11.3517201</v>
      </c>
      <c r="AJ111" s="4">
        <f t="shared" si="1"/>
        <v>4.6506023799999996</v>
      </c>
    </row>
    <row r="112" spans="1:36" ht="14.4" x14ac:dyDescent="0.3">
      <c r="A112" s="1" t="s">
        <v>227</v>
      </c>
      <c r="B112" s="1" t="s">
        <v>228</v>
      </c>
      <c r="C112" s="1" t="s">
        <v>7</v>
      </c>
      <c r="D112" s="1" t="s">
        <v>8</v>
      </c>
      <c r="E112" s="3">
        <v>5.5723740800000003</v>
      </c>
      <c r="F112" s="3">
        <v>5.5876986200000003</v>
      </c>
      <c r="G112" s="3">
        <v>5.6030231600000002</v>
      </c>
      <c r="H112" s="3">
        <v>5.6183477000000002</v>
      </c>
      <c r="I112" s="3">
        <v>5.6336722400000001</v>
      </c>
      <c r="J112" s="3">
        <v>5.6489967800000001</v>
      </c>
      <c r="K112" s="3">
        <v>5.66432132</v>
      </c>
      <c r="L112" s="3">
        <v>5.6796458699999999</v>
      </c>
      <c r="M112" s="3">
        <v>5.6949704099999998</v>
      </c>
      <c r="N112" s="3">
        <v>5.7102949499999998</v>
      </c>
      <c r="O112" s="3">
        <v>5.7256194899999997</v>
      </c>
      <c r="P112" s="3">
        <v>5.8095066199999996</v>
      </c>
      <c r="Q112" s="3">
        <v>5.8933937500000004</v>
      </c>
      <c r="R112" s="3">
        <v>5.9772808800000004</v>
      </c>
      <c r="S112" s="3">
        <v>6.0611680100000003</v>
      </c>
      <c r="T112" s="3">
        <v>6.1450551300000003</v>
      </c>
      <c r="U112" s="3">
        <v>6.2289422600000002</v>
      </c>
      <c r="V112" s="3">
        <v>6.3128293900000001</v>
      </c>
      <c r="W112" s="3">
        <v>6.39671652</v>
      </c>
      <c r="X112" s="3">
        <v>6.4806036499999999</v>
      </c>
      <c r="Y112" s="3">
        <v>6.5644907799999999</v>
      </c>
      <c r="Z112" s="3">
        <v>6.5644907799999999</v>
      </c>
      <c r="AA112" s="3">
        <v>6.5644907799999999</v>
      </c>
      <c r="AB112" s="3">
        <v>6.5644907799999999</v>
      </c>
      <c r="AC112" s="3">
        <v>6.5644907799999999</v>
      </c>
      <c r="AD112" s="3">
        <v>6.5644907799999999</v>
      </c>
      <c r="AE112" s="3">
        <v>6.5706918099999996</v>
      </c>
      <c r="AF112" s="3">
        <v>6.5759166499999999</v>
      </c>
      <c r="AG112" s="3">
        <v>6.5860102200000004</v>
      </c>
      <c r="AH112" s="3">
        <v>6.59610378</v>
      </c>
      <c r="AI112" s="3">
        <v>6.6012610799999996</v>
      </c>
      <c r="AJ112" s="4">
        <f t="shared" si="1"/>
        <v>1.0288869999999992</v>
      </c>
    </row>
    <row r="113" spans="1:36" ht="14.4" x14ac:dyDescent="0.3">
      <c r="A113" s="1" t="s">
        <v>229</v>
      </c>
      <c r="B113" s="1" t="s">
        <v>230</v>
      </c>
      <c r="C113" s="1" t="s">
        <v>7</v>
      </c>
      <c r="D113" s="1" t="s">
        <v>8</v>
      </c>
      <c r="E113" s="3">
        <v>1.83826051</v>
      </c>
      <c r="F113" s="3">
        <v>1.8414614600000001</v>
      </c>
      <c r="G113" s="3">
        <v>1.84466241</v>
      </c>
      <c r="H113" s="3">
        <v>1.84786337</v>
      </c>
      <c r="I113" s="3">
        <v>1.8510643200000001</v>
      </c>
      <c r="J113" s="3">
        <v>1.85426527</v>
      </c>
      <c r="K113" s="3">
        <v>1.8574662200000001</v>
      </c>
      <c r="L113" s="3">
        <v>1.8606671699999999</v>
      </c>
      <c r="M113" s="3">
        <v>1.86386812</v>
      </c>
      <c r="N113" s="3">
        <v>1.8670690700000001</v>
      </c>
      <c r="O113" s="3">
        <v>1.87027002</v>
      </c>
      <c r="P113" s="3">
        <v>1.8718705</v>
      </c>
      <c r="Q113" s="3">
        <v>1.8734709700000001</v>
      </c>
      <c r="R113" s="3">
        <v>1.8750714500000001</v>
      </c>
      <c r="S113" s="3">
        <v>1.8766719300000001</v>
      </c>
      <c r="T113" s="3">
        <v>1.8782724</v>
      </c>
      <c r="U113" s="3">
        <v>1.87987288</v>
      </c>
      <c r="V113" s="3">
        <v>1.88147335</v>
      </c>
      <c r="W113" s="3">
        <v>1.8830738300000001</v>
      </c>
      <c r="X113" s="3">
        <v>1.89790938</v>
      </c>
      <c r="Y113" s="3">
        <v>1.8995210899999999</v>
      </c>
      <c r="Z113" s="3">
        <v>1.8995210899999999</v>
      </c>
      <c r="AA113" s="3">
        <v>1.8995210899999999</v>
      </c>
      <c r="AB113" s="3">
        <v>1.90036118</v>
      </c>
      <c r="AC113" s="3">
        <v>1.90036118</v>
      </c>
      <c r="AD113" s="3">
        <v>1.90036118</v>
      </c>
      <c r="AE113" s="3">
        <v>1.90036118</v>
      </c>
      <c r="AF113" s="3">
        <v>1.90036118</v>
      </c>
      <c r="AG113" s="3">
        <v>1.90036118</v>
      </c>
      <c r="AH113" s="3">
        <v>1.90036118</v>
      </c>
      <c r="AI113" s="3">
        <v>1.90036118</v>
      </c>
      <c r="AJ113" s="4">
        <f t="shared" si="1"/>
        <v>6.2100669999999969E-2</v>
      </c>
    </row>
    <row r="114" spans="1:36" ht="14.4" x14ac:dyDescent="0.3">
      <c r="A114" s="1" t="s">
        <v>231</v>
      </c>
      <c r="B114" s="1" t="s">
        <v>232</v>
      </c>
      <c r="C114" s="1" t="s">
        <v>7</v>
      </c>
      <c r="D114" s="1" t="s">
        <v>8</v>
      </c>
      <c r="E114" s="3">
        <v>0.17027431000000001</v>
      </c>
      <c r="F114" s="3">
        <v>0.18300248999999999</v>
      </c>
      <c r="G114" s="3">
        <v>0.19573067</v>
      </c>
      <c r="H114" s="3">
        <v>0.20845885</v>
      </c>
      <c r="I114" s="3">
        <v>0.22118703000000001</v>
      </c>
      <c r="J114" s="3">
        <v>0.23391521000000001</v>
      </c>
      <c r="K114" s="3">
        <v>0.24664338999999999</v>
      </c>
      <c r="L114" s="3">
        <v>0.25937157</v>
      </c>
      <c r="M114" s="3">
        <v>0.27209974999999997</v>
      </c>
      <c r="N114" s="3">
        <v>0.28482793000000001</v>
      </c>
      <c r="O114" s="3">
        <v>0.29755610999999998</v>
      </c>
      <c r="P114" s="3">
        <v>0.3123591</v>
      </c>
      <c r="Q114" s="3">
        <v>0.32716209000000002</v>
      </c>
      <c r="R114" s="3">
        <v>0.34196509000000003</v>
      </c>
      <c r="S114" s="3">
        <v>0.35676807999999999</v>
      </c>
      <c r="T114" s="3">
        <v>0.37157107</v>
      </c>
      <c r="U114" s="3">
        <v>0.38637406000000002</v>
      </c>
      <c r="V114" s="3">
        <v>0.40117705999999997</v>
      </c>
      <c r="W114" s="3">
        <v>0.41598004999999999</v>
      </c>
      <c r="X114" s="3">
        <v>0.43078304000000001</v>
      </c>
      <c r="Y114" s="3">
        <v>0.44558603000000002</v>
      </c>
      <c r="Z114" s="3">
        <v>0.45254863000000001</v>
      </c>
      <c r="AA114" s="3">
        <v>0.45951122</v>
      </c>
      <c r="AB114" s="3">
        <v>0.46647381999999998</v>
      </c>
      <c r="AC114" s="3">
        <v>0.47343640999999997</v>
      </c>
      <c r="AD114" s="3">
        <v>0.48039900000000002</v>
      </c>
      <c r="AE114" s="3">
        <v>0.48538652999999998</v>
      </c>
      <c r="AF114" s="3">
        <v>0.49256857999999998</v>
      </c>
      <c r="AG114" s="3">
        <v>0.49628086999999999</v>
      </c>
      <c r="AH114" s="3">
        <v>0.50272735999999996</v>
      </c>
      <c r="AI114" s="3">
        <v>0.50927303000000002</v>
      </c>
      <c r="AJ114" s="4">
        <f t="shared" si="1"/>
        <v>0.33899871999999998</v>
      </c>
    </row>
    <row r="115" spans="1:36" ht="14.4" x14ac:dyDescent="0.3">
      <c r="A115" s="1" t="s">
        <v>233</v>
      </c>
      <c r="B115" s="1" t="s">
        <v>234</v>
      </c>
      <c r="C115" s="1" t="s">
        <v>7</v>
      </c>
      <c r="D115" s="1" t="s">
        <v>8</v>
      </c>
      <c r="E115" s="3">
        <v>6.0998151600000003</v>
      </c>
      <c r="F115" s="3">
        <v>6.19685767</v>
      </c>
      <c r="G115" s="3">
        <v>6.2939001799999996</v>
      </c>
      <c r="H115" s="3">
        <v>6.3909427000000001</v>
      </c>
      <c r="I115" s="3">
        <v>6.4879852099999997</v>
      </c>
      <c r="J115" s="3">
        <v>6.5850277300000002</v>
      </c>
      <c r="K115" s="3">
        <v>6.6820702399999998</v>
      </c>
      <c r="L115" s="3">
        <v>6.7791127500000004</v>
      </c>
      <c r="M115" s="3">
        <v>6.8761552699999999</v>
      </c>
      <c r="N115" s="3">
        <v>6.9731977799999996</v>
      </c>
      <c r="O115" s="3">
        <v>7.0702403</v>
      </c>
      <c r="P115" s="3">
        <v>7.0748613699999998</v>
      </c>
      <c r="Q115" s="3">
        <v>7.0794824399999996</v>
      </c>
      <c r="R115" s="3">
        <v>7.0841035100000003</v>
      </c>
      <c r="S115" s="3">
        <v>7.0887245800000001</v>
      </c>
      <c r="T115" s="3">
        <v>7.0933456599999998</v>
      </c>
      <c r="U115" s="3">
        <v>7.0979667299999996</v>
      </c>
      <c r="V115" s="3">
        <v>7.1025878000000002</v>
      </c>
      <c r="W115" s="3">
        <v>7.10720887</v>
      </c>
      <c r="X115" s="3">
        <v>7.1118299399999998</v>
      </c>
      <c r="Y115" s="3">
        <v>7.1164510200000004</v>
      </c>
      <c r="Z115" s="3">
        <v>7.2181145999999998</v>
      </c>
      <c r="AA115" s="3">
        <v>7.3197781900000001</v>
      </c>
      <c r="AB115" s="3">
        <v>7.4214417700000004</v>
      </c>
      <c r="AC115" s="3">
        <v>7.5231053599999997</v>
      </c>
      <c r="AD115" s="3">
        <v>7.62476895</v>
      </c>
      <c r="AE115" s="3">
        <v>6.4695009199999998</v>
      </c>
      <c r="AF115" s="3">
        <v>6.4695009199999998</v>
      </c>
      <c r="AG115" s="3">
        <v>6.4695009199999998</v>
      </c>
      <c r="AH115" s="3">
        <v>6.4695009199999998</v>
      </c>
      <c r="AI115" s="3">
        <v>6.4695009199999998</v>
      </c>
      <c r="AJ115" s="4">
        <f t="shared" si="1"/>
        <v>0.36968575999999942</v>
      </c>
    </row>
    <row r="116" spans="1:36" ht="14.4" x14ac:dyDescent="0.3">
      <c r="A116" s="1" t="s">
        <v>235</v>
      </c>
      <c r="B116" s="1" t="s">
        <v>236</v>
      </c>
      <c r="C116" s="1" t="s">
        <v>7</v>
      </c>
      <c r="D116" s="1" t="s">
        <v>8</v>
      </c>
      <c r="E116" s="3">
        <v>25.805821000000002</v>
      </c>
      <c r="F116" s="3">
        <v>26.070857799999999</v>
      </c>
      <c r="G116" s="3">
        <v>26.335894700000001</v>
      </c>
      <c r="H116" s="3">
        <v>26.600931599999999</v>
      </c>
      <c r="I116" s="3">
        <v>26.865968500000001</v>
      </c>
      <c r="J116" s="3">
        <v>27.131005399999999</v>
      </c>
      <c r="K116" s="3">
        <v>27.396042300000001</v>
      </c>
      <c r="L116" s="3">
        <v>27.6610792</v>
      </c>
      <c r="M116" s="3">
        <v>27.926116100000002</v>
      </c>
      <c r="N116" s="3">
        <v>28.191153</v>
      </c>
      <c r="O116" s="3">
        <v>28.456189899999998</v>
      </c>
      <c r="P116" s="3">
        <v>28.680184300000001</v>
      </c>
      <c r="Q116" s="3">
        <v>28.904178699999999</v>
      </c>
      <c r="R116" s="3">
        <v>29.125202300000002</v>
      </c>
      <c r="S116" s="3">
        <v>29.3491739</v>
      </c>
      <c r="T116" s="3">
        <v>29.573145400000001</v>
      </c>
      <c r="U116" s="3">
        <v>29.797117</v>
      </c>
      <c r="V116" s="3">
        <v>30.021088599999999</v>
      </c>
      <c r="W116" s="3">
        <v>30.245060200000001</v>
      </c>
      <c r="X116" s="3">
        <v>30.4690318</v>
      </c>
      <c r="Y116" s="3">
        <v>30.693003300000001</v>
      </c>
      <c r="Z116" s="3">
        <v>30.875936599999999</v>
      </c>
      <c r="AA116" s="3">
        <v>31.058869900000001</v>
      </c>
      <c r="AB116" s="3">
        <v>31.2418032</v>
      </c>
      <c r="AC116" s="3">
        <v>31.424736500000002</v>
      </c>
      <c r="AD116" s="3">
        <v>31.6076698</v>
      </c>
      <c r="AE116" s="3">
        <v>31.7906099</v>
      </c>
      <c r="AF116" s="3">
        <v>31.973549999999999</v>
      </c>
      <c r="AG116" s="3">
        <v>31.768750199999999</v>
      </c>
      <c r="AH116" s="3">
        <v>31.949484399999999</v>
      </c>
      <c r="AI116" s="3">
        <v>32.1302187</v>
      </c>
      <c r="AJ116" s="4">
        <f t="shared" si="1"/>
        <v>6.3243976999999987</v>
      </c>
    </row>
    <row r="117" spans="1:36" ht="14.4" x14ac:dyDescent="0.3">
      <c r="A117" s="1" t="s">
        <v>237</v>
      </c>
      <c r="B117" s="1" t="s">
        <v>238</v>
      </c>
      <c r="C117" s="1" t="s">
        <v>7</v>
      </c>
      <c r="D117" s="1" t="s">
        <v>8</v>
      </c>
      <c r="E117" s="3">
        <v>48.132964000000001</v>
      </c>
      <c r="F117" s="3">
        <v>48.1303786</v>
      </c>
      <c r="G117" s="3">
        <v>48.127793199999999</v>
      </c>
      <c r="H117" s="3">
        <v>48.125207799999998</v>
      </c>
      <c r="I117" s="3">
        <v>48.122622300000003</v>
      </c>
      <c r="J117" s="3">
        <v>48.120036900000002</v>
      </c>
      <c r="K117" s="3">
        <v>48.117451500000001</v>
      </c>
      <c r="L117" s="3">
        <v>48.1148661</v>
      </c>
      <c r="M117" s="3">
        <v>48.112280699999999</v>
      </c>
      <c r="N117" s="3">
        <v>48.109695299999998</v>
      </c>
      <c r="O117" s="3">
        <v>48.107109899999998</v>
      </c>
      <c r="P117" s="3">
        <v>48.452908600000001</v>
      </c>
      <c r="Q117" s="3">
        <v>48.798707299999997</v>
      </c>
      <c r="R117" s="3">
        <v>49.144506</v>
      </c>
      <c r="S117" s="3">
        <v>49.490304700000003</v>
      </c>
      <c r="T117" s="3">
        <v>49.836103399999999</v>
      </c>
      <c r="U117" s="3">
        <v>50.181902100000002</v>
      </c>
      <c r="V117" s="3">
        <v>50.527700799999998</v>
      </c>
      <c r="W117" s="3">
        <v>50.873499500000001</v>
      </c>
      <c r="X117" s="3">
        <v>51.219298199999997</v>
      </c>
      <c r="Y117" s="3">
        <v>51.565097000000002</v>
      </c>
      <c r="Z117" s="3">
        <v>51.916158799999998</v>
      </c>
      <c r="AA117" s="3">
        <v>52.267220700000003</v>
      </c>
      <c r="AB117" s="3">
        <v>52.618282499999999</v>
      </c>
      <c r="AC117" s="3">
        <v>52.969344399999997</v>
      </c>
      <c r="AD117" s="3">
        <v>53.320406300000002</v>
      </c>
      <c r="AE117" s="3">
        <v>53.678670400000001</v>
      </c>
      <c r="AF117" s="3">
        <v>54.037857799999998</v>
      </c>
      <c r="AG117" s="3">
        <v>54.397045200000001</v>
      </c>
      <c r="AH117" s="3">
        <v>54.7553093</v>
      </c>
      <c r="AI117" s="3">
        <v>55.114496799999998</v>
      </c>
      <c r="AJ117" s="4">
        <f t="shared" si="1"/>
        <v>6.9815327999999965</v>
      </c>
    </row>
    <row r="118" spans="1:36" ht="14.4" x14ac:dyDescent="0.3">
      <c r="A118" s="1" t="s">
        <v>239</v>
      </c>
      <c r="B118" s="1" t="s">
        <v>240</v>
      </c>
      <c r="C118" s="1" t="s">
        <v>7</v>
      </c>
      <c r="D118" s="1" t="s">
        <v>8</v>
      </c>
      <c r="E118" s="3">
        <v>1.10494107</v>
      </c>
      <c r="F118" s="3">
        <v>1.10494107</v>
      </c>
      <c r="G118" s="3">
        <v>1.10494107</v>
      </c>
      <c r="H118" s="3">
        <v>1.10494107</v>
      </c>
      <c r="I118" s="3">
        <v>1.10494107</v>
      </c>
      <c r="J118" s="3">
        <v>1.10494107</v>
      </c>
      <c r="K118" s="3">
        <v>1.10494107</v>
      </c>
      <c r="L118" s="3">
        <v>1.10494107</v>
      </c>
      <c r="M118" s="3">
        <v>1.10494107</v>
      </c>
      <c r="N118" s="3">
        <v>1.10494107</v>
      </c>
      <c r="O118" s="3">
        <v>1.10494107</v>
      </c>
      <c r="P118" s="3">
        <v>1.10494107</v>
      </c>
      <c r="Q118" s="3">
        <v>1.10494107</v>
      </c>
      <c r="R118" s="3">
        <v>1.10494107</v>
      </c>
      <c r="S118" s="3">
        <v>1.10494107</v>
      </c>
      <c r="T118" s="3">
        <v>1.10494107</v>
      </c>
      <c r="U118" s="3">
        <v>1.10494107</v>
      </c>
      <c r="V118" s="3">
        <v>1.10494107</v>
      </c>
      <c r="W118" s="3">
        <v>1.10494107</v>
      </c>
      <c r="X118" s="3">
        <v>1.09822032</v>
      </c>
      <c r="Y118" s="3">
        <v>1.09822032</v>
      </c>
      <c r="Z118" s="3">
        <v>1.09822032</v>
      </c>
      <c r="AA118" s="3">
        <v>1.09822032</v>
      </c>
      <c r="AB118" s="3">
        <v>1.09822032</v>
      </c>
      <c r="AC118" s="3">
        <v>1.09822032</v>
      </c>
      <c r="AD118" s="3">
        <v>1.09822032</v>
      </c>
      <c r="AE118" s="3">
        <v>1.09822032</v>
      </c>
      <c r="AF118" s="3">
        <v>1.09822032</v>
      </c>
      <c r="AG118" s="3">
        <v>1.09822032</v>
      </c>
      <c r="AH118" s="3">
        <v>1.09822032</v>
      </c>
      <c r="AI118" s="3">
        <v>1.09822032</v>
      </c>
      <c r="AJ118" s="4">
        <f t="shared" si="1"/>
        <v>-6.720749999999942E-3</v>
      </c>
    </row>
    <row r="119" spans="1:36" ht="14.4" x14ac:dyDescent="0.3">
      <c r="A119" s="1" t="s">
        <v>241</v>
      </c>
      <c r="B119" s="1" t="s">
        <v>242</v>
      </c>
      <c r="C119" s="1" t="s">
        <v>7</v>
      </c>
      <c r="D119" s="1" t="s">
        <v>8</v>
      </c>
      <c r="E119" s="3">
        <v>68.431157400000004</v>
      </c>
      <c r="F119" s="3">
        <v>68.410861199999999</v>
      </c>
      <c r="G119" s="3">
        <v>68.390564999999995</v>
      </c>
      <c r="H119" s="3">
        <v>68.370268800000005</v>
      </c>
      <c r="I119" s="3">
        <v>68.349972600000001</v>
      </c>
      <c r="J119" s="3">
        <v>68.329676399999997</v>
      </c>
      <c r="K119" s="3">
        <v>68.328120699999999</v>
      </c>
      <c r="L119" s="3">
        <v>68.307818900000001</v>
      </c>
      <c r="M119" s="3">
        <v>68.287517100000002</v>
      </c>
      <c r="N119" s="3">
        <v>68.267215399999998</v>
      </c>
      <c r="O119" s="3">
        <v>68.246913599999999</v>
      </c>
      <c r="P119" s="3">
        <v>68.2716049</v>
      </c>
      <c r="Q119" s="3">
        <v>68.296296299999995</v>
      </c>
      <c r="R119" s="3">
        <v>68.320987700000003</v>
      </c>
      <c r="S119" s="3">
        <v>68.345679000000004</v>
      </c>
      <c r="T119" s="3">
        <v>68.370370399999999</v>
      </c>
      <c r="U119" s="3">
        <v>68.395061699999999</v>
      </c>
      <c r="V119" s="3">
        <v>68.419753099999994</v>
      </c>
      <c r="W119" s="3">
        <v>68.444444399999995</v>
      </c>
      <c r="X119" s="3">
        <v>68.469135800000004</v>
      </c>
      <c r="Y119" s="3">
        <v>68.493827199999998</v>
      </c>
      <c r="Z119" s="3">
        <v>68.481755800000002</v>
      </c>
      <c r="AA119" s="3">
        <v>68.4696845</v>
      </c>
      <c r="AB119" s="3">
        <v>68.457613199999997</v>
      </c>
      <c r="AC119" s="3">
        <v>68.445541800000001</v>
      </c>
      <c r="AD119" s="3">
        <v>68.433470499999999</v>
      </c>
      <c r="AE119" s="3">
        <v>68.422496600000002</v>
      </c>
      <c r="AF119" s="3">
        <v>68.408779100000004</v>
      </c>
      <c r="AG119" s="3">
        <v>68.408779100000004</v>
      </c>
      <c r="AH119" s="3">
        <v>68.408779100000004</v>
      </c>
      <c r="AI119" s="3">
        <v>68.408779100000004</v>
      </c>
      <c r="AJ119" s="4">
        <f t="shared" si="1"/>
        <v>-2.237829999999974E-2</v>
      </c>
    </row>
    <row r="120" spans="1:36" ht="14.4" x14ac:dyDescent="0.3">
      <c r="A120" s="1" t="s">
        <v>243</v>
      </c>
      <c r="B120" s="1" t="s">
        <v>244</v>
      </c>
      <c r="C120" s="1" t="s">
        <v>7</v>
      </c>
      <c r="D120" s="1" t="s">
        <v>8</v>
      </c>
      <c r="E120" s="3">
        <v>1.2675482499999999</v>
      </c>
      <c r="F120" s="3">
        <v>1.2675482499999999</v>
      </c>
      <c r="G120" s="3">
        <v>1.1709378800000001</v>
      </c>
      <c r="H120" s="3">
        <v>1.17074086</v>
      </c>
      <c r="I120" s="3">
        <v>1.1705438399999999</v>
      </c>
      <c r="J120" s="3">
        <v>1.17034682</v>
      </c>
      <c r="K120" s="3">
        <v>1.17014979</v>
      </c>
      <c r="L120" s="3">
        <v>1.1699527700000001</v>
      </c>
      <c r="M120" s="3">
        <v>1.16975575</v>
      </c>
      <c r="N120" s="3">
        <v>1.1695587300000001</v>
      </c>
      <c r="O120" s="3">
        <v>1.16936171</v>
      </c>
      <c r="P120" s="3">
        <v>1.16659303</v>
      </c>
      <c r="Q120" s="3">
        <v>1.1638243100000001</v>
      </c>
      <c r="R120" s="3">
        <v>1.1610556400000001</v>
      </c>
      <c r="S120" s="3">
        <v>1.1582869600000001</v>
      </c>
      <c r="T120" s="3">
        <v>1.1555182799999999</v>
      </c>
      <c r="U120" s="3">
        <v>1.15274956</v>
      </c>
      <c r="V120" s="3">
        <v>1.1499808899999999</v>
      </c>
      <c r="W120" s="3">
        <v>1.14721221</v>
      </c>
      <c r="X120" s="3">
        <v>1.14444349</v>
      </c>
      <c r="Y120" s="3">
        <v>1.14167482</v>
      </c>
      <c r="Z120" s="3">
        <v>1.15843794</v>
      </c>
      <c r="AA120" s="3">
        <v>1.17520102</v>
      </c>
      <c r="AB120" s="3">
        <v>1.19196411</v>
      </c>
      <c r="AC120" s="3">
        <v>1.20872723</v>
      </c>
      <c r="AD120" s="3">
        <v>1.2254903100000001</v>
      </c>
      <c r="AE120" s="3">
        <v>1.23632626</v>
      </c>
      <c r="AF120" s="3">
        <v>1.2471608000000001</v>
      </c>
      <c r="AG120" s="3">
        <v>1.25799207</v>
      </c>
      <c r="AH120" s="3">
        <v>1.26882246</v>
      </c>
      <c r="AI120" s="3">
        <v>1.2796532899999999</v>
      </c>
      <c r="AJ120" s="4">
        <f t="shared" si="1"/>
        <v>1.2105040000000011E-2</v>
      </c>
    </row>
    <row r="121" spans="1:36" ht="14.4" x14ac:dyDescent="0.3">
      <c r="A121" s="1" t="s">
        <v>245</v>
      </c>
      <c r="B121" s="1" t="s">
        <v>246</v>
      </c>
      <c r="C121" s="1" t="s">
        <v>7</v>
      </c>
      <c r="D121" s="1" t="s">
        <v>8</v>
      </c>
      <c r="E121" s="3">
        <v>6.7795972899999999</v>
      </c>
      <c r="F121" s="3">
        <v>6.7976332700000004</v>
      </c>
      <c r="G121" s="3">
        <v>6.81566926</v>
      </c>
      <c r="H121" s="3">
        <v>6.8337052399999996</v>
      </c>
      <c r="I121" s="3">
        <v>6.8517412200000001</v>
      </c>
      <c r="J121" s="3">
        <v>6.8697772099999996</v>
      </c>
      <c r="K121" s="3">
        <v>6.8878131900000001</v>
      </c>
      <c r="L121" s="3">
        <v>6.9058491799999997</v>
      </c>
      <c r="M121" s="3">
        <v>6.9238851600000002</v>
      </c>
      <c r="N121" s="3">
        <v>6.9419211399999998</v>
      </c>
      <c r="O121" s="3">
        <v>6.9599571300000003</v>
      </c>
      <c r="P121" s="3">
        <v>6.8993657099999997</v>
      </c>
      <c r="Q121" s="3">
        <v>6.8387742899999999</v>
      </c>
      <c r="R121" s="3">
        <v>6.7781828700000002</v>
      </c>
      <c r="S121" s="3">
        <v>6.7175914499999996</v>
      </c>
      <c r="T121" s="3">
        <v>6.6570000399999998</v>
      </c>
      <c r="U121" s="3">
        <v>6.5964086200000001</v>
      </c>
      <c r="V121" s="3">
        <v>6.5358172000000003</v>
      </c>
      <c r="W121" s="3">
        <v>6.4752257799999997</v>
      </c>
      <c r="X121" s="3">
        <v>6.41463436</v>
      </c>
      <c r="Y121" s="3">
        <v>6.3540429400000003</v>
      </c>
      <c r="Z121" s="3">
        <v>6.3210352500000004</v>
      </c>
      <c r="AA121" s="3">
        <v>6.2880275499999998</v>
      </c>
      <c r="AB121" s="3">
        <v>6.25501985</v>
      </c>
      <c r="AC121" s="3">
        <v>6.2220121600000002</v>
      </c>
      <c r="AD121" s="3">
        <v>6.1890044599999996</v>
      </c>
      <c r="AE121" s="3">
        <v>6.2409424700000002</v>
      </c>
      <c r="AF121" s="3">
        <v>6.2928804899999999</v>
      </c>
      <c r="AG121" s="3">
        <v>6.3448184999999997</v>
      </c>
      <c r="AH121" s="3">
        <v>6.3448184999999997</v>
      </c>
      <c r="AI121" s="3">
        <v>6.3448184999999997</v>
      </c>
      <c r="AJ121" s="4">
        <f t="shared" si="1"/>
        <v>-0.43477879000000019</v>
      </c>
    </row>
    <row r="122" spans="1:36" ht="14.4" x14ac:dyDescent="0.3">
      <c r="A122" s="1" t="s">
        <v>247</v>
      </c>
      <c r="B122" s="1" t="s">
        <v>248</v>
      </c>
      <c r="C122" s="1" t="s">
        <v>7</v>
      </c>
      <c r="D122" s="1" t="s">
        <v>8</v>
      </c>
      <c r="E122" s="3">
        <v>4.3587069899999999</v>
      </c>
      <c r="F122" s="3">
        <v>4.3587069899999999</v>
      </c>
      <c r="G122" s="3">
        <v>5.9714181399999999</v>
      </c>
      <c r="H122" s="3">
        <v>5.99460792</v>
      </c>
      <c r="I122" s="3">
        <v>6.0177971799999996</v>
      </c>
      <c r="J122" s="3">
        <v>6.0409869699999996</v>
      </c>
      <c r="K122" s="3">
        <v>6.0641762300000002</v>
      </c>
      <c r="L122" s="3">
        <v>6.0873654799999999</v>
      </c>
      <c r="M122" s="3">
        <v>6.1105552699999999</v>
      </c>
      <c r="N122" s="3">
        <v>6.1337450499999999</v>
      </c>
      <c r="O122" s="3">
        <v>6.1569343099999996</v>
      </c>
      <c r="P122" s="3">
        <v>6.1823670499999999</v>
      </c>
      <c r="Q122" s="3">
        <v>6.2077997900000002</v>
      </c>
      <c r="R122" s="3">
        <v>6.2332325300000004</v>
      </c>
      <c r="S122" s="3">
        <v>6.2586652799999998</v>
      </c>
      <c r="T122" s="3">
        <v>6.2840980200000001</v>
      </c>
      <c r="U122" s="3">
        <v>6.3095307600000003</v>
      </c>
      <c r="V122" s="3">
        <v>6.3349634999999997</v>
      </c>
      <c r="W122" s="3">
        <v>6.36039625</v>
      </c>
      <c r="X122" s="3">
        <v>6.3858289900000003</v>
      </c>
      <c r="Y122" s="3">
        <v>6.4112617299999997</v>
      </c>
      <c r="Z122" s="3">
        <v>6.4343378500000004</v>
      </c>
      <c r="AA122" s="3">
        <v>6.4574139700000002</v>
      </c>
      <c r="AB122" s="3">
        <v>6.48049009</v>
      </c>
      <c r="AC122" s="3">
        <v>6.5035662099999998</v>
      </c>
      <c r="AD122" s="3">
        <v>6.5266423400000004</v>
      </c>
      <c r="AE122" s="3">
        <v>6.5497393099999996</v>
      </c>
      <c r="AF122" s="3">
        <v>6.5728061499999999</v>
      </c>
      <c r="AG122" s="3">
        <v>6.6678832100000003</v>
      </c>
      <c r="AH122" s="3">
        <v>6.7629822700000002</v>
      </c>
      <c r="AI122" s="3">
        <v>6.8580813300000001</v>
      </c>
      <c r="AJ122" s="4">
        <f t="shared" si="1"/>
        <v>2.4993743400000001</v>
      </c>
    </row>
    <row r="123" spans="1:36" ht="14.4" x14ac:dyDescent="0.3">
      <c r="A123" s="1" t="s">
        <v>249</v>
      </c>
      <c r="B123" s="1" t="s">
        <v>250</v>
      </c>
      <c r="C123" s="1" t="s">
        <v>7</v>
      </c>
      <c r="D123" s="1" t="s">
        <v>8</v>
      </c>
      <c r="E123" s="3">
        <v>62.343020600000003</v>
      </c>
      <c r="F123" s="3">
        <v>62.216241799999999</v>
      </c>
      <c r="G123" s="3">
        <v>62.089463000000002</v>
      </c>
      <c r="H123" s="3">
        <v>61.962684099999997</v>
      </c>
      <c r="I123" s="3">
        <v>61.8359053</v>
      </c>
      <c r="J123" s="3">
        <v>61.709126400000002</v>
      </c>
      <c r="K123" s="3">
        <v>61.582347599999999</v>
      </c>
      <c r="L123" s="3">
        <v>61.455568800000002</v>
      </c>
      <c r="M123" s="3">
        <v>61.328789899999997</v>
      </c>
      <c r="N123" s="3">
        <v>61.2020111</v>
      </c>
      <c r="O123" s="3">
        <v>61.075232300000003</v>
      </c>
      <c r="P123" s="3">
        <v>60.966593000000003</v>
      </c>
      <c r="Q123" s="3">
        <v>60.857953799999997</v>
      </c>
      <c r="R123" s="3">
        <v>60.749314499999997</v>
      </c>
      <c r="S123" s="3">
        <v>60.640675299999998</v>
      </c>
      <c r="T123" s="3">
        <v>60.532035999999998</v>
      </c>
      <c r="U123" s="3">
        <v>60.423396799999999</v>
      </c>
      <c r="V123" s="3">
        <v>60.314757499999999</v>
      </c>
      <c r="W123" s="3">
        <v>60.2061183</v>
      </c>
      <c r="X123" s="3">
        <v>60.097479</v>
      </c>
      <c r="Y123" s="3">
        <v>59.988839800000001</v>
      </c>
      <c r="Z123" s="3">
        <v>58.014661199999999</v>
      </c>
      <c r="AA123" s="3">
        <v>56.040482699999998</v>
      </c>
      <c r="AB123" s="3">
        <v>54.066304100000004</v>
      </c>
      <c r="AC123" s="3">
        <v>52.092125500000002</v>
      </c>
      <c r="AD123" s="3">
        <v>50.117947000000001</v>
      </c>
      <c r="AE123" s="3">
        <v>49.235950600000002</v>
      </c>
      <c r="AF123" s="3">
        <v>48.353954199999997</v>
      </c>
      <c r="AG123" s="3">
        <v>47.4719579</v>
      </c>
      <c r="AH123" s="3">
        <v>46.589961500000001</v>
      </c>
      <c r="AI123" s="3">
        <v>45.707965100000003</v>
      </c>
      <c r="AJ123" s="4">
        <f t="shared" si="1"/>
        <v>-16.6350555</v>
      </c>
    </row>
    <row r="124" spans="1:36" ht="14.4" x14ac:dyDescent="0.3">
      <c r="A124" s="1" t="s">
        <v>251</v>
      </c>
      <c r="B124" s="1" t="s">
        <v>252</v>
      </c>
      <c r="C124" s="1" t="s">
        <v>7</v>
      </c>
      <c r="D124" s="1" t="s">
        <v>8</v>
      </c>
      <c r="E124" s="3">
        <v>1.45679012</v>
      </c>
      <c r="F124" s="3">
        <v>1.45679012</v>
      </c>
      <c r="G124" s="3">
        <v>1.45679012</v>
      </c>
      <c r="H124" s="3">
        <v>1.45679012</v>
      </c>
      <c r="I124" s="3">
        <v>1.45679012</v>
      </c>
      <c r="J124" s="3">
        <v>1.45679012</v>
      </c>
      <c r="K124" s="3">
        <v>1.45679012</v>
      </c>
      <c r="L124" s="3">
        <v>1.45679012</v>
      </c>
      <c r="M124" s="3">
        <v>1.45679012</v>
      </c>
      <c r="N124" s="3">
        <v>1.45679012</v>
      </c>
      <c r="O124" s="3">
        <v>1.45679012</v>
      </c>
      <c r="P124" s="3">
        <v>1.45679012</v>
      </c>
      <c r="Q124" s="3">
        <v>1.45679012</v>
      </c>
      <c r="R124" s="3">
        <v>1.45679012</v>
      </c>
      <c r="S124" s="3">
        <v>1.45679012</v>
      </c>
      <c r="T124" s="3">
        <v>1.45679012</v>
      </c>
      <c r="U124" s="3">
        <v>1.45679012</v>
      </c>
      <c r="V124" s="3">
        <v>1.45679012</v>
      </c>
      <c r="W124" s="3">
        <v>1.45679012</v>
      </c>
      <c r="X124" s="3">
        <v>1.45679012</v>
      </c>
      <c r="Y124" s="3">
        <v>1.45679012</v>
      </c>
      <c r="Z124" s="3">
        <v>1.45679012</v>
      </c>
      <c r="AA124" s="3">
        <v>1.45679012</v>
      </c>
      <c r="AB124" s="3">
        <v>1.45679012</v>
      </c>
      <c r="AC124" s="3">
        <v>1.45679012</v>
      </c>
      <c r="AD124" s="3">
        <v>1.45679012</v>
      </c>
      <c r="AE124" s="3">
        <v>1.45679012</v>
      </c>
      <c r="AF124" s="3">
        <v>1.45679012</v>
      </c>
      <c r="AG124" s="3">
        <v>1.45679012</v>
      </c>
      <c r="AH124" s="3">
        <v>1.45679012</v>
      </c>
      <c r="AI124" s="3">
        <v>1.45679012</v>
      </c>
      <c r="AJ124" s="4">
        <f t="shared" si="1"/>
        <v>0</v>
      </c>
    </row>
    <row r="125" spans="1:36" ht="14.4" x14ac:dyDescent="0.3">
      <c r="A125" s="1" t="s">
        <v>253</v>
      </c>
      <c r="B125" s="1" t="s">
        <v>254</v>
      </c>
      <c r="C125" s="1" t="s">
        <v>7</v>
      </c>
      <c r="D125" s="1" t="s">
        <v>8</v>
      </c>
      <c r="E125" s="3">
        <v>42.307692299999999</v>
      </c>
      <c r="F125" s="3">
        <v>42.307692299999999</v>
      </c>
      <c r="G125" s="3">
        <v>42.307692299999999</v>
      </c>
      <c r="H125" s="3">
        <v>42.307692299999999</v>
      </c>
      <c r="I125" s="3">
        <v>42.307692299999999</v>
      </c>
      <c r="J125" s="3">
        <v>42.307692299999999</v>
      </c>
      <c r="K125" s="3">
        <v>42.307692299999999</v>
      </c>
      <c r="L125" s="3">
        <v>42.307692299999999</v>
      </c>
      <c r="M125" s="3">
        <v>42.307692299999999</v>
      </c>
      <c r="N125" s="3">
        <v>42.307692299999999</v>
      </c>
      <c r="O125" s="3">
        <v>42.307692299999999</v>
      </c>
      <c r="P125" s="3">
        <v>42.307692299999999</v>
      </c>
      <c r="Q125" s="3">
        <v>42.307692299999999</v>
      </c>
      <c r="R125" s="3">
        <v>42.307692299999999</v>
      </c>
      <c r="S125" s="3">
        <v>42.307692299999999</v>
      </c>
      <c r="T125" s="3">
        <v>42.307692299999999</v>
      </c>
      <c r="U125" s="3">
        <v>42.307692299999999</v>
      </c>
      <c r="V125" s="3">
        <v>42.307692299999999</v>
      </c>
      <c r="W125" s="3">
        <v>42.307692299999999</v>
      </c>
      <c r="X125" s="3">
        <v>42.307692299999999</v>
      </c>
      <c r="Y125" s="3">
        <v>42.307692299999999</v>
      </c>
      <c r="Z125" s="3">
        <v>42.307692299999999</v>
      </c>
      <c r="AA125" s="3">
        <v>42.307692299999999</v>
      </c>
      <c r="AB125" s="3">
        <v>42.307692299999999</v>
      </c>
      <c r="AC125" s="3">
        <v>42.307692299999999</v>
      </c>
      <c r="AD125" s="3">
        <v>42.307692299999999</v>
      </c>
      <c r="AE125" s="3">
        <v>42.307692299999999</v>
      </c>
      <c r="AF125" s="3">
        <v>42.307692299999999</v>
      </c>
      <c r="AG125" s="3">
        <v>42.307692299999999</v>
      </c>
      <c r="AH125" s="3">
        <v>42.307692299999999</v>
      </c>
      <c r="AI125" s="3">
        <v>42.307692299999999</v>
      </c>
      <c r="AJ125" s="4">
        <f t="shared" si="1"/>
        <v>0</v>
      </c>
    </row>
    <row r="126" spans="1:36" ht="14.4" x14ac:dyDescent="0.3">
      <c r="A126" s="1" t="s">
        <v>255</v>
      </c>
      <c r="B126" s="1" t="s">
        <v>256</v>
      </c>
      <c r="C126" s="1" t="s">
        <v>7</v>
      </c>
      <c r="D126" s="1" t="s">
        <v>8</v>
      </c>
      <c r="E126" s="3">
        <v>67.914161300000004</v>
      </c>
      <c r="F126" s="3">
        <v>67.836408899999995</v>
      </c>
      <c r="G126" s="3">
        <v>67.758656400000007</v>
      </c>
      <c r="H126" s="3">
        <v>67.680903999999998</v>
      </c>
      <c r="I126" s="3">
        <v>67.603151600000004</v>
      </c>
      <c r="J126" s="3">
        <v>67.525399100000001</v>
      </c>
      <c r="K126" s="3">
        <v>67.447646700000007</v>
      </c>
      <c r="L126" s="3">
        <v>67.369894299999999</v>
      </c>
      <c r="M126" s="3">
        <v>67.292141799999996</v>
      </c>
      <c r="N126" s="3">
        <v>67.214389400000002</v>
      </c>
      <c r="O126" s="3">
        <v>67.136636899999999</v>
      </c>
      <c r="P126" s="3">
        <v>66.850320400000001</v>
      </c>
      <c r="Q126" s="3">
        <v>66.723835100000002</v>
      </c>
      <c r="R126" s="3">
        <v>66.625</v>
      </c>
      <c r="S126" s="3">
        <v>66.519314199999997</v>
      </c>
      <c r="T126" s="3">
        <v>66.406814699999998</v>
      </c>
      <c r="U126" s="3">
        <v>66.294384800000003</v>
      </c>
      <c r="V126" s="3">
        <v>66.175196</v>
      </c>
      <c r="W126" s="3">
        <v>66.035673799999998</v>
      </c>
      <c r="X126" s="3">
        <v>65.896352800000003</v>
      </c>
      <c r="Y126" s="3">
        <v>65.709876499999993</v>
      </c>
      <c r="Z126" s="3">
        <v>65.613746300000003</v>
      </c>
      <c r="AA126" s="3">
        <v>65.430068899999995</v>
      </c>
      <c r="AB126" s="3">
        <v>65.2495227</v>
      </c>
      <c r="AC126" s="3">
        <v>65.144206100000005</v>
      </c>
      <c r="AD126" s="3">
        <v>65.031556300000005</v>
      </c>
      <c r="AE126" s="3">
        <v>64.879114599999994</v>
      </c>
      <c r="AF126" s="3">
        <v>64.783099199999995</v>
      </c>
      <c r="AG126" s="3">
        <v>64.673912999999999</v>
      </c>
      <c r="AH126" s="3">
        <v>64.571370000000002</v>
      </c>
      <c r="AI126" s="3">
        <v>64.468826899999996</v>
      </c>
      <c r="AJ126" s="4">
        <f t="shared" si="1"/>
        <v>-3.4453344000000072</v>
      </c>
    </row>
    <row r="127" spans="1:36" ht="14.4" x14ac:dyDescent="0.3">
      <c r="A127" s="1" t="s">
        <v>257</v>
      </c>
      <c r="B127" s="1" t="s">
        <v>258</v>
      </c>
      <c r="C127" s="1" t="s">
        <v>7</v>
      </c>
      <c r="D127" s="1" t="s">
        <v>8</v>
      </c>
      <c r="E127" s="3">
        <v>0.19360268999999999</v>
      </c>
      <c r="F127" s="3">
        <v>0.20145903000000001</v>
      </c>
      <c r="G127" s="3">
        <v>0.20931538</v>
      </c>
      <c r="H127" s="3">
        <v>0.21717172000000001</v>
      </c>
      <c r="I127" s="3">
        <v>0.22502806</v>
      </c>
      <c r="J127" s="3">
        <v>0.23288439999999999</v>
      </c>
      <c r="K127" s="3">
        <v>0.24074074000000001</v>
      </c>
      <c r="L127" s="3">
        <v>0.24859708</v>
      </c>
      <c r="M127" s="3">
        <v>0.25645341999999999</v>
      </c>
      <c r="N127" s="3">
        <v>0.26430976</v>
      </c>
      <c r="O127" s="3">
        <v>0.27216611000000002</v>
      </c>
      <c r="P127" s="3">
        <v>0.28002244999999998</v>
      </c>
      <c r="Q127" s="3">
        <v>0.28787879</v>
      </c>
      <c r="R127" s="3">
        <v>0.29573513000000001</v>
      </c>
      <c r="S127" s="3">
        <v>0.30359146999999997</v>
      </c>
      <c r="T127" s="3">
        <v>0.31144780999999999</v>
      </c>
      <c r="U127" s="3">
        <v>0.31930415000000001</v>
      </c>
      <c r="V127" s="3">
        <v>0.32716049000000003</v>
      </c>
      <c r="W127" s="3">
        <v>0.33501683999999998</v>
      </c>
      <c r="X127" s="3">
        <v>0.34287318</v>
      </c>
      <c r="Y127" s="3">
        <v>0.35072952000000002</v>
      </c>
      <c r="Z127" s="3">
        <v>0.35072952000000002</v>
      </c>
      <c r="AA127" s="3">
        <v>0.35072952000000002</v>
      </c>
      <c r="AB127" s="3">
        <v>0.35072952000000002</v>
      </c>
      <c r="AC127" s="3">
        <v>0.35072952000000002</v>
      </c>
      <c r="AD127" s="3">
        <v>0.35072952000000002</v>
      </c>
      <c r="AE127" s="3">
        <v>0.35072952000000002</v>
      </c>
      <c r="AF127" s="3">
        <v>0.35072952000000002</v>
      </c>
      <c r="AG127" s="3">
        <v>0.35072952000000002</v>
      </c>
      <c r="AH127" s="3">
        <v>0.35072952000000002</v>
      </c>
      <c r="AI127" s="3">
        <v>0.35072952000000002</v>
      </c>
      <c r="AJ127" s="4">
        <f t="shared" si="1"/>
        <v>0.15712683000000002</v>
      </c>
    </row>
    <row r="128" spans="1:36" ht="14.4" x14ac:dyDescent="0.3">
      <c r="A128" s="1" t="s">
        <v>259</v>
      </c>
      <c r="B128" s="1" t="s">
        <v>260</v>
      </c>
      <c r="C128" s="1" t="s">
        <v>7</v>
      </c>
      <c r="D128" s="1" t="s">
        <v>8</v>
      </c>
      <c r="E128" s="3">
        <v>54.855803999999999</v>
      </c>
      <c r="F128" s="3">
        <v>54.565911300000003</v>
      </c>
      <c r="G128" s="3">
        <v>54.276018700000002</v>
      </c>
      <c r="H128" s="3">
        <v>53.9861261</v>
      </c>
      <c r="I128" s="3">
        <v>53.696233499999998</v>
      </c>
      <c r="J128" s="3">
        <v>53.406340899999996</v>
      </c>
      <c r="K128" s="3">
        <v>53.116448300000002</v>
      </c>
      <c r="L128" s="3">
        <v>52.8265557</v>
      </c>
      <c r="M128" s="3">
        <v>52.618808399999999</v>
      </c>
      <c r="N128" s="3">
        <v>52.328462600000002</v>
      </c>
      <c r="O128" s="3">
        <v>52.038116700000003</v>
      </c>
      <c r="P128" s="3">
        <v>51.736208900000001</v>
      </c>
      <c r="Q128" s="3">
        <v>51.4371534</v>
      </c>
      <c r="R128" s="3">
        <v>51.1352008</v>
      </c>
      <c r="S128" s="3">
        <v>50.833248500000003</v>
      </c>
      <c r="T128" s="3">
        <v>50.531241100000003</v>
      </c>
      <c r="U128" s="3">
        <v>50.229345100000003</v>
      </c>
      <c r="V128" s="3">
        <v>49.927393799999997</v>
      </c>
      <c r="W128" s="3">
        <v>49.625470100000001</v>
      </c>
      <c r="X128" s="3">
        <v>49.323546499999999</v>
      </c>
      <c r="Y128" s="3">
        <v>49.021622800000003</v>
      </c>
      <c r="Z128" s="3">
        <v>48.859084099999997</v>
      </c>
      <c r="AA128" s="3">
        <v>48.698256000000001</v>
      </c>
      <c r="AB128" s="3">
        <v>48.543327599999998</v>
      </c>
      <c r="AC128" s="3">
        <v>48.3830198</v>
      </c>
      <c r="AD128" s="3">
        <v>48.221380600000003</v>
      </c>
      <c r="AE128" s="3">
        <v>48.057833100000003</v>
      </c>
      <c r="AF128" s="3">
        <v>47.866823400000001</v>
      </c>
      <c r="AG128" s="3">
        <v>47.736398899999998</v>
      </c>
      <c r="AH128" s="3">
        <v>47.594630600000002</v>
      </c>
      <c r="AI128" s="3">
        <v>47.458106399999998</v>
      </c>
      <c r="AJ128" s="4">
        <f t="shared" si="1"/>
        <v>-7.3976976000000008</v>
      </c>
    </row>
    <row r="129" spans="1:36" ht="14.4" x14ac:dyDescent="0.3">
      <c r="A129" s="1" t="s">
        <v>261</v>
      </c>
      <c r="B129" s="1" t="s">
        <v>262</v>
      </c>
      <c r="C129" s="1" t="s">
        <v>7</v>
      </c>
      <c r="D129" s="1" t="s">
        <v>8</v>
      </c>
      <c r="E129" s="3">
        <v>77.309358799999998</v>
      </c>
      <c r="F129" s="3">
        <v>77.128249600000004</v>
      </c>
      <c r="G129" s="3">
        <v>76.947140399999995</v>
      </c>
      <c r="H129" s="3">
        <v>76.7660312</v>
      </c>
      <c r="I129" s="3">
        <v>76.584922000000006</v>
      </c>
      <c r="J129" s="3">
        <v>76.403812799999997</v>
      </c>
      <c r="K129" s="3">
        <v>76.222703600000003</v>
      </c>
      <c r="L129" s="3">
        <v>76.041594500000002</v>
      </c>
      <c r="M129" s="3">
        <v>75.860485299999993</v>
      </c>
      <c r="N129" s="3">
        <v>75.679376099999999</v>
      </c>
      <c r="O129" s="3">
        <v>75.498266900000004</v>
      </c>
      <c r="P129" s="3">
        <v>75.288344899999998</v>
      </c>
      <c r="Q129" s="3">
        <v>75.078422900000007</v>
      </c>
      <c r="R129" s="3">
        <v>74.868500900000001</v>
      </c>
      <c r="S129" s="3">
        <v>74.658578899999995</v>
      </c>
      <c r="T129" s="3">
        <v>74.448656799999995</v>
      </c>
      <c r="U129" s="3">
        <v>74.238734800000003</v>
      </c>
      <c r="V129" s="3">
        <v>74.028812799999997</v>
      </c>
      <c r="W129" s="3">
        <v>73.818890800000005</v>
      </c>
      <c r="X129" s="3">
        <v>73.6089688</v>
      </c>
      <c r="Y129" s="3">
        <v>73.399046799999994</v>
      </c>
      <c r="Z129" s="3">
        <v>73.249566700000003</v>
      </c>
      <c r="AA129" s="3">
        <v>73.100086700000006</v>
      </c>
      <c r="AB129" s="3">
        <v>72.9506066</v>
      </c>
      <c r="AC129" s="3">
        <v>72.801126499999995</v>
      </c>
      <c r="AD129" s="3">
        <v>72.651646400000004</v>
      </c>
      <c r="AE129" s="3">
        <v>72.502166399999993</v>
      </c>
      <c r="AF129" s="3">
        <v>72.352686300000002</v>
      </c>
      <c r="AG129" s="3">
        <v>72.203206199999997</v>
      </c>
      <c r="AH129" s="3">
        <v>72.0537262</v>
      </c>
      <c r="AI129" s="3">
        <v>71.904246099999995</v>
      </c>
      <c r="AJ129" s="4">
        <f t="shared" si="1"/>
        <v>-5.4051127000000037</v>
      </c>
    </row>
    <row r="130" spans="1:36" ht="14.4" x14ac:dyDescent="0.3">
      <c r="A130" s="1" t="s">
        <v>263</v>
      </c>
      <c r="B130" s="1" t="s">
        <v>264</v>
      </c>
      <c r="C130" s="1" t="s">
        <v>7</v>
      </c>
      <c r="D130" s="1" t="s">
        <v>8</v>
      </c>
      <c r="E130" s="3">
        <v>13.655913999999999</v>
      </c>
      <c r="F130" s="3">
        <v>13.641055700000001</v>
      </c>
      <c r="G130" s="3">
        <v>13.6261975</v>
      </c>
      <c r="H130" s="3">
        <v>13.6113392</v>
      </c>
      <c r="I130" s="3">
        <v>13.5964809</v>
      </c>
      <c r="J130" s="3">
        <v>13.5816227</v>
      </c>
      <c r="K130" s="3">
        <v>13.5667644</v>
      </c>
      <c r="L130" s="3">
        <v>13.551906199999999</v>
      </c>
      <c r="M130" s="3">
        <v>13.537047899999999</v>
      </c>
      <c r="N130" s="3">
        <v>13.522189600000001</v>
      </c>
      <c r="O130" s="3">
        <v>13.5073314</v>
      </c>
      <c r="P130" s="3">
        <v>13.499218000000001</v>
      </c>
      <c r="Q130" s="3">
        <v>13.4911046</v>
      </c>
      <c r="R130" s="3">
        <v>13.482991200000001</v>
      </c>
      <c r="S130" s="3">
        <v>13.4748778</v>
      </c>
      <c r="T130" s="3">
        <v>13.466764400000001</v>
      </c>
      <c r="U130" s="3">
        <v>13.458651</v>
      </c>
      <c r="V130" s="3">
        <v>13.450537600000001</v>
      </c>
      <c r="W130" s="3">
        <v>13.4424242</v>
      </c>
      <c r="X130" s="3">
        <v>13.4343109</v>
      </c>
      <c r="Y130" s="3">
        <v>13.426197500000001</v>
      </c>
      <c r="Z130" s="3">
        <v>13.4844575</v>
      </c>
      <c r="AA130" s="3">
        <v>13.5427175</v>
      </c>
      <c r="AB130" s="3">
        <v>13.600977500000001</v>
      </c>
      <c r="AC130" s="3">
        <v>13.6592375</v>
      </c>
      <c r="AD130" s="3">
        <v>13.7174976</v>
      </c>
      <c r="AE130" s="3">
        <v>13.776148600000001</v>
      </c>
      <c r="AF130" s="3">
        <v>13.8347996</v>
      </c>
      <c r="AG130" s="3">
        <v>13.8934506</v>
      </c>
      <c r="AH130" s="3">
        <v>13.9521017</v>
      </c>
      <c r="AI130" s="3">
        <v>14.010752699999999</v>
      </c>
      <c r="AJ130" s="4">
        <f t="shared" si="1"/>
        <v>0.35483870000000017</v>
      </c>
    </row>
    <row r="131" spans="1:36" ht="14.4" x14ac:dyDescent="0.3">
      <c r="A131" s="1" t="s">
        <v>265</v>
      </c>
      <c r="B131" s="1" t="s">
        <v>266</v>
      </c>
      <c r="C131" s="1" t="s">
        <v>7</v>
      </c>
      <c r="D131" s="1" t="s">
        <v>8</v>
      </c>
      <c r="E131" s="3">
        <v>88.509551500000001</v>
      </c>
      <c r="F131" s="3">
        <v>88.195390399999994</v>
      </c>
      <c r="G131" s="3">
        <v>87.881229200000007</v>
      </c>
      <c r="H131" s="3">
        <v>87.5670681</v>
      </c>
      <c r="I131" s="3">
        <v>87.252906999999993</v>
      </c>
      <c r="J131" s="3">
        <v>86.938745800000007</v>
      </c>
      <c r="K131" s="3">
        <v>86.6245847</v>
      </c>
      <c r="L131" s="3">
        <v>86.310423599999993</v>
      </c>
      <c r="M131" s="3">
        <v>85.9962625</v>
      </c>
      <c r="N131" s="3">
        <v>85.682101299999999</v>
      </c>
      <c r="O131" s="3">
        <v>85.367940200000007</v>
      </c>
      <c r="P131" s="3">
        <v>85.0537791</v>
      </c>
      <c r="Q131" s="3">
        <v>84.739617899999999</v>
      </c>
      <c r="R131" s="3">
        <v>84.425456800000006</v>
      </c>
      <c r="S131" s="3">
        <v>84.111295699999999</v>
      </c>
      <c r="T131" s="3">
        <v>83.797134600000007</v>
      </c>
      <c r="U131" s="3">
        <v>83.482973400000006</v>
      </c>
      <c r="V131" s="3">
        <v>83.168812299999999</v>
      </c>
      <c r="W131" s="3">
        <v>82.854651200000006</v>
      </c>
      <c r="X131" s="3">
        <v>82.540490000000005</v>
      </c>
      <c r="Y131" s="3">
        <v>82.226328899999999</v>
      </c>
      <c r="Z131" s="3">
        <v>81.912167800000006</v>
      </c>
      <c r="AA131" s="3">
        <v>81.598006600000005</v>
      </c>
      <c r="AB131" s="3">
        <v>81.283845499999998</v>
      </c>
      <c r="AC131" s="3">
        <v>80.969684400000006</v>
      </c>
      <c r="AD131" s="3">
        <v>80.655523299999999</v>
      </c>
      <c r="AE131" s="3">
        <v>80.341362099999998</v>
      </c>
      <c r="AF131" s="3">
        <v>80.027201000000005</v>
      </c>
      <c r="AG131" s="3">
        <v>79.713039899999998</v>
      </c>
      <c r="AH131" s="3">
        <v>79.398878699999997</v>
      </c>
      <c r="AI131" s="3">
        <v>79.084717600000005</v>
      </c>
      <c r="AJ131" s="4">
        <f t="shared" si="1"/>
        <v>-9.4248338999999959</v>
      </c>
    </row>
    <row r="132" spans="1:36" ht="14.4" x14ac:dyDescent="0.3">
      <c r="A132" s="1" t="s">
        <v>267</v>
      </c>
      <c r="B132" s="1" t="s">
        <v>268</v>
      </c>
      <c r="C132" s="1" t="s">
        <v>7</v>
      </c>
      <c r="D132" s="1" t="s">
        <v>8</v>
      </c>
      <c r="E132" s="3">
        <v>0.12332769</v>
      </c>
      <c r="F132" s="3">
        <v>0.12332769</v>
      </c>
      <c r="G132" s="3">
        <v>0.12332769</v>
      </c>
      <c r="H132" s="3">
        <v>0.12332769</v>
      </c>
      <c r="I132" s="3">
        <v>0.12332769</v>
      </c>
      <c r="J132" s="3">
        <v>0.12332769</v>
      </c>
      <c r="K132" s="3">
        <v>0.12332769</v>
      </c>
      <c r="L132" s="3">
        <v>0.12332769</v>
      </c>
      <c r="M132" s="3">
        <v>0.12332769</v>
      </c>
      <c r="N132" s="3">
        <v>0.12332769</v>
      </c>
      <c r="O132" s="3">
        <v>0.12332769</v>
      </c>
      <c r="P132" s="3">
        <v>0.12332769</v>
      </c>
      <c r="Q132" s="3">
        <v>0.12332769</v>
      </c>
      <c r="R132" s="3">
        <v>0.12332769</v>
      </c>
      <c r="S132" s="3">
        <v>0.12332769</v>
      </c>
      <c r="T132" s="3">
        <v>0.12332769</v>
      </c>
      <c r="U132" s="3">
        <v>0.12332769</v>
      </c>
      <c r="V132" s="3">
        <v>0.12332769</v>
      </c>
      <c r="W132" s="3">
        <v>0.12332769</v>
      </c>
      <c r="X132" s="3">
        <v>0.12332769</v>
      </c>
      <c r="Y132" s="3">
        <v>0.12332769</v>
      </c>
      <c r="Z132" s="3">
        <v>0.12332769</v>
      </c>
      <c r="AA132" s="3">
        <v>0.12332769</v>
      </c>
      <c r="AB132" s="3">
        <v>0.12332769</v>
      </c>
      <c r="AC132" s="3">
        <v>0.12332769</v>
      </c>
      <c r="AD132" s="3">
        <v>0.12332769</v>
      </c>
      <c r="AE132" s="3">
        <v>0.12332769</v>
      </c>
      <c r="AF132" s="3">
        <v>0.12332769</v>
      </c>
      <c r="AG132" s="3">
        <v>0.12332769</v>
      </c>
      <c r="AH132" s="3">
        <v>0.12332769</v>
      </c>
      <c r="AI132" s="3">
        <v>0.12332769</v>
      </c>
      <c r="AJ132" s="4">
        <f t="shared" si="1"/>
        <v>0</v>
      </c>
    </row>
    <row r="133" spans="1:36" ht="14.4" x14ac:dyDescent="0.3">
      <c r="A133" s="1" t="s">
        <v>269</v>
      </c>
      <c r="B133" s="1" t="s">
        <v>270</v>
      </c>
      <c r="C133" s="1" t="s">
        <v>7</v>
      </c>
      <c r="D133" s="1" t="s">
        <v>8</v>
      </c>
      <c r="E133" s="3">
        <v>34.868852500000003</v>
      </c>
      <c r="F133" s="3">
        <v>34.826229499999997</v>
      </c>
      <c r="G133" s="3">
        <v>34.783606599999999</v>
      </c>
      <c r="H133" s="3">
        <v>34.7409836</v>
      </c>
      <c r="I133" s="3">
        <v>34.698360700000002</v>
      </c>
      <c r="J133" s="3">
        <v>34.655737700000003</v>
      </c>
      <c r="K133" s="3">
        <v>34.613114799999998</v>
      </c>
      <c r="L133" s="3">
        <v>34.570491799999999</v>
      </c>
      <c r="M133" s="3">
        <v>34.527868900000001</v>
      </c>
      <c r="N133" s="3">
        <v>34.485245900000002</v>
      </c>
      <c r="O133" s="3">
        <v>34.442622999999998</v>
      </c>
      <c r="P133" s="3">
        <v>34.403278700000001</v>
      </c>
      <c r="Q133" s="3">
        <v>34.363934399999998</v>
      </c>
      <c r="R133" s="3">
        <v>34.324590200000003</v>
      </c>
      <c r="S133" s="3">
        <v>34.2852459</v>
      </c>
      <c r="T133" s="3">
        <v>34.245901600000003</v>
      </c>
      <c r="U133" s="3">
        <v>34.206557400000001</v>
      </c>
      <c r="V133" s="3">
        <v>34.167213099999998</v>
      </c>
      <c r="W133" s="3">
        <v>34.127868900000003</v>
      </c>
      <c r="X133" s="3">
        <v>34.0885246</v>
      </c>
      <c r="Y133" s="3">
        <v>34.049180300000003</v>
      </c>
      <c r="Z133" s="3">
        <v>34.049180300000003</v>
      </c>
      <c r="AA133" s="3">
        <v>34.049180300000003</v>
      </c>
      <c r="AB133" s="3">
        <v>34.049180300000003</v>
      </c>
      <c r="AC133" s="3">
        <v>34.049180300000003</v>
      </c>
      <c r="AD133" s="3">
        <v>34.049180300000003</v>
      </c>
      <c r="AE133" s="3">
        <v>34.049180300000003</v>
      </c>
      <c r="AF133" s="3">
        <v>34.049180300000003</v>
      </c>
      <c r="AG133" s="3">
        <v>34.049180300000003</v>
      </c>
      <c r="AH133" s="3">
        <v>34.049180300000003</v>
      </c>
      <c r="AI133" s="3">
        <v>34.049180300000003</v>
      </c>
      <c r="AJ133" s="4">
        <f t="shared" si="1"/>
        <v>-0.81967219999999941</v>
      </c>
    </row>
    <row r="134" spans="1:36" ht="14.4" x14ac:dyDescent="0.3">
      <c r="A134" s="1" t="s">
        <v>271</v>
      </c>
      <c r="B134" s="1" t="s">
        <v>272</v>
      </c>
      <c r="C134" s="1" t="s">
        <v>7</v>
      </c>
      <c r="D134" s="1" t="s">
        <v>8</v>
      </c>
      <c r="E134" s="3">
        <v>53.309519700000003</v>
      </c>
      <c r="F134" s="3">
        <v>53.0378811</v>
      </c>
      <c r="G134" s="3">
        <v>52.766242499999997</v>
      </c>
      <c r="H134" s="3">
        <v>52.494603900000001</v>
      </c>
      <c r="I134" s="3">
        <v>52.2229654</v>
      </c>
      <c r="J134" s="3">
        <v>51.951326799999997</v>
      </c>
      <c r="K134" s="3">
        <v>51.679688200000001</v>
      </c>
      <c r="L134" s="3">
        <v>51.408049599999998</v>
      </c>
      <c r="M134" s="3">
        <v>51.2090757</v>
      </c>
      <c r="N134" s="3">
        <v>50.937051199999999</v>
      </c>
      <c r="O134" s="3">
        <v>50.663852200000001</v>
      </c>
      <c r="P134" s="3">
        <v>50.3890514</v>
      </c>
      <c r="Q134" s="3">
        <v>50.115601699999999</v>
      </c>
      <c r="R134" s="3">
        <v>49.839587799999997</v>
      </c>
      <c r="S134" s="3">
        <v>49.563574099999997</v>
      </c>
      <c r="T134" s="3">
        <v>49.287511500000001</v>
      </c>
      <c r="U134" s="3">
        <v>49.0115476</v>
      </c>
      <c r="V134" s="3">
        <v>48.735534700000002</v>
      </c>
      <c r="W134" s="3">
        <v>48.4595463</v>
      </c>
      <c r="X134" s="3">
        <v>48.183557899999997</v>
      </c>
      <c r="Y134" s="3">
        <v>47.906460899999999</v>
      </c>
      <c r="Z134" s="3">
        <v>47.761159200000002</v>
      </c>
      <c r="AA134" s="3">
        <v>47.617366500000003</v>
      </c>
      <c r="AB134" s="3">
        <v>47.478818099999998</v>
      </c>
      <c r="AC134" s="3">
        <v>47.33549</v>
      </c>
      <c r="AD134" s="3">
        <v>47.1909785</v>
      </c>
      <c r="AE134" s="3">
        <v>47.042864100000003</v>
      </c>
      <c r="AF134" s="3">
        <v>46.870715599999997</v>
      </c>
      <c r="AG134" s="3">
        <v>46.754874800000003</v>
      </c>
      <c r="AH134" s="3">
        <v>46.629943699999998</v>
      </c>
      <c r="AI134" s="3">
        <v>46.5110125</v>
      </c>
      <c r="AJ134" s="4">
        <f t="shared" si="1"/>
        <v>-6.7985072000000031</v>
      </c>
    </row>
    <row r="135" spans="1:36" ht="14.4" x14ac:dyDescent="0.3">
      <c r="A135" s="1" t="s">
        <v>273</v>
      </c>
      <c r="B135" s="1" t="s">
        <v>274</v>
      </c>
      <c r="C135" s="1" t="s">
        <v>7</v>
      </c>
      <c r="D135" s="1" t="s">
        <v>8</v>
      </c>
      <c r="E135" s="3">
        <v>33.829951100000002</v>
      </c>
      <c r="F135" s="3">
        <v>33.683337600000002</v>
      </c>
      <c r="G135" s="3">
        <v>33.532476000000003</v>
      </c>
      <c r="H135" s="3">
        <v>33.482258700000003</v>
      </c>
      <c r="I135" s="3">
        <v>33.345666399999999</v>
      </c>
      <c r="J135" s="3">
        <v>33.196025200000001</v>
      </c>
      <c r="K135" s="3">
        <v>33.046384000000003</v>
      </c>
      <c r="L135" s="3">
        <v>32.896742799999998</v>
      </c>
      <c r="M135" s="3">
        <v>32.747101600000001</v>
      </c>
      <c r="N135" s="3">
        <v>32.597460400000003</v>
      </c>
      <c r="O135" s="3">
        <v>29.557784000000002</v>
      </c>
      <c r="P135" s="3">
        <v>32.283772300000003</v>
      </c>
      <c r="Q135" s="3">
        <v>32.120364799999997</v>
      </c>
      <c r="R135" s="3">
        <v>31.956957200000002</v>
      </c>
      <c r="S135" s="3">
        <v>31.567047500000001</v>
      </c>
      <c r="T135" s="3">
        <v>31.404815599999999</v>
      </c>
      <c r="U135" s="3">
        <v>31.242386</v>
      </c>
      <c r="V135" s="3">
        <v>31.080103699999999</v>
      </c>
      <c r="W135" s="3">
        <v>30.9182506</v>
      </c>
      <c r="X135" s="3">
        <v>30.756025300000001</v>
      </c>
      <c r="Y135" s="3">
        <v>27.852315300000001</v>
      </c>
      <c r="Z135" s="3">
        <v>28.010598099999999</v>
      </c>
      <c r="AA135" s="3">
        <v>27.818109</v>
      </c>
      <c r="AB135" s="3">
        <v>27.625517299999998</v>
      </c>
      <c r="AC135" s="3">
        <v>27.432880000000001</v>
      </c>
      <c r="AD135" s="3">
        <v>27.240133400000001</v>
      </c>
      <c r="AE135" s="3">
        <v>27.047086199999999</v>
      </c>
      <c r="AF135" s="3">
        <v>26.858401499999999</v>
      </c>
      <c r="AG135" s="3">
        <v>26.6712904</v>
      </c>
      <c r="AH135" s="3">
        <v>26.480627299999998</v>
      </c>
      <c r="AI135" s="3">
        <v>26.291912199999999</v>
      </c>
      <c r="AJ135" s="4">
        <f t="shared" si="1"/>
        <v>-7.5380389000000037</v>
      </c>
    </row>
    <row r="136" spans="1:36" ht="14.4" x14ac:dyDescent="0.3">
      <c r="A136" s="1" t="s">
        <v>275</v>
      </c>
      <c r="B136" s="1" t="s">
        <v>276</v>
      </c>
      <c r="C136" s="1" t="s">
        <v>7</v>
      </c>
      <c r="D136" s="1" t="s">
        <v>8</v>
      </c>
      <c r="E136" s="3">
        <v>26.564751000000001</v>
      </c>
      <c r="F136" s="3">
        <v>26.4446017</v>
      </c>
      <c r="G136" s="3">
        <v>26.318351100000001</v>
      </c>
      <c r="H136" s="3">
        <v>26.2781755</v>
      </c>
      <c r="I136" s="3">
        <v>26.153967300000001</v>
      </c>
      <c r="J136" s="3">
        <v>26.029759200000001</v>
      </c>
      <c r="K136" s="3">
        <v>25.9055511</v>
      </c>
      <c r="L136" s="3">
        <v>25.781343</v>
      </c>
      <c r="M136" s="3">
        <v>25.657134899999999</v>
      </c>
      <c r="N136" s="3">
        <v>25.532926799999998</v>
      </c>
      <c r="O136" s="3">
        <v>22.627901099999999</v>
      </c>
      <c r="P136" s="3">
        <v>25.289381599999999</v>
      </c>
      <c r="Q136" s="3">
        <v>25.170044600000001</v>
      </c>
      <c r="R136" s="3">
        <v>25.0510932</v>
      </c>
      <c r="S136" s="3">
        <v>24.673378899999999</v>
      </c>
      <c r="T136" s="3">
        <v>24.555171600000001</v>
      </c>
      <c r="U136" s="3">
        <v>24.436959099999999</v>
      </c>
      <c r="V136" s="3">
        <v>24.318891199999999</v>
      </c>
      <c r="W136" s="3">
        <v>24.200819599999999</v>
      </c>
      <c r="X136" s="3">
        <v>24.082720200000001</v>
      </c>
      <c r="Y136" s="3">
        <v>21.329785300000001</v>
      </c>
      <c r="Z136" s="3">
        <v>21.6708684</v>
      </c>
      <c r="AA136" s="3">
        <v>21.533636600000001</v>
      </c>
      <c r="AB136" s="3">
        <v>21.396399500000001</v>
      </c>
      <c r="AC136" s="3">
        <v>21.259215000000001</v>
      </c>
      <c r="AD136" s="3">
        <v>21.1219152</v>
      </c>
      <c r="AE136" s="3">
        <v>20.977332100000002</v>
      </c>
      <c r="AF136" s="3">
        <v>20.838113400000001</v>
      </c>
      <c r="AG136" s="3">
        <v>20.701617200000001</v>
      </c>
      <c r="AH136" s="3">
        <v>20.5602625</v>
      </c>
      <c r="AI136" s="3">
        <v>20.421564499999999</v>
      </c>
      <c r="AJ136" s="4">
        <f t="shared" si="1"/>
        <v>-6.1431865000000023</v>
      </c>
    </row>
    <row r="137" spans="1:36" ht="14.4" x14ac:dyDescent="0.3">
      <c r="A137" s="1" t="s">
        <v>277</v>
      </c>
      <c r="B137" s="1" t="s">
        <v>278</v>
      </c>
      <c r="C137" s="1" t="s">
        <v>7</v>
      </c>
      <c r="D137" s="1" t="s">
        <v>8</v>
      </c>
      <c r="E137" s="3">
        <v>40.625</v>
      </c>
      <c r="F137" s="3">
        <v>40.75</v>
      </c>
      <c r="G137" s="3">
        <v>40.875</v>
      </c>
      <c r="H137" s="3">
        <v>41</v>
      </c>
      <c r="I137" s="3">
        <v>41.125</v>
      </c>
      <c r="J137" s="3">
        <v>41.25</v>
      </c>
      <c r="K137" s="3">
        <v>41.375</v>
      </c>
      <c r="L137" s="3">
        <v>41.5</v>
      </c>
      <c r="M137" s="3">
        <v>41.625</v>
      </c>
      <c r="N137" s="3">
        <v>41.75</v>
      </c>
      <c r="O137" s="3">
        <v>41.875</v>
      </c>
      <c r="P137" s="3">
        <v>41.874375000000001</v>
      </c>
      <c r="Q137" s="3">
        <v>41.873750000000001</v>
      </c>
      <c r="R137" s="3">
        <v>41.873750000000001</v>
      </c>
      <c r="S137" s="3">
        <v>41.873125000000002</v>
      </c>
      <c r="T137" s="3">
        <v>41.872500000000002</v>
      </c>
      <c r="U137" s="3">
        <v>41.871875000000003</v>
      </c>
      <c r="V137" s="3">
        <v>41.871250000000003</v>
      </c>
      <c r="W137" s="3">
        <v>41.871250000000003</v>
      </c>
      <c r="X137" s="3">
        <v>41.870624999999997</v>
      </c>
      <c r="Y137" s="3">
        <v>41.87</v>
      </c>
      <c r="Z137" s="3">
        <v>41.871250000000003</v>
      </c>
      <c r="AA137" s="3">
        <v>41.871875000000003</v>
      </c>
      <c r="AB137" s="3">
        <v>41.873125000000002</v>
      </c>
      <c r="AC137" s="3">
        <v>41.873750000000001</v>
      </c>
      <c r="AD137" s="3">
        <v>41.875</v>
      </c>
      <c r="AE137" s="3">
        <v>41.875</v>
      </c>
      <c r="AF137" s="3">
        <v>41.875</v>
      </c>
      <c r="AG137" s="3">
        <v>41.875</v>
      </c>
      <c r="AH137" s="3">
        <v>41.875</v>
      </c>
      <c r="AI137" s="3">
        <v>41.875</v>
      </c>
      <c r="AJ137" s="4">
        <f t="shared" si="1"/>
        <v>1.25</v>
      </c>
    </row>
    <row r="138" spans="1:36" ht="14.4" x14ac:dyDescent="0.3">
      <c r="A138" s="1" t="s">
        <v>279</v>
      </c>
      <c r="B138" s="1" t="s">
        <v>280</v>
      </c>
      <c r="C138" s="1" t="s">
        <v>7</v>
      </c>
      <c r="D138" s="1" t="s">
        <v>8</v>
      </c>
      <c r="E138" s="3">
        <v>37.479349399999997</v>
      </c>
      <c r="F138" s="3">
        <v>37.186078799999997</v>
      </c>
      <c r="G138" s="3">
        <v>36.892808199999997</v>
      </c>
      <c r="H138" s="3">
        <v>36.599537599999998</v>
      </c>
      <c r="I138" s="3">
        <v>36.306266899999997</v>
      </c>
      <c r="J138" s="3">
        <v>36.012996299999998</v>
      </c>
      <c r="K138" s="3">
        <v>35.719725699999998</v>
      </c>
      <c r="L138" s="3">
        <v>35.426455099999998</v>
      </c>
      <c r="M138" s="3">
        <v>35.133184499999999</v>
      </c>
      <c r="N138" s="3">
        <v>34.839913899999999</v>
      </c>
      <c r="O138" s="3">
        <v>34.546643299999999</v>
      </c>
      <c r="P138" s="3">
        <v>34.446499799999998</v>
      </c>
      <c r="Q138" s="3">
        <v>34.346356200000002</v>
      </c>
      <c r="R138" s="3">
        <v>34.246212700000001</v>
      </c>
      <c r="S138" s="3">
        <v>34.146069199999999</v>
      </c>
      <c r="T138" s="3">
        <v>34.045925699999998</v>
      </c>
      <c r="U138" s="3">
        <v>33.945782199999996</v>
      </c>
      <c r="V138" s="3">
        <v>33.845638700000002</v>
      </c>
      <c r="W138" s="3">
        <v>33.745495099999999</v>
      </c>
      <c r="X138" s="3">
        <v>33.645351599999998</v>
      </c>
      <c r="Y138" s="3">
        <v>33.545208100000004</v>
      </c>
      <c r="Z138" s="3">
        <v>33.625578099999998</v>
      </c>
      <c r="AA138" s="3">
        <v>33.705947999999999</v>
      </c>
      <c r="AB138" s="3">
        <v>33.786318000000001</v>
      </c>
      <c r="AC138" s="3">
        <v>33.866687900000002</v>
      </c>
      <c r="AD138" s="3">
        <v>34.395165900000002</v>
      </c>
      <c r="AE138" s="3">
        <v>34.344110000000001</v>
      </c>
      <c r="AF138" s="3">
        <v>34.293054099999999</v>
      </c>
      <c r="AG138" s="3">
        <v>34.258049900000003</v>
      </c>
      <c r="AH138" s="3">
        <v>34.206970099999999</v>
      </c>
      <c r="AI138" s="3">
        <v>34.155890300000003</v>
      </c>
      <c r="AJ138" s="4">
        <f t="shared" si="1"/>
        <v>-3.3234590999999938</v>
      </c>
    </row>
    <row r="139" spans="1:36" ht="14.4" x14ac:dyDescent="0.3">
      <c r="A139" s="1" t="s">
        <v>281</v>
      </c>
      <c r="B139" s="1" t="s">
        <v>282</v>
      </c>
      <c r="C139" s="1" t="s">
        <v>7</v>
      </c>
      <c r="D139" s="1" t="s">
        <v>8</v>
      </c>
      <c r="E139" s="3">
        <v>29.3908837</v>
      </c>
      <c r="F139" s="3">
        <v>29.445574799999999</v>
      </c>
      <c r="G139" s="3">
        <v>29.306800800000001</v>
      </c>
      <c r="H139" s="3">
        <v>29.1729503</v>
      </c>
      <c r="I139" s="3">
        <v>29.046973000000001</v>
      </c>
      <c r="J139" s="3">
        <v>28.913086199999999</v>
      </c>
      <c r="K139" s="3">
        <v>28.7791994</v>
      </c>
      <c r="L139" s="3">
        <v>28.645312499999999</v>
      </c>
      <c r="M139" s="3">
        <v>28.5114257</v>
      </c>
      <c r="N139" s="3">
        <v>28.377538900000001</v>
      </c>
      <c r="O139" s="3">
        <v>28.2666796</v>
      </c>
      <c r="P139" s="3">
        <v>28.180287100000001</v>
      </c>
      <c r="Q139" s="3">
        <v>28.101978500000001</v>
      </c>
      <c r="R139" s="3">
        <v>28.0235892</v>
      </c>
      <c r="S139" s="3">
        <v>27.946646300000001</v>
      </c>
      <c r="T139" s="3">
        <v>27.8677451</v>
      </c>
      <c r="U139" s="3">
        <v>27.7887232</v>
      </c>
      <c r="V139" s="3">
        <v>27.709777899999999</v>
      </c>
      <c r="W139" s="3">
        <v>27.631092599999999</v>
      </c>
      <c r="X139" s="3">
        <v>27.552179200000001</v>
      </c>
      <c r="Y139" s="3">
        <v>27.473328599999999</v>
      </c>
      <c r="Z139" s="3">
        <v>27.352220899999999</v>
      </c>
      <c r="AA139" s="3">
        <v>27.231325399999999</v>
      </c>
      <c r="AB139" s="3">
        <v>27.1103542</v>
      </c>
      <c r="AC139" s="3">
        <v>26.990581899999999</v>
      </c>
      <c r="AD139" s="3">
        <v>26.8505486</v>
      </c>
      <c r="AE139" s="3">
        <v>26.715205399999999</v>
      </c>
      <c r="AF139" s="3">
        <v>26.5788796</v>
      </c>
      <c r="AG139" s="3">
        <v>26.470846900000002</v>
      </c>
      <c r="AH139" s="3">
        <v>26.363351699999999</v>
      </c>
      <c r="AI139" s="3">
        <v>26.256337299999998</v>
      </c>
      <c r="AJ139" s="4">
        <f t="shared" si="1"/>
        <v>-3.1345464000000014</v>
      </c>
    </row>
    <row r="140" spans="1:36" ht="14.4" x14ac:dyDescent="0.3">
      <c r="A140" s="1" t="s">
        <v>283</v>
      </c>
      <c r="B140" s="1" t="s">
        <v>284</v>
      </c>
      <c r="C140" s="1" t="s">
        <v>7</v>
      </c>
      <c r="D140" s="1" t="s">
        <v>8</v>
      </c>
      <c r="E140" s="3">
        <v>34.329816999999998</v>
      </c>
      <c r="F140" s="3">
        <v>34.294664300000001</v>
      </c>
      <c r="G140" s="3">
        <v>34.202703999999997</v>
      </c>
      <c r="H140" s="3">
        <v>34.135764299999998</v>
      </c>
      <c r="I140" s="3">
        <v>34.051773400000002</v>
      </c>
      <c r="J140" s="3">
        <v>33.964492300000003</v>
      </c>
      <c r="K140" s="3">
        <v>33.876268799999998</v>
      </c>
      <c r="L140" s="3">
        <v>33.787641899999997</v>
      </c>
      <c r="M140" s="3">
        <v>33.708815700000002</v>
      </c>
      <c r="N140" s="3">
        <v>33.617911300000003</v>
      </c>
      <c r="O140" s="3">
        <v>32.8855419</v>
      </c>
      <c r="P140" s="3">
        <v>33.4753501</v>
      </c>
      <c r="Q140" s="3">
        <v>33.4140564</v>
      </c>
      <c r="R140" s="3">
        <v>33.351963900000001</v>
      </c>
      <c r="S140" s="3">
        <v>33.243226499999999</v>
      </c>
      <c r="T140" s="3">
        <v>33.180984899999999</v>
      </c>
      <c r="U140" s="3">
        <v>33.122837199999999</v>
      </c>
      <c r="V140" s="3">
        <v>33.061235500000002</v>
      </c>
      <c r="W140" s="3">
        <v>32.999918899999997</v>
      </c>
      <c r="X140" s="3">
        <v>32.939107399999997</v>
      </c>
      <c r="Y140" s="3">
        <v>32.223193500000001</v>
      </c>
      <c r="Z140" s="3">
        <v>32.238097699999997</v>
      </c>
      <c r="AA140" s="3">
        <v>32.177346700000001</v>
      </c>
      <c r="AB140" s="3">
        <v>32.117334100000001</v>
      </c>
      <c r="AC140" s="3">
        <v>32.056936499999999</v>
      </c>
      <c r="AD140" s="3">
        <v>31.9898299</v>
      </c>
      <c r="AE140" s="3">
        <v>31.921514800000001</v>
      </c>
      <c r="AF140" s="3">
        <v>31.850249699999999</v>
      </c>
      <c r="AG140" s="3">
        <v>31.7968832</v>
      </c>
      <c r="AH140" s="3">
        <v>31.740476000000001</v>
      </c>
      <c r="AI140" s="3">
        <v>31.685431699999999</v>
      </c>
      <c r="AJ140" s="4">
        <f t="shared" si="1"/>
        <v>-2.6443852999999997</v>
      </c>
    </row>
    <row r="141" spans="1:36" ht="14.4" x14ac:dyDescent="0.3">
      <c r="A141" s="1" t="s">
        <v>285</v>
      </c>
      <c r="B141" s="1" t="s">
        <v>286</v>
      </c>
      <c r="C141" s="1" t="s">
        <v>7</v>
      </c>
      <c r="D141" s="1" t="s">
        <v>8</v>
      </c>
      <c r="E141" s="3">
        <v>1.1370224</v>
      </c>
      <c r="F141" s="3">
        <v>1.1370224</v>
      </c>
      <c r="G141" s="3">
        <v>1.1370224</v>
      </c>
      <c r="H141" s="3">
        <v>1.1370224</v>
      </c>
      <c r="I141" s="3">
        <v>1.1370224</v>
      </c>
      <c r="J141" s="3">
        <v>1.1370224</v>
      </c>
      <c r="K141" s="3">
        <v>1.1370224</v>
      </c>
      <c r="L141" s="3">
        <v>1.1370224</v>
      </c>
      <c r="M141" s="3">
        <v>1.1370224</v>
      </c>
      <c r="N141" s="3">
        <v>1.1370224</v>
      </c>
      <c r="O141" s="3">
        <v>1.1370224</v>
      </c>
      <c r="P141" s="3">
        <v>1.1370224</v>
      </c>
      <c r="Q141" s="3">
        <v>1.1370224</v>
      </c>
      <c r="R141" s="3">
        <v>1.1370224</v>
      </c>
      <c r="S141" s="3">
        <v>1.1370224</v>
      </c>
      <c r="T141" s="3">
        <v>1.1370224</v>
      </c>
      <c r="U141" s="3">
        <v>1.1370224</v>
      </c>
      <c r="V141" s="3">
        <v>1.1370224</v>
      </c>
      <c r="W141" s="3">
        <v>1.1370224</v>
      </c>
      <c r="X141" s="3">
        <v>1.1370224</v>
      </c>
      <c r="Y141" s="3">
        <v>1.1370224</v>
      </c>
      <c r="Z141" s="3">
        <v>1.1370224</v>
      </c>
      <c r="AA141" s="3">
        <v>1.1370224</v>
      </c>
      <c r="AB141" s="3">
        <v>1.1370224</v>
      </c>
      <c r="AC141" s="3">
        <v>1.1370224</v>
      </c>
      <c r="AD141" s="3">
        <v>1.1370224</v>
      </c>
      <c r="AE141" s="3">
        <v>1.1370224</v>
      </c>
      <c r="AF141" s="3">
        <v>1.1370224</v>
      </c>
      <c r="AG141" s="3">
        <v>1.1370224</v>
      </c>
      <c r="AH141" s="3">
        <v>1.1370224</v>
      </c>
      <c r="AI141" s="3">
        <v>1.1370224</v>
      </c>
      <c r="AJ141" s="4">
        <f t="shared" si="1"/>
        <v>0</v>
      </c>
    </row>
    <row r="142" spans="1:36" ht="14.4" x14ac:dyDescent="0.3">
      <c r="A142" s="1" t="s">
        <v>287</v>
      </c>
      <c r="B142" s="1" t="s">
        <v>288</v>
      </c>
      <c r="C142" s="1" t="s">
        <v>7</v>
      </c>
      <c r="D142" s="1" t="s">
        <v>8</v>
      </c>
      <c r="E142" s="3">
        <v>39.871603800000003</v>
      </c>
      <c r="F142" s="3">
        <v>39.8309535</v>
      </c>
      <c r="G142" s="3">
        <v>39.795946999999998</v>
      </c>
      <c r="H142" s="3">
        <v>39.759447399999999</v>
      </c>
      <c r="I142" s="3">
        <v>39.7243827</v>
      </c>
      <c r="J142" s="3">
        <v>39.687636300000001</v>
      </c>
      <c r="K142" s="3">
        <v>39.648634299999998</v>
      </c>
      <c r="L142" s="3">
        <v>39.608663100000001</v>
      </c>
      <c r="M142" s="3">
        <v>39.567019700000003</v>
      </c>
      <c r="N142" s="3">
        <v>39.521614999999997</v>
      </c>
      <c r="O142" s="3">
        <v>39.501063100000003</v>
      </c>
      <c r="P142" s="3">
        <v>39.484450799999998</v>
      </c>
      <c r="Q142" s="3">
        <v>39.466588799999997</v>
      </c>
      <c r="R142" s="3">
        <v>39.449178799999999</v>
      </c>
      <c r="S142" s="3">
        <v>39.431071899999999</v>
      </c>
      <c r="T142" s="3">
        <v>39.413207100000001</v>
      </c>
      <c r="U142" s="3">
        <v>39.404474800000003</v>
      </c>
      <c r="V142" s="3">
        <v>39.388012500000002</v>
      </c>
      <c r="W142" s="3">
        <v>39.372066099999998</v>
      </c>
      <c r="X142" s="3">
        <v>39.355252</v>
      </c>
      <c r="Y142" s="3">
        <v>39.338486000000003</v>
      </c>
      <c r="Z142" s="3">
        <v>39.357915300000002</v>
      </c>
      <c r="AA142" s="3">
        <v>39.377520699999998</v>
      </c>
      <c r="AB142" s="3">
        <v>39.395993199999999</v>
      </c>
      <c r="AC142" s="3">
        <v>39.415575400000002</v>
      </c>
      <c r="AD142" s="3">
        <v>39.432489699999998</v>
      </c>
      <c r="AE142" s="3">
        <v>39.449794400000002</v>
      </c>
      <c r="AF142" s="3">
        <v>39.45093</v>
      </c>
      <c r="AG142" s="3">
        <v>39.4698584</v>
      </c>
      <c r="AH142" s="3">
        <v>39.484344800000002</v>
      </c>
      <c r="AI142" s="3">
        <v>39.500496599999998</v>
      </c>
      <c r="AJ142" s="4">
        <f t="shared" si="1"/>
        <v>-0.37110720000000441</v>
      </c>
    </row>
    <row r="143" spans="1:36" ht="14.4" x14ac:dyDescent="0.3">
      <c r="A143" s="1" t="s">
        <v>289</v>
      </c>
      <c r="B143" s="1" t="s">
        <v>290</v>
      </c>
      <c r="C143" s="1" t="s">
        <v>7</v>
      </c>
      <c r="D143" s="1" t="s">
        <v>8</v>
      </c>
      <c r="E143" s="3">
        <v>31.030631799999998</v>
      </c>
      <c r="F143" s="3">
        <v>31.030631799999998</v>
      </c>
      <c r="G143" s="3">
        <v>31.2699426</v>
      </c>
      <c r="H143" s="3">
        <v>31.389597999999999</v>
      </c>
      <c r="I143" s="3">
        <v>31.509253399999999</v>
      </c>
      <c r="J143" s="3">
        <v>31.6289087</v>
      </c>
      <c r="K143" s="3">
        <v>31.748564099999999</v>
      </c>
      <c r="L143" s="3">
        <v>31.868219499999999</v>
      </c>
      <c r="M143" s="3">
        <v>31.987874900000001</v>
      </c>
      <c r="N143" s="3">
        <v>32.107530300000001</v>
      </c>
      <c r="O143" s="3">
        <v>32.2271857</v>
      </c>
      <c r="P143" s="3">
        <v>32.466496499999998</v>
      </c>
      <c r="Q143" s="3">
        <v>32.705807299999996</v>
      </c>
      <c r="R143" s="3">
        <v>32.945118100000002</v>
      </c>
      <c r="S143" s="3">
        <v>33.184428799999999</v>
      </c>
      <c r="T143" s="3">
        <v>33.423739599999998</v>
      </c>
      <c r="U143" s="3">
        <v>33.663050400000003</v>
      </c>
      <c r="V143" s="3">
        <v>33.902361200000001</v>
      </c>
      <c r="W143" s="3">
        <v>34.144395699999997</v>
      </c>
      <c r="X143" s="3">
        <v>34.383725599999998</v>
      </c>
      <c r="Y143" s="3">
        <v>34.623055399999998</v>
      </c>
      <c r="Z143" s="3">
        <v>34.677856800000001</v>
      </c>
      <c r="AA143" s="3">
        <v>34.732105799999999</v>
      </c>
      <c r="AB143" s="3">
        <v>34.785799799999999</v>
      </c>
      <c r="AC143" s="3">
        <v>34.853950500000003</v>
      </c>
      <c r="AD143" s="3">
        <v>34.908220300000004</v>
      </c>
      <c r="AE143" s="3">
        <v>34.960569599999999</v>
      </c>
      <c r="AF143" s="3">
        <v>35.056911599999999</v>
      </c>
      <c r="AG143" s="3">
        <v>35.095002399999998</v>
      </c>
      <c r="AH143" s="3">
        <v>35.126936000000001</v>
      </c>
      <c r="AI143" s="3">
        <v>35.142902800000002</v>
      </c>
      <c r="AJ143" s="4">
        <f t="shared" si="1"/>
        <v>4.1122710000000033</v>
      </c>
    </row>
    <row r="144" spans="1:36" ht="14.4" x14ac:dyDescent="0.3">
      <c r="A144" s="1" t="s">
        <v>291</v>
      </c>
      <c r="B144" s="1" t="s">
        <v>292</v>
      </c>
      <c r="C144" s="1" t="s">
        <v>7</v>
      </c>
      <c r="D144" s="1" t="s">
        <v>8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3">
        <v>35.679012299999997</v>
      </c>
      <c r="P144" s="3">
        <v>35.761316899999997</v>
      </c>
      <c r="Q144" s="3">
        <v>35.843621400000004</v>
      </c>
      <c r="R144" s="3">
        <v>35.925925900000003</v>
      </c>
      <c r="S144" s="3">
        <v>36.008230500000003</v>
      </c>
      <c r="T144" s="3">
        <v>36.090535000000003</v>
      </c>
      <c r="U144" s="3">
        <v>36.172839500000002</v>
      </c>
      <c r="V144" s="3">
        <v>36.255144000000001</v>
      </c>
      <c r="W144" s="3">
        <v>36.337448600000002</v>
      </c>
      <c r="X144" s="3">
        <v>36.419753100000001</v>
      </c>
      <c r="Y144" s="3">
        <v>36.502057600000001</v>
      </c>
      <c r="Z144" s="3">
        <v>36.502057600000001</v>
      </c>
      <c r="AA144" s="3">
        <v>36.502057600000001</v>
      </c>
      <c r="AB144" s="3">
        <v>36.502057600000001</v>
      </c>
      <c r="AC144" s="3">
        <v>36.502057600000001</v>
      </c>
      <c r="AD144" s="3">
        <v>36.502057600000001</v>
      </c>
      <c r="AE144" s="3">
        <v>36.502057600000001</v>
      </c>
      <c r="AF144" s="3">
        <v>36.502057600000001</v>
      </c>
      <c r="AG144" s="3">
        <v>36.502057600000001</v>
      </c>
      <c r="AH144" s="3">
        <v>36.502057600000001</v>
      </c>
      <c r="AI144" s="3">
        <v>36.502057600000001</v>
      </c>
      <c r="AJ144" s="4">
        <f>AI144-O144</f>
        <v>0.82304530000000398</v>
      </c>
    </row>
    <row r="145" spans="1:36" ht="14.4" x14ac:dyDescent="0.3">
      <c r="A145" s="1" t="s">
        <v>293</v>
      </c>
      <c r="B145" s="1" t="s">
        <v>294</v>
      </c>
      <c r="C145" s="1" t="s">
        <v>7</v>
      </c>
      <c r="D145" s="1" t="s">
        <v>8</v>
      </c>
      <c r="E145" s="3">
        <v>51.016142500000001</v>
      </c>
      <c r="F145" s="3">
        <v>51.016142500000001</v>
      </c>
      <c r="G145" s="3">
        <v>51.2348061</v>
      </c>
      <c r="H145" s="3">
        <v>51.3441379</v>
      </c>
      <c r="I145" s="3">
        <v>51.453469699999999</v>
      </c>
      <c r="J145" s="3">
        <v>51.562801499999999</v>
      </c>
      <c r="K145" s="3">
        <v>51.672133299999999</v>
      </c>
      <c r="L145" s="3">
        <v>51.781464999999997</v>
      </c>
      <c r="M145" s="3">
        <v>51.890796799999997</v>
      </c>
      <c r="N145" s="3">
        <v>52.000128599999996</v>
      </c>
      <c r="O145" s="3">
        <v>52.109460400000003</v>
      </c>
      <c r="P145" s="3">
        <v>52.3202778</v>
      </c>
      <c r="Q145" s="3">
        <v>52.531095200000003</v>
      </c>
      <c r="R145" s="3">
        <v>52.7419127</v>
      </c>
      <c r="S145" s="3">
        <v>52.952730099999997</v>
      </c>
      <c r="T145" s="3">
        <v>53.1635475</v>
      </c>
      <c r="U145" s="3">
        <v>53.374364900000003</v>
      </c>
      <c r="V145" s="3">
        <v>53.5851823</v>
      </c>
      <c r="W145" s="3">
        <v>53.795999700000003</v>
      </c>
      <c r="X145" s="3">
        <v>54.020714099999999</v>
      </c>
      <c r="Y145" s="3">
        <v>54.179305900000003</v>
      </c>
      <c r="Z145" s="3">
        <v>54.276270099999998</v>
      </c>
      <c r="AA145" s="3">
        <v>54.355870099999997</v>
      </c>
      <c r="AB145" s="3">
        <v>54.409261899999997</v>
      </c>
      <c r="AC145" s="3">
        <v>54.5152237</v>
      </c>
      <c r="AD145" s="3">
        <v>54.586190199999997</v>
      </c>
      <c r="AE145" s="3">
        <v>54.657276199999998</v>
      </c>
      <c r="AF145" s="3">
        <v>54.728385099999997</v>
      </c>
      <c r="AG145" s="3">
        <v>54.808342699999997</v>
      </c>
      <c r="AH145" s="3">
        <v>54.870671600000001</v>
      </c>
      <c r="AI145" s="3">
        <v>54.933000499999999</v>
      </c>
      <c r="AJ145" s="4">
        <f t="shared" ref="AJ145:AJ152" si="2">AI145-E145</f>
        <v>3.9168579999999977</v>
      </c>
    </row>
    <row r="146" spans="1:36" ht="14.4" x14ac:dyDescent="0.3">
      <c r="A146" s="1" t="s">
        <v>295</v>
      </c>
      <c r="B146" s="1" t="s">
        <v>296</v>
      </c>
      <c r="C146" s="1" t="s">
        <v>7</v>
      </c>
      <c r="D146" s="1" t="s">
        <v>8</v>
      </c>
      <c r="E146" s="3">
        <v>18.382352900000001</v>
      </c>
      <c r="F146" s="3">
        <v>18.382352900000001</v>
      </c>
      <c r="G146" s="3">
        <v>18.382352900000001</v>
      </c>
      <c r="H146" s="3">
        <v>18.382352900000001</v>
      </c>
      <c r="I146" s="3">
        <v>18.382352900000001</v>
      </c>
      <c r="J146" s="3">
        <v>18.382352900000001</v>
      </c>
      <c r="K146" s="3">
        <v>18.382352900000001</v>
      </c>
      <c r="L146" s="3">
        <v>18.382352900000001</v>
      </c>
      <c r="M146" s="3">
        <v>18.382352900000001</v>
      </c>
      <c r="N146" s="3">
        <v>18.382352900000001</v>
      </c>
      <c r="O146" s="3">
        <v>22.7941176</v>
      </c>
      <c r="P146" s="3">
        <v>18.382352900000001</v>
      </c>
      <c r="Q146" s="3">
        <v>18.382352900000001</v>
      </c>
      <c r="R146" s="3">
        <v>18.382352900000001</v>
      </c>
      <c r="S146" s="3">
        <v>18.382352900000001</v>
      </c>
      <c r="T146" s="3">
        <v>18.382352900000001</v>
      </c>
      <c r="U146" s="3">
        <v>18.382352900000001</v>
      </c>
      <c r="V146" s="3">
        <v>18.382352900000001</v>
      </c>
      <c r="W146" s="3">
        <v>18.382352900000001</v>
      </c>
      <c r="X146" s="3">
        <v>18.382352900000001</v>
      </c>
      <c r="Y146" s="3">
        <v>22.7941176</v>
      </c>
      <c r="Z146" s="3">
        <v>24.8</v>
      </c>
      <c r="AA146" s="3">
        <v>24.8</v>
      </c>
      <c r="AB146" s="3">
        <v>24.8</v>
      </c>
      <c r="AC146" s="3">
        <v>24.8</v>
      </c>
      <c r="AD146" s="3">
        <v>24.8</v>
      </c>
      <c r="AE146" s="3">
        <v>24.8</v>
      </c>
      <c r="AF146" s="3">
        <v>24.8</v>
      </c>
      <c r="AG146" s="3">
        <v>24.8</v>
      </c>
      <c r="AH146" s="3">
        <v>24.8</v>
      </c>
      <c r="AI146" s="3">
        <v>24.8</v>
      </c>
      <c r="AJ146" s="4">
        <f t="shared" si="2"/>
        <v>6.4176470999999999</v>
      </c>
    </row>
    <row r="147" spans="1:36" ht="14.4" x14ac:dyDescent="0.3">
      <c r="A147" s="1" t="s">
        <v>297</v>
      </c>
      <c r="B147" s="1" t="s">
        <v>298</v>
      </c>
      <c r="C147" s="1" t="s">
        <v>7</v>
      </c>
      <c r="D147" s="1" t="s">
        <v>8</v>
      </c>
      <c r="E147" s="3">
        <v>12.290589300000001</v>
      </c>
      <c r="F147" s="3">
        <v>12.2953507</v>
      </c>
      <c r="G147" s="3">
        <v>12.300112</v>
      </c>
      <c r="H147" s="3">
        <v>12.3048734</v>
      </c>
      <c r="I147" s="3">
        <v>12.3096348</v>
      </c>
      <c r="J147" s="3">
        <v>12.3143961</v>
      </c>
      <c r="K147" s="3">
        <v>12.319157499999999</v>
      </c>
      <c r="L147" s="3">
        <v>12.323918900000001</v>
      </c>
      <c r="M147" s="3">
        <v>12.3286803</v>
      </c>
      <c r="N147" s="3">
        <v>12.3334416</v>
      </c>
      <c r="O147" s="3">
        <v>12.338203</v>
      </c>
      <c r="P147" s="3">
        <v>12.3758526</v>
      </c>
      <c r="Q147" s="3">
        <v>12.413502100000001</v>
      </c>
      <c r="R147" s="3">
        <v>12.4511517</v>
      </c>
      <c r="S147" s="3">
        <v>12.4888013</v>
      </c>
      <c r="T147" s="3">
        <v>12.526450799999999</v>
      </c>
      <c r="U147" s="3">
        <v>12.564100399999999</v>
      </c>
      <c r="V147" s="3">
        <v>12.6017499</v>
      </c>
      <c r="W147" s="3">
        <v>12.6393995</v>
      </c>
      <c r="X147" s="3">
        <v>12.6770491</v>
      </c>
      <c r="Y147" s="3">
        <v>12.7146986</v>
      </c>
      <c r="Z147" s="3">
        <v>12.7192337</v>
      </c>
      <c r="AA147" s="3">
        <v>12.7237688</v>
      </c>
      <c r="AB147" s="3">
        <v>12.728303800000001</v>
      </c>
      <c r="AC147" s="3">
        <v>12.732838900000001</v>
      </c>
      <c r="AD147" s="3">
        <v>12.737374000000001</v>
      </c>
      <c r="AE147" s="3">
        <v>12.7712077</v>
      </c>
      <c r="AF147" s="3">
        <v>12.7976473</v>
      </c>
      <c r="AG147" s="3">
        <v>12.8200538</v>
      </c>
      <c r="AH147" s="3">
        <v>12.843580599999999</v>
      </c>
      <c r="AI147" s="3">
        <v>12.8668833</v>
      </c>
      <c r="AJ147" s="4">
        <f t="shared" si="2"/>
        <v>0.57629399999999897</v>
      </c>
    </row>
    <row r="148" spans="1:36" ht="14.4" x14ac:dyDescent="0.3">
      <c r="A148" s="1" t="s">
        <v>299</v>
      </c>
      <c r="B148" s="1" t="s">
        <v>300</v>
      </c>
      <c r="C148" s="1" t="s">
        <v>7</v>
      </c>
      <c r="D148" s="1" t="s">
        <v>8</v>
      </c>
      <c r="E148" s="3">
        <v>9.7048980799999995</v>
      </c>
      <c r="F148" s="3">
        <v>9.7048980799999995</v>
      </c>
      <c r="G148" s="3">
        <v>10.0152114</v>
      </c>
      <c r="H148" s="3">
        <v>10.048558399999999</v>
      </c>
      <c r="I148" s="3">
        <v>10.1092896</v>
      </c>
      <c r="J148" s="3">
        <v>10.170057699999999</v>
      </c>
      <c r="K148" s="3">
        <v>10.227755800000001</v>
      </c>
      <c r="L148" s="3">
        <v>10.2885784</v>
      </c>
      <c r="M148" s="3">
        <v>10.3494379</v>
      </c>
      <c r="N148" s="3">
        <v>10.410334300000001</v>
      </c>
      <c r="O148" s="3">
        <v>10.474452599999999</v>
      </c>
      <c r="P148" s="3">
        <v>10.565997599999999</v>
      </c>
      <c r="Q148" s="3">
        <v>10.657542599999999</v>
      </c>
      <c r="R148" s="3">
        <v>10.7523578</v>
      </c>
      <c r="S148" s="3">
        <v>10.840632599999999</v>
      </c>
      <c r="T148" s="3">
        <v>10.928853800000001</v>
      </c>
      <c r="U148" s="3">
        <v>11.0203709</v>
      </c>
      <c r="V148" s="3">
        <v>11.1118881</v>
      </c>
      <c r="W148" s="3">
        <v>11.2034053</v>
      </c>
      <c r="X148" s="3">
        <v>11.2949225</v>
      </c>
      <c r="Y148" s="3">
        <v>11.4003044</v>
      </c>
      <c r="Z148" s="3">
        <v>11.4727549</v>
      </c>
      <c r="AA148" s="3">
        <v>11.541691999999999</v>
      </c>
      <c r="AB148" s="3">
        <v>11.607056</v>
      </c>
      <c r="AC148" s="3">
        <v>11.679440400000001</v>
      </c>
      <c r="AD148" s="3">
        <v>11.7518248</v>
      </c>
      <c r="AE148" s="3">
        <v>11.7548662</v>
      </c>
      <c r="AF148" s="3">
        <v>11.7512922</v>
      </c>
      <c r="AG148" s="3">
        <v>11.7529717</v>
      </c>
      <c r="AH148" s="3">
        <v>11.7529717</v>
      </c>
      <c r="AI148" s="3">
        <v>11.7529717</v>
      </c>
      <c r="AJ148" s="4">
        <f t="shared" si="2"/>
        <v>2.0480736200000003</v>
      </c>
    </row>
    <row r="149" spans="1:36" ht="14.4" x14ac:dyDescent="0.3">
      <c r="A149" s="1" t="s">
        <v>301</v>
      </c>
      <c r="B149" s="1" t="s">
        <v>302</v>
      </c>
      <c r="C149" s="1" t="s">
        <v>7</v>
      </c>
      <c r="D149" s="1" t="s">
        <v>8</v>
      </c>
      <c r="E149" s="3">
        <v>23.546875499999999</v>
      </c>
      <c r="F149" s="3">
        <v>23.432905699999999</v>
      </c>
      <c r="G149" s="3">
        <v>23.3189359</v>
      </c>
      <c r="H149" s="3">
        <v>23.2049661</v>
      </c>
      <c r="I149" s="3">
        <v>23.0909963</v>
      </c>
      <c r="J149" s="3">
        <v>22.977026500000001</v>
      </c>
      <c r="K149" s="3">
        <v>22.863056700000001</v>
      </c>
      <c r="L149" s="3">
        <v>22.749086900000002</v>
      </c>
      <c r="M149" s="3">
        <v>22.635117099999999</v>
      </c>
      <c r="N149" s="3">
        <v>22.521147299999999</v>
      </c>
      <c r="O149" s="3">
        <v>22.4071775</v>
      </c>
      <c r="P149" s="3">
        <v>22.326582899999998</v>
      </c>
      <c r="Q149" s="3">
        <v>22.245988199999999</v>
      </c>
      <c r="R149" s="3">
        <v>22.165393600000002</v>
      </c>
      <c r="S149" s="3">
        <v>22.084799</v>
      </c>
      <c r="T149" s="3">
        <v>22.004204399999999</v>
      </c>
      <c r="U149" s="3">
        <v>21.9236097</v>
      </c>
      <c r="V149" s="3">
        <v>21.843015099999999</v>
      </c>
      <c r="W149" s="3">
        <v>21.762420500000001</v>
      </c>
      <c r="X149" s="3">
        <v>21.681825799999999</v>
      </c>
      <c r="Y149" s="3">
        <v>21.601231200000001</v>
      </c>
      <c r="Z149" s="3">
        <v>21.569044099999999</v>
      </c>
      <c r="AA149" s="3">
        <v>21.5463247</v>
      </c>
      <c r="AB149" s="3">
        <v>21.523420399999999</v>
      </c>
      <c r="AC149" s="3">
        <v>21.500701299999999</v>
      </c>
      <c r="AD149" s="3">
        <v>21.477982099999998</v>
      </c>
      <c r="AE149" s="3">
        <v>21.455276699999999</v>
      </c>
      <c r="AF149" s="3">
        <v>21.432554100000001</v>
      </c>
      <c r="AG149" s="3">
        <v>21.4098316</v>
      </c>
      <c r="AH149" s="3">
        <v>21.387126200000001</v>
      </c>
      <c r="AI149" s="3">
        <v>21.364403599999999</v>
      </c>
      <c r="AJ149" s="4">
        <f t="shared" si="2"/>
        <v>-2.1824718999999995</v>
      </c>
    </row>
    <row r="150" spans="1:36" ht="14.4" x14ac:dyDescent="0.3">
      <c r="A150" s="1" t="s">
        <v>303</v>
      </c>
      <c r="B150" s="1" t="s">
        <v>304</v>
      </c>
      <c r="C150" s="1" t="s">
        <v>7</v>
      </c>
      <c r="D150" s="1" t="s">
        <v>8</v>
      </c>
      <c r="E150" s="3">
        <v>2.7333333299999998</v>
      </c>
      <c r="F150" s="3">
        <v>2.7333333299999998</v>
      </c>
      <c r="G150" s="3">
        <v>2.7333333299999998</v>
      </c>
      <c r="H150" s="3">
        <v>2.7333333299999998</v>
      </c>
      <c r="I150" s="3">
        <v>2.7333333299999998</v>
      </c>
      <c r="J150" s="3">
        <v>2.7333333299999998</v>
      </c>
      <c r="K150" s="3">
        <v>2.7333333299999998</v>
      </c>
      <c r="L150" s="3">
        <v>2.7333333299999998</v>
      </c>
      <c r="M150" s="3">
        <v>2.7333333299999998</v>
      </c>
      <c r="N150" s="3">
        <v>2.7333333299999998</v>
      </c>
      <c r="O150" s="3">
        <v>2.7333333299999998</v>
      </c>
      <c r="P150" s="3">
        <v>2.7333333299999998</v>
      </c>
      <c r="Q150" s="3">
        <v>2.7333333299999998</v>
      </c>
      <c r="R150" s="3">
        <v>2.7333333299999998</v>
      </c>
      <c r="S150" s="3">
        <v>2.7333333299999998</v>
      </c>
      <c r="T150" s="3">
        <v>2.7333333299999998</v>
      </c>
      <c r="U150" s="3">
        <v>2.7333333299999998</v>
      </c>
      <c r="V150" s="3">
        <v>2.7333333299999998</v>
      </c>
      <c r="W150" s="3">
        <v>2.7333333299999998</v>
      </c>
      <c r="X150" s="3">
        <v>2.7333333299999998</v>
      </c>
      <c r="Y150" s="3">
        <v>2.7333333299999998</v>
      </c>
      <c r="Z150" s="3">
        <v>2.7333333299999998</v>
      </c>
      <c r="AA150" s="3">
        <v>2.7333333299999998</v>
      </c>
      <c r="AB150" s="3">
        <v>2.7333333299999998</v>
      </c>
      <c r="AC150" s="3">
        <v>2.7333333299999998</v>
      </c>
      <c r="AD150" s="3">
        <v>2.7333333299999998</v>
      </c>
      <c r="AE150" s="3">
        <v>2.7333333299999998</v>
      </c>
      <c r="AF150" s="3">
        <v>2.7333333299999998</v>
      </c>
      <c r="AG150" s="3">
        <v>2.7333333299999998</v>
      </c>
      <c r="AH150" s="3">
        <v>2.7333333299999998</v>
      </c>
      <c r="AI150" s="3">
        <v>2.7333333299999998</v>
      </c>
      <c r="AJ150" s="4">
        <f t="shared" si="2"/>
        <v>0</v>
      </c>
    </row>
    <row r="151" spans="1:36" ht="14.4" x14ac:dyDescent="0.3">
      <c r="A151" s="1" t="s">
        <v>305</v>
      </c>
      <c r="B151" s="1" t="s">
        <v>306</v>
      </c>
      <c r="C151" s="1" t="s">
        <v>7</v>
      </c>
      <c r="D151" s="1" t="s">
        <v>8</v>
      </c>
      <c r="E151" s="3">
        <v>1.8235077</v>
      </c>
      <c r="F151" s="3">
        <v>1.8269067400000001</v>
      </c>
      <c r="G151" s="3">
        <v>1.8303025100000001</v>
      </c>
      <c r="H151" s="3">
        <v>1.8337015299999999</v>
      </c>
      <c r="I151" s="3">
        <v>1.8371005499999999</v>
      </c>
      <c r="J151" s="3">
        <v>1.8404995900000001</v>
      </c>
      <c r="K151" s="3">
        <v>1.8438986100000001</v>
      </c>
      <c r="L151" s="3">
        <v>1.8472976400000001</v>
      </c>
      <c r="M151" s="3">
        <v>1.8506966600000001</v>
      </c>
      <c r="N151" s="3">
        <v>1.8540956900000001</v>
      </c>
      <c r="O151" s="3">
        <v>1.8574947100000001</v>
      </c>
      <c r="P151" s="3">
        <v>1.8750976500000001</v>
      </c>
      <c r="Q151" s="3">
        <v>1.89270059</v>
      </c>
      <c r="R151" s="3">
        <v>1.91033327</v>
      </c>
      <c r="S151" s="3">
        <v>1.92793821</v>
      </c>
      <c r="T151" s="3">
        <v>1.94553971</v>
      </c>
      <c r="U151" s="3">
        <v>1.96313066</v>
      </c>
      <c r="V151" s="3">
        <v>1.98072848</v>
      </c>
      <c r="W151" s="3">
        <v>1.99832801</v>
      </c>
      <c r="X151" s="3">
        <v>2.0163801399999999</v>
      </c>
      <c r="Y151" s="3">
        <v>2.0340563299999999</v>
      </c>
      <c r="Z151" s="3">
        <v>2.0354579899999998</v>
      </c>
      <c r="AA151" s="3">
        <v>2.0369295200000002</v>
      </c>
      <c r="AB151" s="3">
        <v>2.0384364599999998</v>
      </c>
      <c r="AC151" s="3">
        <v>2.0399301799999998</v>
      </c>
      <c r="AD151" s="3">
        <v>2.0414872700000002</v>
      </c>
      <c r="AE151" s="3">
        <v>2.0413748200000001</v>
      </c>
      <c r="AF151" s="3">
        <v>2.0422130699999999</v>
      </c>
      <c r="AG151" s="3">
        <v>2.0435994599999998</v>
      </c>
      <c r="AH151" s="3">
        <v>2.04698972</v>
      </c>
      <c r="AI151" s="3">
        <v>2.04975627</v>
      </c>
      <c r="AJ151" s="4">
        <f t="shared" si="2"/>
        <v>0.22624857000000009</v>
      </c>
    </row>
    <row r="152" spans="1:36" ht="14.4" x14ac:dyDescent="0.3">
      <c r="A152" s="1" t="s">
        <v>307</v>
      </c>
      <c r="B152" s="1" t="s">
        <v>308</v>
      </c>
      <c r="C152" s="1" t="s">
        <v>7</v>
      </c>
      <c r="D152" s="1" t="s">
        <v>8</v>
      </c>
      <c r="E152" s="3">
        <v>36.313511099999999</v>
      </c>
      <c r="F152" s="3">
        <v>36.199809700000003</v>
      </c>
      <c r="G152" s="3">
        <v>36.086108199999998</v>
      </c>
      <c r="H152" s="3">
        <v>35.972406700000001</v>
      </c>
      <c r="I152" s="3">
        <v>35.858705200000003</v>
      </c>
      <c r="J152" s="3">
        <v>35.745003699999998</v>
      </c>
      <c r="K152" s="3">
        <v>35.6313022</v>
      </c>
      <c r="L152" s="3">
        <v>35.517600799999997</v>
      </c>
      <c r="M152" s="3">
        <v>35.403899299999999</v>
      </c>
      <c r="N152" s="3">
        <v>35.290197800000001</v>
      </c>
      <c r="O152" s="3">
        <v>35.176496299999997</v>
      </c>
      <c r="P152" s="3">
        <v>35.102521199999998</v>
      </c>
      <c r="Q152" s="3">
        <v>35.028545999999999</v>
      </c>
      <c r="R152" s="3">
        <v>34.954570799999999</v>
      </c>
      <c r="S152" s="3">
        <v>34.880595700000001</v>
      </c>
      <c r="T152" s="3">
        <v>34.806620500000001</v>
      </c>
      <c r="U152" s="3">
        <v>34.732645400000003</v>
      </c>
      <c r="V152" s="3">
        <v>34.658670200000003</v>
      </c>
      <c r="W152" s="3">
        <v>34.584695099999998</v>
      </c>
      <c r="X152" s="3">
        <v>34.510719899999998</v>
      </c>
      <c r="Y152" s="3">
        <v>34.4367448</v>
      </c>
      <c r="Z152" s="3">
        <v>34.373739</v>
      </c>
      <c r="AA152" s="3">
        <v>34.310733300000003</v>
      </c>
      <c r="AB152" s="3">
        <v>34.247727599999997</v>
      </c>
      <c r="AC152" s="3">
        <v>34.184721799999998</v>
      </c>
      <c r="AD152" s="3">
        <v>34.1217161</v>
      </c>
      <c r="AE152" s="3">
        <v>34.055994200000001</v>
      </c>
      <c r="AF152" s="3">
        <v>33.990267199999998</v>
      </c>
      <c r="AG152" s="3">
        <v>33.924540200000003</v>
      </c>
      <c r="AH152" s="3">
        <v>33.858818399999997</v>
      </c>
      <c r="AI152" s="3">
        <v>33.793091400000002</v>
      </c>
      <c r="AJ152" s="4">
        <f t="shared" si="2"/>
        <v>-2.5204196999999979</v>
      </c>
    </row>
    <row r="153" spans="1:36" ht="14.4" x14ac:dyDescent="0.3">
      <c r="A153" s="1" t="s">
        <v>309</v>
      </c>
      <c r="B153" s="1" t="s">
        <v>310</v>
      </c>
      <c r="C153" s="1" t="s">
        <v>7</v>
      </c>
      <c r="D153" s="1" t="s">
        <v>8</v>
      </c>
      <c r="E153" s="5"/>
      <c r="F153" s="3">
        <v>52.222222199999997</v>
      </c>
      <c r="G153" s="3">
        <v>52.222222199999997</v>
      </c>
      <c r="H153" s="3">
        <v>52.222222199999997</v>
      </c>
      <c r="I153" s="3">
        <v>52.222222199999997</v>
      </c>
      <c r="J153" s="3">
        <v>52.222222199999997</v>
      </c>
      <c r="K153" s="3">
        <v>52.222222199999997</v>
      </c>
      <c r="L153" s="3">
        <v>52.222222199999997</v>
      </c>
      <c r="M153" s="3">
        <v>52.222222199999997</v>
      </c>
      <c r="N153" s="3">
        <v>52.222222199999997</v>
      </c>
      <c r="O153" s="3">
        <v>52.222222199999997</v>
      </c>
      <c r="P153" s="3">
        <v>52.222222199999997</v>
      </c>
      <c r="Q153" s="3">
        <v>52.222222199999997</v>
      </c>
      <c r="R153" s="3">
        <v>52.222222199999997</v>
      </c>
      <c r="S153" s="3">
        <v>52.222222199999997</v>
      </c>
      <c r="T153" s="3">
        <v>52.222222199999997</v>
      </c>
      <c r="U153" s="3">
        <v>52.222222199999997</v>
      </c>
      <c r="V153" s="3">
        <v>52.222222199999997</v>
      </c>
      <c r="W153" s="3">
        <v>52.222222199999997</v>
      </c>
      <c r="X153" s="3">
        <v>52.222222199999997</v>
      </c>
      <c r="Y153" s="3">
        <v>52.222222199999997</v>
      </c>
      <c r="Z153" s="3">
        <v>52.222222199999997</v>
      </c>
      <c r="AA153" s="3">
        <v>52.222222199999997</v>
      </c>
      <c r="AB153" s="3">
        <v>52.222222199999997</v>
      </c>
      <c r="AC153" s="3">
        <v>52.222222199999997</v>
      </c>
      <c r="AD153" s="3">
        <v>52.222222199999997</v>
      </c>
      <c r="AE153" s="3">
        <v>52.222222199999997</v>
      </c>
      <c r="AF153" s="3">
        <v>52.222222199999997</v>
      </c>
      <c r="AG153" s="3">
        <v>52.222222199999997</v>
      </c>
      <c r="AH153" s="3">
        <v>52.222222199999997</v>
      </c>
      <c r="AI153" s="3">
        <v>52.222222199999997</v>
      </c>
      <c r="AJ153" s="4">
        <f>AI153-F153</f>
        <v>0</v>
      </c>
    </row>
    <row r="154" spans="1:36" ht="14.4" x14ac:dyDescent="0.3">
      <c r="A154" s="1" t="s">
        <v>311</v>
      </c>
      <c r="B154" s="1" t="s">
        <v>312</v>
      </c>
      <c r="C154" s="1" t="s">
        <v>7</v>
      </c>
      <c r="D154" s="1" t="s">
        <v>8</v>
      </c>
      <c r="E154" s="3">
        <v>35.550451899999999</v>
      </c>
      <c r="F154" s="3">
        <v>35.528644900000003</v>
      </c>
      <c r="G154" s="3">
        <v>35.4420748</v>
      </c>
      <c r="H154" s="3">
        <v>35.3609595</v>
      </c>
      <c r="I154" s="3">
        <v>35.2834219</v>
      </c>
      <c r="J154" s="3">
        <v>35.2019454</v>
      </c>
      <c r="K154" s="3">
        <v>35.119340100000002</v>
      </c>
      <c r="L154" s="3">
        <v>35.036251300000004</v>
      </c>
      <c r="M154" s="3">
        <v>34.964913799999998</v>
      </c>
      <c r="N154" s="3">
        <v>34.879096099999998</v>
      </c>
      <c r="O154" s="3">
        <v>34.807850000000002</v>
      </c>
      <c r="P154" s="3">
        <v>34.752645000000001</v>
      </c>
      <c r="Q154" s="3">
        <v>34.700452300000002</v>
      </c>
      <c r="R154" s="3">
        <v>34.647218000000002</v>
      </c>
      <c r="S154" s="3">
        <v>34.594480099999998</v>
      </c>
      <c r="T154" s="3">
        <v>34.5410678</v>
      </c>
      <c r="U154" s="3">
        <v>34.492458300000003</v>
      </c>
      <c r="V154" s="3">
        <v>34.439763499999998</v>
      </c>
      <c r="W154" s="3">
        <v>34.387413500000001</v>
      </c>
      <c r="X154" s="3">
        <v>34.3356797</v>
      </c>
      <c r="Y154" s="3">
        <v>34.282856299999999</v>
      </c>
      <c r="Z154" s="3">
        <v>34.236101699999999</v>
      </c>
      <c r="AA154" s="3">
        <v>34.189824199999997</v>
      </c>
      <c r="AB154" s="3">
        <v>34.144481900000002</v>
      </c>
      <c r="AC154" s="3">
        <v>34.0986379</v>
      </c>
      <c r="AD154" s="3">
        <v>34.0443389</v>
      </c>
      <c r="AE154" s="3">
        <v>33.988706200000003</v>
      </c>
      <c r="AF154" s="3">
        <v>33.9302864</v>
      </c>
      <c r="AG154" s="3">
        <v>33.8926199</v>
      </c>
      <c r="AH154" s="3">
        <v>33.852257999999999</v>
      </c>
      <c r="AI154" s="3">
        <v>33.813014699999997</v>
      </c>
      <c r="AJ154" s="4">
        <f t="shared" ref="AJ154:AJ161" si="3">AI154-E154</f>
        <v>-1.7374372000000022</v>
      </c>
    </row>
    <row r="155" spans="1:36" ht="14.4" x14ac:dyDescent="0.3">
      <c r="A155" s="1" t="s">
        <v>313</v>
      </c>
      <c r="B155" s="1" t="s">
        <v>314</v>
      </c>
      <c r="C155" s="1" t="s">
        <v>7</v>
      </c>
      <c r="D155" s="1" t="s">
        <v>8</v>
      </c>
      <c r="E155" s="3">
        <v>35.863153799999999</v>
      </c>
      <c r="F155" s="3">
        <v>35.863153799999999</v>
      </c>
      <c r="G155" s="3">
        <v>36.221392100000003</v>
      </c>
      <c r="H155" s="3">
        <v>36.400511199999997</v>
      </c>
      <c r="I155" s="3">
        <v>36.579630399999999</v>
      </c>
      <c r="J155" s="3">
        <v>36.7587495</v>
      </c>
      <c r="K155" s="3">
        <v>36.937868700000003</v>
      </c>
      <c r="L155" s="3">
        <v>37.116987799999997</v>
      </c>
      <c r="M155" s="3">
        <v>37.296106999999999</v>
      </c>
      <c r="N155" s="3">
        <v>37.4752261</v>
      </c>
      <c r="O155" s="3">
        <v>37.654345300000003</v>
      </c>
      <c r="P155" s="3">
        <v>37.665670499999997</v>
      </c>
      <c r="Q155" s="3">
        <v>37.676995699999999</v>
      </c>
      <c r="R155" s="3">
        <v>37.688320900000001</v>
      </c>
      <c r="S155" s="3">
        <v>37.699646100000002</v>
      </c>
      <c r="T155" s="3">
        <v>37.710971299999997</v>
      </c>
      <c r="U155" s="3">
        <v>37.722296499999999</v>
      </c>
      <c r="V155" s="3">
        <v>38.032738799999997</v>
      </c>
      <c r="W155" s="3">
        <v>38.044153799999997</v>
      </c>
      <c r="X155" s="3">
        <v>38.070658199999997</v>
      </c>
      <c r="Y155" s="3">
        <v>38.082077699999999</v>
      </c>
      <c r="Z155" s="3">
        <v>38.351467100000001</v>
      </c>
      <c r="AA155" s="3">
        <v>38.620856500000002</v>
      </c>
      <c r="AB155" s="3">
        <v>38.890245800000002</v>
      </c>
      <c r="AC155" s="3">
        <v>39.159635199999997</v>
      </c>
      <c r="AD155" s="3">
        <v>39.429024599999998</v>
      </c>
      <c r="AE155" s="3">
        <v>39.717287900000002</v>
      </c>
      <c r="AF155" s="3">
        <v>39.7101507</v>
      </c>
      <c r="AG155" s="3">
        <v>39.7101507</v>
      </c>
      <c r="AH155" s="3">
        <v>39.7101507</v>
      </c>
      <c r="AI155" s="3">
        <v>39.7101507</v>
      </c>
      <c r="AJ155" s="4">
        <f t="shared" si="3"/>
        <v>3.8469969000000006</v>
      </c>
    </row>
    <row r="156" spans="1:36" ht="14.4" x14ac:dyDescent="0.3">
      <c r="A156" s="1" t="s">
        <v>315</v>
      </c>
      <c r="B156" s="1" t="s">
        <v>316</v>
      </c>
      <c r="C156" s="1" t="s">
        <v>7</v>
      </c>
      <c r="D156" s="1" t="s">
        <v>8</v>
      </c>
      <c r="E156" s="3">
        <v>10.8966636</v>
      </c>
      <c r="F156" s="3">
        <v>10.8966636</v>
      </c>
      <c r="G156" s="3">
        <v>10.8966636</v>
      </c>
      <c r="H156" s="3">
        <v>10.8966636</v>
      </c>
      <c r="I156" s="3">
        <v>10.8966636</v>
      </c>
      <c r="J156" s="3">
        <v>10.8966636</v>
      </c>
      <c r="K156" s="3">
        <v>10.8966636</v>
      </c>
      <c r="L156" s="3">
        <v>10.8966636</v>
      </c>
      <c r="M156" s="3">
        <v>10.8966636</v>
      </c>
      <c r="N156" s="3">
        <v>10.8966636</v>
      </c>
      <c r="O156" s="3">
        <v>10.8966636</v>
      </c>
      <c r="P156" s="3">
        <v>10.8966636</v>
      </c>
      <c r="Q156" s="3">
        <v>10.8966636</v>
      </c>
      <c r="R156" s="3">
        <v>10.8966636</v>
      </c>
      <c r="S156" s="3">
        <v>10.8966636</v>
      </c>
      <c r="T156" s="3">
        <v>10.8966636</v>
      </c>
      <c r="U156" s="3">
        <v>10.8966636</v>
      </c>
      <c r="V156" s="3">
        <v>10.8966636</v>
      </c>
      <c r="W156" s="3">
        <v>10.8966636</v>
      </c>
      <c r="X156" s="3">
        <v>10.8966636</v>
      </c>
      <c r="Y156" s="3">
        <v>10.8966636</v>
      </c>
      <c r="Z156" s="3">
        <v>10.8966636</v>
      </c>
      <c r="AA156" s="3">
        <v>10.8966636</v>
      </c>
      <c r="AB156" s="3">
        <v>10.8966636</v>
      </c>
      <c r="AC156" s="3">
        <v>10.8966636</v>
      </c>
      <c r="AD156" s="3">
        <v>10.8966636</v>
      </c>
      <c r="AE156" s="3">
        <v>10.8966636</v>
      </c>
      <c r="AF156" s="3">
        <v>10.8966636</v>
      </c>
      <c r="AG156" s="3">
        <v>10.8966636</v>
      </c>
      <c r="AH156" s="3">
        <v>10.8966636</v>
      </c>
      <c r="AI156" s="3">
        <v>10.8966636</v>
      </c>
      <c r="AJ156" s="4">
        <f t="shared" si="3"/>
        <v>0</v>
      </c>
    </row>
    <row r="157" spans="1:36" ht="14.4" x14ac:dyDescent="0.3">
      <c r="A157" s="1" t="s">
        <v>317</v>
      </c>
      <c r="B157" s="1" t="s">
        <v>318</v>
      </c>
      <c r="C157" s="1" t="s">
        <v>7</v>
      </c>
      <c r="D157" s="1" t="s">
        <v>8</v>
      </c>
      <c r="E157" s="3">
        <v>1.09375</v>
      </c>
      <c r="F157" s="3">
        <v>1.09375</v>
      </c>
      <c r="G157" s="3">
        <v>1.09375</v>
      </c>
      <c r="H157" s="3">
        <v>1.09375</v>
      </c>
      <c r="I157" s="3">
        <v>1.09375</v>
      </c>
      <c r="J157" s="3">
        <v>1.09375</v>
      </c>
      <c r="K157" s="3">
        <v>1.09375</v>
      </c>
      <c r="L157" s="3">
        <v>1.09375</v>
      </c>
      <c r="M157" s="3">
        <v>1.09375</v>
      </c>
      <c r="N157" s="3">
        <v>1.09375</v>
      </c>
      <c r="O157" s="3">
        <v>1.09375</v>
      </c>
      <c r="P157" s="3">
        <v>1.09375</v>
      </c>
      <c r="Q157" s="3">
        <v>1.09375</v>
      </c>
      <c r="R157" s="3">
        <v>1.09375</v>
      </c>
      <c r="S157" s="3">
        <v>1.09375</v>
      </c>
      <c r="T157" s="3">
        <v>1.09375</v>
      </c>
      <c r="U157" s="3">
        <v>1.09375</v>
      </c>
      <c r="V157" s="3">
        <v>1.09375</v>
      </c>
      <c r="W157" s="3">
        <v>1.09375</v>
      </c>
      <c r="X157" s="3">
        <v>1.09375</v>
      </c>
      <c r="Y157" s="3">
        <v>1.09375</v>
      </c>
      <c r="Z157" s="3">
        <v>1.09375</v>
      </c>
      <c r="AA157" s="3">
        <v>1.09375</v>
      </c>
      <c r="AB157" s="3">
        <v>1.09375</v>
      </c>
      <c r="AC157" s="3">
        <v>1.09375</v>
      </c>
      <c r="AD157" s="3">
        <v>1.09375</v>
      </c>
      <c r="AE157" s="3">
        <v>1.1875</v>
      </c>
      <c r="AF157" s="3">
        <v>1.3125</v>
      </c>
      <c r="AG157" s="3">
        <v>1.4375</v>
      </c>
      <c r="AH157" s="3">
        <v>1.4375</v>
      </c>
      <c r="AI157" s="3">
        <v>1.4375</v>
      </c>
      <c r="AJ157" s="4">
        <f t="shared" si="3"/>
        <v>0.34375</v>
      </c>
    </row>
    <row r="158" spans="1:36" ht="14.4" x14ac:dyDescent="0.3">
      <c r="A158" s="1" t="s">
        <v>319</v>
      </c>
      <c r="B158" s="1" t="s">
        <v>320</v>
      </c>
      <c r="C158" s="1" t="s">
        <v>7</v>
      </c>
      <c r="D158" s="1" t="s">
        <v>8</v>
      </c>
      <c r="E158" s="3">
        <v>60.009303199999998</v>
      </c>
      <c r="F158" s="3">
        <v>59.343640800000003</v>
      </c>
      <c r="G158" s="3">
        <v>58.677978400000001</v>
      </c>
      <c r="H158" s="3">
        <v>58.012315999999998</v>
      </c>
      <c r="I158" s="3">
        <v>57.346653600000003</v>
      </c>
      <c r="J158" s="3">
        <v>56.680991200000001</v>
      </c>
      <c r="K158" s="3">
        <v>56.015328799999999</v>
      </c>
      <c r="L158" s="3">
        <v>55.349666399999997</v>
      </c>
      <c r="M158" s="3">
        <v>54.684004000000002</v>
      </c>
      <c r="N158" s="3">
        <v>54.018341599999999</v>
      </c>
      <c r="O158" s="3">
        <v>53.352679299999998</v>
      </c>
      <c r="P158" s="3">
        <v>52.828287500000002</v>
      </c>
      <c r="Q158" s="3">
        <v>52.303895699999998</v>
      </c>
      <c r="R158" s="3">
        <v>51.779503900000002</v>
      </c>
      <c r="S158" s="3">
        <v>51.2645251</v>
      </c>
      <c r="T158" s="3">
        <v>50.744696599999997</v>
      </c>
      <c r="U158" s="3">
        <v>50.211706700000001</v>
      </c>
      <c r="V158" s="3">
        <v>49.683457300000001</v>
      </c>
      <c r="W158" s="3">
        <v>49.174851099999998</v>
      </c>
      <c r="X158" s="3">
        <v>48.651019400000003</v>
      </c>
      <c r="Y158" s="3">
        <v>48.129381899999998</v>
      </c>
      <c r="Z158" s="3">
        <v>47.683705600000003</v>
      </c>
      <c r="AA158" s="3">
        <v>47.250365199999997</v>
      </c>
      <c r="AB158" s="3">
        <v>46.811820900000001</v>
      </c>
      <c r="AC158" s="3">
        <v>46.368212200000002</v>
      </c>
      <c r="AD158" s="3">
        <v>45.924603400000002</v>
      </c>
      <c r="AE158" s="3">
        <v>45.480997700000003</v>
      </c>
      <c r="AF158" s="3">
        <v>45.057399799999999</v>
      </c>
      <c r="AG158" s="3">
        <v>44.613596999999999</v>
      </c>
      <c r="AH158" s="3">
        <v>44.1697943</v>
      </c>
      <c r="AI158" s="3">
        <v>43.725991499999999</v>
      </c>
      <c r="AJ158" s="4">
        <f t="shared" si="3"/>
        <v>-16.283311699999999</v>
      </c>
    </row>
    <row r="159" spans="1:36" ht="14.4" x14ac:dyDescent="0.3">
      <c r="A159" s="1" t="s">
        <v>321</v>
      </c>
      <c r="B159" s="1" t="s">
        <v>322</v>
      </c>
      <c r="C159" s="1" t="s">
        <v>7</v>
      </c>
      <c r="D159" s="1" t="s">
        <v>8</v>
      </c>
      <c r="E159" s="3">
        <v>2.2108086</v>
      </c>
      <c r="F159" s="3">
        <v>2.2142168</v>
      </c>
      <c r="G159" s="3">
        <v>2.2176250099999999</v>
      </c>
      <c r="H159" s="3">
        <v>2.2210332099999999</v>
      </c>
      <c r="I159" s="3">
        <v>2.2244414099999998</v>
      </c>
      <c r="J159" s="3">
        <v>2.2278496300000001</v>
      </c>
      <c r="K159" s="3">
        <v>2.2312578300000001</v>
      </c>
      <c r="L159" s="3">
        <v>2.2346660300000001</v>
      </c>
      <c r="M159" s="3">
        <v>2.2380742300000001</v>
      </c>
      <c r="N159" s="3">
        <v>2.24148244</v>
      </c>
      <c r="O159" s="3">
        <v>2.2448906399999999</v>
      </c>
      <c r="P159" s="3">
        <v>2.2676317699999999</v>
      </c>
      <c r="Q159" s="3">
        <v>2.2903729099999999</v>
      </c>
      <c r="R159" s="3">
        <v>2.3131637299999999</v>
      </c>
      <c r="S159" s="3">
        <v>2.3359107699999999</v>
      </c>
      <c r="T159" s="3">
        <v>2.3586524600000001</v>
      </c>
      <c r="U159" s="3">
        <v>2.3813753000000002</v>
      </c>
      <c r="V159" s="3">
        <v>2.4041117299999999</v>
      </c>
      <c r="W159" s="3">
        <v>2.4268509200000001</v>
      </c>
      <c r="X159" s="3">
        <v>2.4503016299999998</v>
      </c>
      <c r="Y159" s="3">
        <v>2.4731405500000001</v>
      </c>
      <c r="Z159" s="3">
        <v>2.47470583</v>
      </c>
      <c r="AA159" s="3">
        <v>2.4763613699999998</v>
      </c>
      <c r="AB159" s="3">
        <v>2.4780719699999998</v>
      </c>
      <c r="AC159" s="3">
        <v>2.4797275499999998</v>
      </c>
      <c r="AD159" s="3">
        <v>2.4814951000000001</v>
      </c>
      <c r="AE159" s="3">
        <v>2.4842597999999998</v>
      </c>
      <c r="AF159" s="3">
        <v>2.4853534100000001</v>
      </c>
      <c r="AG159" s="3">
        <v>2.4871587399999999</v>
      </c>
      <c r="AH159" s="3">
        <v>2.49157137</v>
      </c>
      <c r="AI159" s="3">
        <v>2.4951623600000001</v>
      </c>
      <c r="AJ159" s="4">
        <f t="shared" si="3"/>
        <v>0.28435376000000012</v>
      </c>
    </row>
    <row r="160" spans="1:36" ht="14.4" x14ac:dyDescent="0.3">
      <c r="A160" s="1" t="s">
        <v>323</v>
      </c>
      <c r="B160" s="1" t="s">
        <v>324</v>
      </c>
      <c r="C160" s="1" t="s">
        <v>7</v>
      </c>
      <c r="D160" s="1" t="s">
        <v>8</v>
      </c>
      <c r="E160" s="3">
        <v>46.542750900000001</v>
      </c>
      <c r="F160" s="3">
        <v>46.542750900000001</v>
      </c>
      <c r="G160" s="3">
        <v>46.542750900000001</v>
      </c>
      <c r="H160" s="3">
        <v>46.542750900000001</v>
      </c>
      <c r="I160" s="3">
        <v>46.542750900000001</v>
      </c>
      <c r="J160" s="3">
        <v>46.542750900000001</v>
      </c>
      <c r="K160" s="3">
        <v>46.542750900000001</v>
      </c>
      <c r="L160" s="3">
        <v>46.542750900000001</v>
      </c>
      <c r="M160" s="3">
        <v>46.542750900000001</v>
      </c>
      <c r="N160" s="3">
        <v>46.542750900000001</v>
      </c>
      <c r="O160" s="3">
        <v>46.542750900000001</v>
      </c>
      <c r="P160" s="3">
        <v>46.542750900000001</v>
      </c>
      <c r="Q160" s="3">
        <v>46.542750900000001</v>
      </c>
      <c r="R160" s="3">
        <v>46.542750900000001</v>
      </c>
      <c r="S160" s="3">
        <v>46.542750900000001</v>
      </c>
      <c r="T160" s="3">
        <v>46.542750900000001</v>
      </c>
      <c r="U160" s="3">
        <v>55.509293700000001</v>
      </c>
      <c r="V160" s="3">
        <v>57.0037175</v>
      </c>
      <c r="W160" s="3">
        <v>58.4981413</v>
      </c>
      <c r="X160" s="3">
        <v>59.9925651</v>
      </c>
      <c r="Y160" s="3">
        <v>61.486988799999999</v>
      </c>
      <c r="Z160" s="3">
        <v>61.486988799999999</v>
      </c>
      <c r="AA160" s="3">
        <v>61.486988799999999</v>
      </c>
      <c r="AB160" s="3">
        <v>61.486988799999999</v>
      </c>
      <c r="AC160" s="3">
        <v>61.486988799999999</v>
      </c>
      <c r="AD160" s="3">
        <v>61.486988799999999</v>
      </c>
      <c r="AE160" s="3">
        <v>61.486988799999999</v>
      </c>
      <c r="AF160" s="3">
        <v>61.486988799999999</v>
      </c>
      <c r="AG160" s="3">
        <v>61.486988799999999</v>
      </c>
      <c r="AH160" s="3">
        <v>61.486988799999999</v>
      </c>
      <c r="AI160" s="3">
        <v>61.486988799999999</v>
      </c>
      <c r="AJ160" s="4">
        <f t="shared" si="3"/>
        <v>14.944237899999997</v>
      </c>
    </row>
    <row r="161" spans="1:36" ht="14.4" x14ac:dyDescent="0.3">
      <c r="A161" s="1" t="s">
        <v>325</v>
      </c>
      <c r="B161" s="1" t="s">
        <v>326</v>
      </c>
      <c r="C161" s="1" t="s">
        <v>7</v>
      </c>
      <c r="D161" s="1" t="s">
        <v>8</v>
      </c>
      <c r="E161" s="3">
        <v>9.2381369200000005</v>
      </c>
      <c r="F161" s="3">
        <v>9.23246608</v>
      </c>
      <c r="G161" s="3">
        <v>9.2267952300000005</v>
      </c>
      <c r="H161" s="3">
        <v>9.2211243899999999</v>
      </c>
      <c r="I161" s="3">
        <v>9.2154535400000004</v>
      </c>
      <c r="J161" s="3">
        <v>9.2097826900000008</v>
      </c>
      <c r="K161" s="3">
        <v>9.2041118500000003</v>
      </c>
      <c r="L161" s="3">
        <v>9.1984410000000008</v>
      </c>
      <c r="M161" s="3">
        <v>9.1927701499999994</v>
      </c>
      <c r="N161" s="3">
        <v>9.1870993100000007</v>
      </c>
      <c r="O161" s="3">
        <v>9.1814284599999993</v>
      </c>
      <c r="P161" s="3">
        <v>9.1762789999999992</v>
      </c>
      <c r="Q161" s="3">
        <v>9.17112953</v>
      </c>
      <c r="R161" s="3">
        <v>9.1659800699999998</v>
      </c>
      <c r="S161" s="3">
        <v>9.1608306099999997</v>
      </c>
      <c r="T161" s="3">
        <v>9.1556811499999995</v>
      </c>
      <c r="U161" s="3">
        <v>9.1505316800000003</v>
      </c>
      <c r="V161" s="3">
        <v>9.1453822200000001</v>
      </c>
      <c r="W161" s="3">
        <v>9.14023276</v>
      </c>
      <c r="X161" s="3">
        <v>9.1350832900000007</v>
      </c>
      <c r="Y161" s="3">
        <v>9.1299338300000006</v>
      </c>
      <c r="Z161" s="3">
        <v>9.1292167699999993</v>
      </c>
      <c r="AA161" s="3">
        <v>9.1284997000000008</v>
      </c>
      <c r="AB161" s="3">
        <v>9.1277826399999995</v>
      </c>
      <c r="AC161" s="3">
        <v>9.12706558</v>
      </c>
      <c r="AD161" s="3">
        <v>9.1046914999999995</v>
      </c>
      <c r="AE161" s="3">
        <v>9.1039787099999998</v>
      </c>
      <c r="AF161" s="3">
        <v>9.1032659099999993</v>
      </c>
      <c r="AG161" s="3">
        <v>9.1025554599999996</v>
      </c>
      <c r="AH161" s="3">
        <v>9.1018426699999999</v>
      </c>
      <c r="AI161" s="3">
        <v>9.1011298699999994</v>
      </c>
      <c r="AJ161" s="4">
        <f t="shared" si="3"/>
        <v>-0.13700705000000113</v>
      </c>
    </row>
    <row r="162" spans="1:36" ht="14.4" x14ac:dyDescent="0.3">
      <c r="A162" s="1" t="s">
        <v>327</v>
      </c>
      <c r="B162" s="1" t="s">
        <v>328</v>
      </c>
      <c r="C162" s="1" t="s">
        <v>7</v>
      </c>
      <c r="D162" s="1" t="s">
        <v>8</v>
      </c>
      <c r="E162" s="5"/>
      <c r="F162" s="3">
        <v>72.706521699999996</v>
      </c>
      <c r="G162" s="3">
        <v>72.347826100000006</v>
      </c>
      <c r="H162" s="3">
        <v>71.989130399999993</v>
      </c>
      <c r="I162" s="3">
        <v>71.630434800000003</v>
      </c>
      <c r="J162" s="3">
        <v>71.271739100000005</v>
      </c>
      <c r="K162" s="3">
        <v>70.913043500000001</v>
      </c>
      <c r="L162" s="3">
        <v>70.554347800000002</v>
      </c>
      <c r="M162" s="3">
        <v>70.195652199999998</v>
      </c>
      <c r="N162" s="3">
        <v>69.836956499999999</v>
      </c>
      <c r="O162" s="3">
        <v>69.478260899999995</v>
      </c>
      <c r="P162" s="3">
        <v>69.121739099999999</v>
      </c>
      <c r="Q162" s="3">
        <v>68.765217399999997</v>
      </c>
      <c r="R162" s="3">
        <v>68.408695699999996</v>
      </c>
      <c r="S162" s="3">
        <v>68.0521739</v>
      </c>
      <c r="T162" s="3">
        <v>67.695652199999998</v>
      </c>
      <c r="U162" s="3">
        <v>67.339130400000002</v>
      </c>
      <c r="V162" s="3">
        <v>66.9826087</v>
      </c>
      <c r="W162" s="3">
        <v>66.626086999999998</v>
      </c>
      <c r="X162" s="3">
        <v>66.269565200000002</v>
      </c>
      <c r="Y162" s="3">
        <v>65.913043500000001</v>
      </c>
      <c r="Z162" s="3">
        <v>65.5521739</v>
      </c>
      <c r="AA162" s="3">
        <v>65.191304299999999</v>
      </c>
      <c r="AB162" s="3">
        <v>64.830434800000006</v>
      </c>
      <c r="AC162" s="3">
        <v>64.469565200000005</v>
      </c>
      <c r="AD162" s="3">
        <v>64.108695699999998</v>
      </c>
      <c r="AE162" s="3">
        <v>52.956521700000003</v>
      </c>
      <c r="AF162" s="3">
        <v>52.956521700000003</v>
      </c>
      <c r="AG162" s="3">
        <v>52.956521700000003</v>
      </c>
      <c r="AH162" s="3">
        <v>52.956521700000003</v>
      </c>
      <c r="AI162" s="3">
        <v>52.956521700000003</v>
      </c>
      <c r="AJ162" s="4">
        <f>AI162-F162</f>
        <v>-19.749999999999993</v>
      </c>
    </row>
    <row r="163" spans="1:36" ht="14.4" x14ac:dyDescent="0.3">
      <c r="A163" s="1" t="s">
        <v>329</v>
      </c>
      <c r="B163" s="1" t="s">
        <v>330</v>
      </c>
      <c r="C163" s="1" t="s">
        <v>7</v>
      </c>
      <c r="D163" s="1" t="s">
        <v>8</v>
      </c>
      <c r="E163" s="3">
        <v>55.161626699999999</v>
      </c>
      <c r="F163" s="3">
        <v>54.8831354</v>
      </c>
      <c r="G163" s="3">
        <v>54.604644100000002</v>
      </c>
      <c r="H163" s="3">
        <v>54.326152800000003</v>
      </c>
      <c r="I163" s="3">
        <v>54.047661400000003</v>
      </c>
      <c r="J163" s="3">
        <v>53.769170099999997</v>
      </c>
      <c r="K163" s="3">
        <v>53.490678799999998</v>
      </c>
      <c r="L163" s="3">
        <v>53.212187499999999</v>
      </c>
      <c r="M163" s="3">
        <v>52.9336962</v>
      </c>
      <c r="N163" s="3">
        <v>52.655204900000001</v>
      </c>
      <c r="O163" s="3">
        <v>52.376713500000001</v>
      </c>
      <c r="P163" s="3">
        <v>52.094933699999999</v>
      </c>
      <c r="Q163" s="3">
        <v>51.813153900000003</v>
      </c>
      <c r="R163" s="3">
        <v>51.531374100000001</v>
      </c>
      <c r="S163" s="3">
        <v>51.249594299999998</v>
      </c>
      <c r="T163" s="3">
        <v>50.967814500000003</v>
      </c>
      <c r="U163" s="3">
        <v>50.6860347</v>
      </c>
      <c r="V163" s="3">
        <v>50.404254899999998</v>
      </c>
      <c r="W163" s="3">
        <v>50.122475100000003</v>
      </c>
      <c r="X163" s="3">
        <v>49.8406953</v>
      </c>
      <c r="Y163" s="3">
        <v>49.558915499999998</v>
      </c>
      <c r="Z163" s="3">
        <v>49.296411399999997</v>
      </c>
      <c r="AA163" s="3">
        <v>49.033907300000003</v>
      </c>
      <c r="AB163" s="3">
        <v>48.771403100000001</v>
      </c>
      <c r="AC163" s="3">
        <v>48.508899</v>
      </c>
      <c r="AD163" s="3">
        <v>48.246394899999999</v>
      </c>
      <c r="AE163" s="3">
        <v>47.850008899999999</v>
      </c>
      <c r="AF163" s="3">
        <v>47.568096799999999</v>
      </c>
      <c r="AG163" s="3">
        <v>47.336107200000001</v>
      </c>
      <c r="AH163" s="3">
        <v>47.007947799999997</v>
      </c>
      <c r="AI163" s="3">
        <v>46.725196500000003</v>
      </c>
      <c r="AJ163" s="4">
        <f t="shared" ref="AJ163:AJ184" si="4">AI163-E163</f>
        <v>-8.4364301999999967</v>
      </c>
    </row>
    <row r="164" spans="1:36" ht="14.4" x14ac:dyDescent="0.3">
      <c r="A164" s="1" t="s">
        <v>331</v>
      </c>
      <c r="B164" s="1" t="s">
        <v>332</v>
      </c>
      <c r="C164" s="1" t="s">
        <v>7</v>
      </c>
      <c r="D164" s="1" t="s">
        <v>8</v>
      </c>
      <c r="E164" s="3">
        <v>0.46186086999999998</v>
      </c>
      <c r="F164" s="3">
        <v>0.45658290000000001</v>
      </c>
      <c r="G164" s="3">
        <v>0.45130493999999999</v>
      </c>
      <c r="H164" s="3">
        <v>0.44602697000000002</v>
      </c>
      <c r="I164" s="3">
        <v>0.44074901</v>
      </c>
      <c r="J164" s="3">
        <v>0.43547103999999998</v>
      </c>
      <c r="K164" s="3">
        <v>0.43019307000000001</v>
      </c>
      <c r="L164" s="3">
        <v>0.42491510999999998</v>
      </c>
      <c r="M164" s="3">
        <v>0.41963714000000002</v>
      </c>
      <c r="N164" s="3">
        <v>0.41435917</v>
      </c>
      <c r="O164" s="3">
        <v>0.40908120999999997</v>
      </c>
      <c r="P164" s="3">
        <v>0.40380324000000001</v>
      </c>
      <c r="Q164" s="3">
        <v>0.39852526999999999</v>
      </c>
      <c r="R164" s="3">
        <v>0.39324731000000002</v>
      </c>
      <c r="S164" s="3">
        <v>0.38796934</v>
      </c>
      <c r="T164" s="3">
        <v>0.38269136999999998</v>
      </c>
      <c r="U164" s="3">
        <v>0.37741341</v>
      </c>
      <c r="V164" s="3">
        <v>0.37213543999999998</v>
      </c>
      <c r="W164" s="3">
        <v>0.36685748000000001</v>
      </c>
      <c r="X164" s="3">
        <v>0.36157950999999999</v>
      </c>
      <c r="Y164" s="3">
        <v>0.35630154000000003</v>
      </c>
      <c r="Z164" s="3">
        <v>0.35102358</v>
      </c>
      <c r="AA164" s="3">
        <v>0.34574560999999998</v>
      </c>
      <c r="AB164" s="3">
        <v>0.34046764000000002</v>
      </c>
      <c r="AC164" s="3">
        <v>0.33518967999999999</v>
      </c>
      <c r="AD164" s="3">
        <v>0.32991171000000002</v>
      </c>
      <c r="AE164" s="3">
        <v>0.32463374</v>
      </c>
      <c r="AF164" s="3">
        <v>0.31939458999999998</v>
      </c>
      <c r="AG164" s="3">
        <v>0.31405841000000001</v>
      </c>
      <c r="AH164" s="3">
        <v>0.30881924999999999</v>
      </c>
      <c r="AI164" s="3">
        <v>0.30348307000000002</v>
      </c>
      <c r="AJ164" s="4">
        <f t="shared" si="4"/>
        <v>-0.15837779999999996</v>
      </c>
    </row>
    <row r="165" spans="1:36" ht="14.4" x14ac:dyDescent="0.3">
      <c r="A165" s="1" t="s">
        <v>333</v>
      </c>
      <c r="B165" s="1" t="s">
        <v>334</v>
      </c>
      <c r="C165" s="1" t="s">
        <v>7</v>
      </c>
      <c r="D165" s="1" t="s">
        <v>8</v>
      </c>
      <c r="E165" s="3">
        <v>20.231527100000001</v>
      </c>
      <c r="F165" s="3">
        <v>20.273891599999999</v>
      </c>
      <c r="G165" s="3">
        <v>20.316256200000002</v>
      </c>
      <c r="H165" s="3">
        <v>20.358620699999999</v>
      </c>
      <c r="I165" s="3">
        <v>20.400985200000001</v>
      </c>
      <c r="J165" s="3">
        <v>20.4433498</v>
      </c>
      <c r="K165" s="3">
        <v>20.485714300000001</v>
      </c>
      <c r="L165" s="3">
        <v>20.528078799999999</v>
      </c>
      <c r="M165" s="3">
        <v>20.570443300000001</v>
      </c>
      <c r="N165" s="3">
        <v>20.6128079</v>
      </c>
      <c r="O165" s="3">
        <v>20.655172400000001</v>
      </c>
      <c r="P165" s="3">
        <v>20.480788199999999</v>
      </c>
      <c r="Q165" s="3">
        <v>20.306403899999999</v>
      </c>
      <c r="R165" s="3">
        <v>20.132019700000001</v>
      </c>
      <c r="S165" s="3">
        <v>19.957635499999999</v>
      </c>
      <c r="T165" s="3">
        <v>19.783251199999999</v>
      </c>
      <c r="U165" s="3">
        <v>19.608867</v>
      </c>
      <c r="V165" s="3">
        <v>19.434482800000001</v>
      </c>
      <c r="W165" s="3">
        <v>19.260098500000002</v>
      </c>
      <c r="X165" s="3">
        <v>19.085714299999999</v>
      </c>
      <c r="Y165" s="3">
        <v>18.91133</v>
      </c>
      <c r="Z165" s="3">
        <v>18.902463099999999</v>
      </c>
      <c r="AA165" s="3">
        <v>18.8935961</v>
      </c>
      <c r="AB165" s="3">
        <v>18.884729100000001</v>
      </c>
      <c r="AC165" s="3">
        <v>18.875862099999999</v>
      </c>
      <c r="AD165" s="3">
        <v>18.8669951</v>
      </c>
      <c r="AE165" s="3">
        <v>18.862069000000002</v>
      </c>
      <c r="AF165" s="3">
        <v>19.039408900000002</v>
      </c>
      <c r="AG165" s="3">
        <v>19.0591133</v>
      </c>
      <c r="AH165" s="3">
        <v>19.078817699999998</v>
      </c>
      <c r="AI165" s="3">
        <v>19.098522200000001</v>
      </c>
      <c r="AJ165" s="4">
        <f t="shared" si="4"/>
        <v>-1.1330048999999995</v>
      </c>
    </row>
    <row r="166" spans="1:36" ht="14.4" x14ac:dyDescent="0.3">
      <c r="A166" s="1" t="s">
        <v>335</v>
      </c>
      <c r="B166" s="1" t="s">
        <v>336</v>
      </c>
      <c r="C166" s="1" t="s">
        <v>7</v>
      </c>
      <c r="D166" s="1" t="s">
        <v>8</v>
      </c>
      <c r="E166" s="3">
        <v>37.141493400000002</v>
      </c>
      <c r="F166" s="3">
        <v>36.696011900000002</v>
      </c>
      <c r="G166" s="3">
        <v>36.250530300000001</v>
      </c>
      <c r="H166" s="3">
        <v>35.805048800000002</v>
      </c>
      <c r="I166" s="3">
        <v>35.359567200000001</v>
      </c>
      <c r="J166" s="3">
        <v>34.914085700000001</v>
      </c>
      <c r="K166" s="3">
        <v>34.468604200000001</v>
      </c>
      <c r="L166" s="3">
        <v>34.023122600000001</v>
      </c>
      <c r="M166" s="3">
        <v>33.577641100000001</v>
      </c>
      <c r="N166" s="3">
        <v>33.1321595</v>
      </c>
      <c r="O166" s="3">
        <v>32.686678000000001</v>
      </c>
      <c r="P166" s="3">
        <v>32.2411964</v>
      </c>
      <c r="Q166" s="3">
        <v>31.7957149</v>
      </c>
      <c r="R166" s="3">
        <v>31.350233299999999</v>
      </c>
      <c r="S166" s="3">
        <v>30.9047518</v>
      </c>
      <c r="T166" s="3">
        <v>30.4592703</v>
      </c>
      <c r="U166" s="3">
        <v>30.013788699999999</v>
      </c>
      <c r="V166" s="3">
        <v>29.5683072</v>
      </c>
      <c r="W166" s="3">
        <v>29.122825599999999</v>
      </c>
      <c r="X166" s="3">
        <v>28.677344099999999</v>
      </c>
      <c r="Y166" s="3">
        <v>28.231862499999998</v>
      </c>
      <c r="Z166" s="3">
        <v>27.786380999999999</v>
      </c>
      <c r="AA166" s="3">
        <v>27.340899400000001</v>
      </c>
      <c r="AB166" s="3">
        <v>26.895417900000002</v>
      </c>
      <c r="AC166" s="3">
        <v>26.449936399999999</v>
      </c>
      <c r="AD166" s="3">
        <v>26.004454800000001</v>
      </c>
      <c r="AE166" s="3">
        <v>25.558973300000002</v>
      </c>
      <c r="AF166" s="3">
        <v>25.113491700000001</v>
      </c>
      <c r="AG166" s="3">
        <v>24.668010200000001</v>
      </c>
      <c r="AH166" s="3">
        <v>24.2225286</v>
      </c>
      <c r="AI166" s="3">
        <v>23.777047100000001</v>
      </c>
      <c r="AJ166" s="4">
        <f t="shared" si="4"/>
        <v>-13.364446300000001</v>
      </c>
    </row>
    <row r="167" spans="1:36" ht="14.4" x14ac:dyDescent="0.3">
      <c r="A167" s="1" t="s">
        <v>337</v>
      </c>
      <c r="B167" s="1" t="s">
        <v>338</v>
      </c>
      <c r="C167" s="1" t="s">
        <v>7</v>
      </c>
      <c r="D167" s="1" t="s">
        <v>8</v>
      </c>
      <c r="E167" s="3">
        <v>62.756049300000001</v>
      </c>
      <c r="F167" s="3">
        <v>62.473854799999998</v>
      </c>
      <c r="G167" s="3">
        <v>62.191660300000002</v>
      </c>
      <c r="H167" s="3">
        <v>61.9094658</v>
      </c>
      <c r="I167" s="3">
        <v>61.627271299999997</v>
      </c>
      <c r="J167" s="3">
        <v>61.345076900000002</v>
      </c>
      <c r="K167" s="3">
        <v>61.062882399999999</v>
      </c>
      <c r="L167" s="3">
        <v>60.780687899999997</v>
      </c>
      <c r="M167" s="3">
        <v>60.498493400000001</v>
      </c>
      <c r="N167" s="3">
        <v>60.216298899999998</v>
      </c>
      <c r="O167" s="3">
        <v>59.934104400000002</v>
      </c>
      <c r="P167" s="3">
        <v>59.707746200000003</v>
      </c>
      <c r="Q167" s="3">
        <v>59.481387900000001</v>
      </c>
      <c r="R167" s="3">
        <v>59.255029700000001</v>
      </c>
      <c r="S167" s="3">
        <v>59.0286714</v>
      </c>
      <c r="T167" s="3">
        <v>58.8023132</v>
      </c>
      <c r="U167" s="3">
        <v>58.575955</v>
      </c>
      <c r="V167" s="3">
        <v>58.349596699999999</v>
      </c>
      <c r="W167" s="3">
        <v>58.123238499999999</v>
      </c>
      <c r="X167" s="3">
        <v>57.896880199999998</v>
      </c>
      <c r="Y167" s="3">
        <v>57.670521999999998</v>
      </c>
      <c r="Z167" s="3">
        <v>57.984976400000001</v>
      </c>
      <c r="AA167" s="3">
        <v>58.299430800000003</v>
      </c>
      <c r="AB167" s="3">
        <v>58.6138853</v>
      </c>
      <c r="AC167" s="3">
        <v>58.928339700000002</v>
      </c>
      <c r="AD167" s="3">
        <v>59.242794099999998</v>
      </c>
      <c r="AE167" s="3">
        <v>58.787520899999997</v>
      </c>
      <c r="AF167" s="3">
        <v>58.634880500000001</v>
      </c>
      <c r="AG167" s="3">
        <v>58.482240099999999</v>
      </c>
      <c r="AH167" s="3">
        <v>58.329599799999997</v>
      </c>
      <c r="AI167" s="3">
        <v>58.176959400000001</v>
      </c>
      <c r="AJ167" s="4">
        <f t="shared" si="4"/>
        <v>-4.5790898999999996</v>
      </c>
    </row>
    <row r="168" spans="1:36" ht="14.4" x14ac:dyDescent="0.3">
      <c r="A168" s="1" t="s">
        <v>339</v>
      </c>
      <c r="B168" s="1" t="s">
        <v>340</v>
      </c>
      <c r="C168" s="1" t="s">
        <v>7</v>
      </c>
      <c r="D168" s="1" t="s">
        <v>8</v>
      </c>
      <c r="E168" s="3">
        <v>35.902794299999996</v>
      </c>
      <c r="F168" s="3">
        <v>35.906187699999997</v>
      </c>
      <c r="G168" s="3">
        <v>35.909581099999997</v>
      </c>
      <c r="H168" s="3">
        <v>35.912974499999997</v>
      </c>
      <c r="I168" s="3">
        <v>35.916367899999997</v>
      </c>
      <c r="J168" s="3">
        <v>35.919761299999998</v>
      </c>
      <c r="K168" s="3">
        <v>35.923154699999998</v>
      </c>
      <c r="L168" s="3">
        <v>35.926548099999998</v>
      </c>
      <c r="M168" s="3">
        <v>35.929941499999998</v>
      </c>
      <c r="N168" s="3">
        <v>35.933334899999998</v>
      </c>
      <c r="O168" s="3">
        <v>35.930860299999999</v>
      </c>
      <c r="P168" s="3">
        <v>35.956811100000003</v>
      </c>
      <c r="Q168" s="3">
        <v>35.982761799999999</v>
      </c>
      <c r="R168" s="3">
        <v>36.008712600000003</v>
      </c>
      <c r="S168" s="3">
        <v>36.034663299999998</v>
      </c>
      <c r="T168" s="3">
        <v>36.060614100000002</v>
      </c>
      <c r="U168" s="3">
        <v>36.086564899999999</v>
      </c>
      <c r="V168" s="3">
        <v>36.112515600000002</v>
      </c>
      <c r="W168" s="3">
        <v>36.167396199999999</v>
      </c>
      <c r="X168" s="3">
        <v>36.193367700000003</v>
      </c>
      <c r="Y168" s="3">
        <v>36.219339300000001</v>
      </c>
      <c r="Z168" s="3">
        <v>36.232241500000001</v>
      </c>
      <c r="AA168" s="3">
        <v>36.245143800000001</v>
      </c>
      <c r="AB168" s="3">
        <v>36.258046100000001</v>
      </c>
      <c r="AC168" s="3">
        <v>36.270948400000002</v>
      </c>
      <c r="AD168" s="3">
        <v>36.283850700000002</v>
      </c>
      <c r="AE168" s="3">
        <v>36.281660600000002</v>
      </c>
      <c r="AF168" s="3">
        <v>36.263055799999997</v>
      </c>
      <c r="AG168" s="3">
        <v>36.261014099999997</v>
      </c>
      <c r="AH168" s="3">
        <v>36.258972</v>
      </c>
      <c r="AI168" s="3">
        <v>36.256930400000002</v>
      </c>
      <c r="AJ168" s="4">
        <f t="shared" si="4"/>
        <v>0.35413610000000517</v>
      </c>
    </row>
    <row r="169" spans="1:36" ht="14.4" x14ac:dyDescent="0.3">
      <c r="A169" s="1" t="s">
        <v>341</v>
      </c>
      <c r="B169" s="1" t="s">
        <v>342</v>
      </c>
      <c r="C169" s="1" t="s">
        <v>7</v>
      </c>
      <c r="D169" s="1" t="s">
        <v>8</v>
      </c>
      <c r="E169" s="3">
        <v>10.6513744</v>
      </c>
      <c r="F169" s="3">
        <v>10.565124600000001</v>
      </c>
      <c r="G169" s="3">
        <v>10.4788748</v>
      </c>
      <c r="H169" s="3">
        <v>10.392625000000001</v>
      </c>
      <c r="I169" s="3">
        <v>10.3063752</v>
      </c>
      <c r="J169" s="3">
        <v>10.220125400000001</v>
      </c>
      <c r="K169" s="3">
        <v>10.1338755</v>
      </c>
      <c r="L169" s="3">
        <v>10.047625699999999</v>
      </c>
      <c r="M169" s="3">
        <v>9.9613759399999999</v>
      </c>
      <c r="N169" s="3">
        <v>9.8751261400000008</v>
      </c>
      <c r="O169" s="3">
        <v>9.7888763399999998</v>
      </c>
      <c r="P169" s="3">
        <v>9.7026255599999995</v>
      </c>
      <c r="Q169" s="3">
        <v>9.6163747900000001</v>
      </c>
      <c r="R169" s="3">
        <v>9.5301240099999998</v>
      </c>
      <c r="S169" s="3">
        <v>9.4438732400000003</v>
      </c>
      <c r="T169" s="3">
        <v>9.3576224700000008</v>
      </c>
      <c r="U169" s="3">
        <v>9.2713716900000005</v>
      </c>
      <c r="V169" s="3">
        <v>9.1851209199999992</v>
      </c>
      <c r="W169" s="3">
        <v>9.0988701400000007</v>
      </c>
      <c r="X169" s="3">
        <v>9.0126193699999995</v>
      </c>
      <c r="Y169" s="3">
        <v>8.9263685899999992</v>
      </c>
      <c r="Z169" s="3">
        <v>8.84011952</v>
      </c>
      <c r="AA169" s="3">
        <v>8.7538704500000009</v>
      </c>
      <c r="AB169" s="3">
        <v>8.6676213700000009</v>
      </c>
      <c r="AC169" s="3">
        <v>8.5813723</v>
      </c>
      <c r="AD169" s="3">
        <v>8.4951232300000008</v>
      </c>
      <c r="AE169" s="3">
        <v>8.4088717200000005</v>
      </c>
      <c r="AF169" s="3">
        <v>8.3226202199999992</v>
      </c>
      <c r="AG169" s="3">
        <v>8.2363687199999998</v>
      </c>
      <c r="AH169" s="3">
        <v>8.1501172099999994</v>
      </c>
      <c r="AI169" s="3">
        <v>8.06386571</v>
      </c>
      <c r="AJ169" s="4">
        <f t="shared" si="4"/>
        <v>-2.5875086899999999</v>
      </c>
    </row>
    <row r="170" spans="1:36" ht="14.4" x14ac:dyDescent="0.3">
      <c r="A170" s="1" t="s">
        <v>343</v>
      </c>
      <c r="B170" s="1" t="s">
        <v>344</v>
      </c>
      <c r="C170" s="1" t="s">
        <v>7</v>
      </c>
      <c r="D170" s="1" t="s">
        <v>8</v>
      </c>
      <c r="E170" s="3">
        <v>45.466630199999997</v>
      </c>
      <c r="F170" s="3">
        <v>45.503391700000002</v>
      </c>
      <c r="G170" s="3">
        <v>45.540153199999999</v>
      </c>
      <c r="H170" s="3">
        <v>45.576914700000003</v>
      </c>
      <c r="I170" s="3">
        <v>45.613676099999999</v>
      </c>
      <c r="J170" s="3">
        <v>45.650437599999997</v>
      </c>
      <c r="K170" s="3">
        <v>45.687199100000001</v>
      </c>
      <c r="L170" s="3">
        <v>45.723960599999998</v>
      </c>
      <c r="M170" s="3">
        <v>45.760722100000002</v>
      </c>
      <c r="N170" s="3">
        <v>45.7974836</v>
      </c>
      <c r="O170" s="3">
        <v>45.834245099999997</v>
      </c>
      <c r="P170" s="3">
        <v>45.840645500000001</v>
      </c>
      <c r="Q170" s="3">
        <v>45.847045999999999</v>
      </c>
      <c r="R170" s="3">
        <v>45.853446400000003</v>
      </c>
      <c r="S170" s="3">
        <v>45.8598468</v>
      </c>
      <c r="T170" s="3">
        <v>45.866247299999998</v>
      </c>
      <c r="U170" s="3">
        <v>45.872647700000002</v>
      </c>
      <c r="V170" s="3">
        <v>45.879048099999999</v>
      </c>
      <c r="W170" s="3">
        <v>45.885448599999997</v>
      </c>
      <c r="X170" s="3">
        <v>45.891849000000001</v>
      </c>
      <c r="Y170" s="3">
        <v>45.898249499999999</v>
      </c>
      <c r="Z170" s="3">
        <v>45.892778999999997</v>
      </c>
      <c r="AA170" s="3">
        <v>45.887308500000003</v>
      </c>
      <c r="AB170" s="3">
        <v>45.881838100000003</v>
      </c>
      <c r="AC170" s="3">
        <v>45.876367600000002</v>
      </c>
      <c r="AD170" s="3">
        <v>45.870897200000002</v>
      </c>
      <c r="AE170" s="3">
        <v>45.8654267</v>
      </c>
      <c r="AF170" s="3">
        <v>45.859956199999999</v>
      </c>
      <c r="AG170" s="3">
        <v>45.854485799999999</v>
      </c>
      <c r="AH170" s="3">
        <v>45.849015299999998</v>
      </c>
      <c r="AI170" s="3">
        <v>45.843544899999998</v>
      </c>
      <c r="AJ170" s="4">
        <f t="shared" si="4"/>
        <v>0.37691470000000038</v>
      </c>
    </row>
    <row r="171" spans="1:36" ht="14.4" x14ac:dyDescent="0.3">
      <c r="A171" s="1" t="s">
        <v>345</v>
      </c>
      <c r="B171" s="1" t="s">
        <v>346</v>
      </c>
      <c r="C171" s="1" t="s">
        <v>7</v>
      </c>
      <c r="D171" s="1" t="s">
        <v>8</v>
      </c>
      <c r="E171" s="3">
        <v>1.53548591</v>
      </c>
      <c r="F171" s="3">
        <v>1.48678456</v>
      </c>
      <c r="G171" s="3">
        <v>1.4380832100000001</v>
      </c>
      <c r="H171" s="3">
        <v>1.3893818600000001</v>
      </c>
      <c r="I171" s="3">
        <v>1.3406805100000001</v>
      </c>
      <c r="J171" s="3">
        <v>1.2919791599999999</v>
      </c>
      <c r="K171" s="3">
        <v>1.2432778099999999</v>
      </c>
      <c r="L171" s="3">
        <v>1.19457646</v>
      </c>
      <c r="M171" s="3">
        <v>1.14587511</v>
      </c>
      <c r="N171" s="3">
        <v>1.09717376</v>
      </c>
      <c r="O171" s="3">
        <v>1.04847241</v>
      </c>
      <c r="P171" s="3">
        <v>1.0386674</v>
      </c>
      <c r="Q171" s="3">
        <v>1.0288624</v>
      </c>
      <c r="R171" s="3">
        <v>1.01905739</v>
      </c>
      <c r="S171" s="3">
        <v>1.0092523900000001</v>
      </c>
      <c r="T171" s="3">
        <v>0.99944738</v>
      </c>
      <c r="U171" s="3">
        <v>0.98964238000000004</v>
      </c>
      <c r="V171" s="3">
        <v>0.97983737000000004</v>
      </c>
      <c r="W171" s="3">
        <v>0.97003236999999998</v>
      </c>
      <c r="X171" s="3">
        <v>0.96022735999999997</v>
      </c>
      <c r="Y171" s="3">
        <v>0.95042236000000002</v>
      </c>
      <c r="Z171" s="3">
        <v>0.94061735000000002</v>
      </c>
      <c r="AA171" s="3">
        <v>0.93081234999999996</v>
      </c>
      <c r="AB171" s="3">
        <v>0.92100733999999995</v>
      </c>
      <c r="AC171" s="3">
        <v>0.91120234</v>
      </c>
      <c r="AD171" s="3">
        <v>0.90139733</v>
      </c>
      <c r="AE171" s="3">
        <v>0.89159233000000004</v>
      </c>
      <c r="AF171" s="3">
        <v>0.88178732000000004</v>
      </c>
      <c r="AG171" s="3">
        <v>0.87198231999999998</v>
      </c>
      <c r="AH171" s="3">
        <v>0.86217730999999997</v>
      </c>
      <c r="AI171" s="3">
        <v>0.85237231000000002</v>
      </c>
      <c r="AJ171" s="4">
        <f t="shared" si="4"/>
        <v>-0.68311359999999999</v>
      </c>
    </row>
    <row r="172" spans="1:36" ht="14.4" x14ac:dyDescent="0.3">
      <c r="A172" s="1" t="s">
        <v>347</v>
      </c>
      <c r="B172" s="1" t="s">
        <v>348</v>
      </c>
      <c r="C172" s="1" t="s">
        <v>7</v>
      </c>
      <c r="D172" s="1" t="s">
        <v>8</v>
      </c>
      <c r="E172" s="3">
        <v>29.124905300000002</v>
      </c>
      <c r="F172" s="3">
        <v>28.945601</v>
      </c>
      <c r="G172" s="3">
        <v>28.766296700000002</v>
      </c>
      <c r="H172" s="3">
        <v>28.586992299999999</v>
      </c>
      <c r="I172" s="3">
        <v>28.407688</v>
      </c>
      <c r="J172" s="3">
        <v>28.228383699999998</v>
      </c>
      <c r="K172" s="3">
        <v>28.0490794</v>
      </c>
      <c r="L172" s="3">
        <v>27.869775000000001</v>
      </c>
      <c r="M172" s="3">
        <v>27.690470699999999</v>
      </c>
      <c r="N172" s="3">
        <v>27.5111664</v>
      </c>
      <c r="O172" s="3">
        <v>27.331862099999999</v>
      </c>
      <c r="P172" s="3">
        <v>27.1525566</v>
      </c>
      <c r="Q172" s="3">
        <v>26.9732512</v>
      </c>
      <c r="R172" s="3">
        <v>26.793945799999999</v>
      </c>
      <c r="S172" s="3">
        <v>26.614640399999999</v>
      </c>
      <c r="T172" s="3">
        <v>26.435334900000001</v>
      </c>
      <c r="U172" s="3">
        <v>26.2560295</v>
      </c>
      <c r="V172" s="3">
        <v>26.0767241</v>
      </c>
      <c r="W172" s="3">
        <v>25.897418699999999</v>
      </c>
      <c r="X172" s="3">
        <v>25.718113200000001</v>
      </c>
      <c r="Y172" s="3">
        <v>25.538807800000001</v>
      </c>
      <c r="Z172" s="3">
        <v>25.3595024</v>
      </c>
      <c r="AA172" s="3">
        <v>25.180197</v>
      </c>
      <c r="AB172" s="3">
        <v>25.000891599999999</v>
      </c>
      <c r="AC172" s="3">
        <v>24.821586100000001</v>
      </c>
      <c r="AD172" s="3">
        <v>24.642280700000001</v>
      </c>
      <c r="AE172" s="3">
        <v>24.462979600000001</v>
      </c>
      <c r="AF172" s="3">
        <v>24.283683</v>
      </c>
      <c r="AG172" s="3">
        <v>24.104384199999998</v>
      </c>
      <c r="AH172" s="3">
        <v>23.9250854</v>
      </c>
      <c r="AI172" s="3">
        <v>23.745786500000001</v>
      </c>
      <c r="AJ172" s="4">
        <f t="shared" si="4"/>
        <v>-5.3791188000000005</v>
      </c>
    </row>
    <row r="173" spans="1:36" ht="14.4" x14ac:dyDescent="0.3">
      <c r="A173" s="1" t="s">
        <v>349</v>
      </c>
      <c r="B173" s="1" t="s">
        <v>350</v>
      </c>
      <c r="C173" s="1" t="s">
        <v>7</v>
      </c>
      <c r="D173" s="1" t="s">
        <v>8</v>
      </c>
      <c r="E173" s="3">
        <v>53.176998500000003</v>
      </c>
      <c r="F173" s="3">
        <v>52.346019599999998</v>
      </c>
      <c r="G173" s="3">
        <v>51.5150407</v>
      </c>
      <c r="H173" s="3">
        <v>50.684061800000002</v>
      </c>
      <c r="I173" s="3">
        <v>49.853082899999997</v>
      </c>
      <c r="J173" s="3">
        <v>49.022103999999999</v>
      </c>
      <c r="K173" s="3">
        <v>48.191125100000001</v>
      </c>
      <c r="L173" s="3">
        <v>47.360146299999997</v>
      </c>
      <c r="M173" s="3">
        <v>46.529167399999999</v>
      </c>
      <c r="N173" s="3">
        <v>45.698188500000001</v>
      </c>
      <c r="O173" s="3">
        <v>44.867209600000002</v>
      </c>
      <c r="P173" s="3">
        <v>43.860752900000001</v>
      </c>
      <c r="Q173" s="3">
        <v>42.8542962</v>
      </c>
      <c r="R173" s="3">
        <v>41.847839499999999</v>
      </c>
      <c r="S173" s="3">
        <v>40.841382699999997</v>
      </c>
      <c r="T173" s="3">
        <v>39.834926000000003</v>
      </c>
      <c r="U173" s="3">
        <v>38.828469300000002</v>
      </c>
      <c r="V173" s="3">
        <v>37.822012600000001</v>
      </c>
      <c r="W173" s="3">
        <v>36.8155559</v>
      </c>
      <c r="X173" s="3">
        <v>35.809099199999999</v>
      </c>
      <c r="Y173" s="3">
        <v>34.802642499999997</v>
      </c>
      <c r="Z173" s="3">
        <v>34.336263899999999</v>
      </c>
      <c r="AA173" s="3">
        <v>33.8698853</v>
      </c>
      <c r="AB173" s="3">
        <v>33.403506700000001</v>
      </c>
      <c r="AC173" s="3">
        <v>32.937128100000002</v>
      </c>
      <c r="AD173" s="3">
        <v>32.470749499999997</v>
      </c>
      <c r="AE173" s="3">
        <v>31.639770599999999</v>
      </c>
      <c r="AF173" s="3">
        <v>30.808791800000002</v>
      </c>
      <c r="AG173" s="3">
        <v>29.9778129</v>
      </c>
      <c r="AH173" s="3">
        <v>29.146833999999998</v>
      </c>
      <c r="AI173" s="3">
        <v>28.3158551</v>
      </c>
      <c r="AJ173" s="4">
        <f t="shared" si="4"/>
        <v>-24.861143400000003</v>
      </c>
    </row>
    <row r="174" spans="1:36" ht="14.4" x14ac:dyDescent="0.3">
      <c r="A174" s="1" t="s">
        <v>351</v>
      </c>
      <c r="B174" s="1" t="s">
        <v>352</v>
      </c>
      <c r="C174" s="1" t="s">
        <v>7</v>
      </c>
      <c r="D174" s="1" t="s">
        <v>8</v>
      </c>
      <c r="E174" s="3">
        <v>10.2289692</v>
      </c>
      <c r="F174" s="3">
        <v>10.2709419</v>
      </c>
      <c r="G174" s="3">
        <v>10.3129147</v>
      </c>
      <c r="H174" s="3">
        <v>10.354887400000001</v>
      </c>
      <c r="I174" s="3">
        <v>10.396860200000001</v>
      </c>
      <c r="J174" s="3">
        <v>10.4388329</v>
      </c>
      <c r="K174" s="3">
        <v>10.480805699999999</v>
      </c>
      <c r="L174" s="3">
        <v>10.5227784</v>
      </c>
      <c r="M174" s="3">
        <v>10.5647512</v>
      </c>
      <c r="N174" s="3">
        <v>10.6067239</v>
      </c>
      <c r="O174" s="3">
        <v>10.6486967</v>
      </c>
      <c r="P174" s="3">
        <v>10.6901066</v>
      </c>
      <c r="Q174" s="3">
        <v>10.731516600000001</v>
      </c>
      <c r="R174" s="3">
        <v>10.772926500000001</v>
      </c>
      <c r="S174" s="3">
        <v>10.8143365</v>
      </c>
      <c r="T174" s="3">
        <v>10.855746399999999</v>
      </c>
      <c r="U174" s="3">
        <v>10.8971564</v>
      </c>
      <c r="V174" s="3">
        <v>10.938566399999999</v>
      </c>
      <c r="W174" s="3">
        <v>10.979976300000001</v>
      </c>
      <c r="X174" s="3">
        <v>11.0311889</v>
      </c>
      <c r="Y174" s="3">
        <v>11.0726356</v>
      </c>
      <c r="Z174" s="3">
        <v>11.0246145</v>
      </c>
      <c r="AA174" s="3">
        <v>10.9733096</v>
      </c>
      <c r="AB174" s="3">
        <v>10.9317305</v>
      </c>
      <c r="AC174" s="3">
        <v>10.880379899999999</v>
      </c>
      <c r="AD174" s="3">
        <v>10.835461799999999</v>
      </c>
      <c r="AE174" s="3">
        <v>10.8630829</v>
      </c>
      <c r="AF174" s="3">
        <v>10.8910009</v>
      </c>
      <c r="AG174" s="3">
        <v>10.9186219</v>
      </c>
      <c r="AH174" s="3">
        <v>10.946539899999999</v>
      </c>
      <c r="AI174" s="3">
        <v>10.974161</v>
      </c>
      <c r="AJ174" s="4">
        <f t="shared" si="4"/>
        <v>0.74519180000000063</v>
      </c>
    </row>
    <row r="175" spans="1:36" ht="14.4" x14ac:dyDescent="0.3">
      <c r="A175" s="1" t="s">
        <v>353</v>
      </c>
      <c r="B175" s="1" t="s">
        <v>354</v>
      </c>
      <c r="C175" s="1" t="s">
        <v>7</v>
      </c>
      <c r="D175" s="1" t="s">
        <v>8</v>
      </c>
      <c r="E175" s="3">
        <v>33.216151400000001</v>
      </c>
      <c r="F175" s="3">
        <v>33.210949399999997</v>
      </c>
      <c r="G175" s="3">
        <v>33.2057474</v>
      </c>
      <c r="H175" s="3">
        <v>33.200545400000003</v>
      </c>
      <c r="I175" s="3">
        <v>33.195343399999999</v>
      </c>
      <c r="J175" s="3">
        <v>33.190141400000002</v>
      </c>
      <c r="K175" s="3">
        <v>33.184939399999998</v>
      </c>
      <c r="L175" s="3">
        <v>33.1797374</v>
      </c>
      <c r="M175" s="3">
        <v>33.174535400000003</v>
      </c>
      <c r="N175" s="3">
        <v>33.169333399999999</v>
      </c>
      <c r="O175" s="3">
        <v>33.164131400000002</v>
      </c>
      <c r="P175" s="3">
        <v>33.1611197</v>
      </c>
      <c r="Q175" s="3">
        <v>33.158107999999999</v>
      </c>
      <c r="R175" s="3">
        <v>33.155096299999997</v>
      </c>
      <c r="S175" s="3">
        <v>33.152084600000002</v>
      </c>
      <c r="T175" s="3">
        <v>33.1490729</v>
      </c>
      <c r="U175" s="3">
        <v>33.1460613</v>
      </c>
      <c r="V175" s="3">
        <v>33.143049599999998</v>
      </c>
      <c r="W175" s="3">
        <v>33.140037900000003</v>
      </c>
      <c r="X175" s="3">
        <v>33.137026200000001</v>
      </c>
      <c r="Y175" s="3">
        <v>33.134014499999999</v>
      </c>
      <c r="Z175" s="3">
        <v>33.155370099999999</v>
      </c>
      <c r="AA175" s="3">
        <v>33.176725699999999</v>
      </c>
      <c r="AB175" s="3">
        <v>33.209086599999999</v>
      </c>
      <c r="AC175" s="3">
        <v>33.231810899999999</v>
      </c>
      <c r="AD175" s="3">
        <v>33.245643999999999</v>
      </c>
      <c r="AE175" s="3">
        <v>33.271099700000001</v>
      </c>
      <c r="AF175" s="3">
        <v>33.294537300000002</v>
      </c>
      <c r="AG175" s="3">
        <v>33.317278700000003</v>
      </c>
      <c r="AH175" s="3">
        <v>33.338642299999997</v>
      </c>
      <c r="AI175" s="3">
        <v>33.360005800000003</v>
      </c>
      <c r="AJ175" s="4">
        <f t="shared" si="4"/>
        <v>0.14385440000000216</v>
      </c>
    </row>
    <row r="176" spans="1:36" ht="14.4" x14ac:dyDescent="0.3">
      <c r="A176" s="1" t="s">
        <v>355</v>
      </c>
      <c r="B176" s="1" t="s">
        <v>356</v>
      </c>
      <c r="C176" s="1" t="s">
        <v>7</v>
      </c>
      <c r="D176" s="1" t="s">
        <v>8</v>
      </c>
      <c r="E176" s="3">
        <v>39.664335700000002</v>
      </c>
      <c r="F176" s="3">
        <v>39.740391600000002</v>
      </c>
      <c r="G176" s="3">
        <v>39.816447599999996</v>
      </c>
      <c r="H176" s="3">
        <v>39.892503499999997</v>
      </c>
      <c r="I176" s="3">
        <v>39.968559399999997</v>
      </c>
      <c r="J176" s="3">
        <v>40.044615399999998</v>
      </c>
      <c r="K176" s="3">
        <v>40.120671299999998</v>
      </c>
      <c r="L176" s="3">
        <v>40.196727299999999</v>
      </c>
      <c r="M176" s="3">
        <v>40.272783199999999</v>
      </c>
      <c r="N176" s="3">
        <v>40.3488392</v>
      </c>
      <c r="O176" s="3">
        <v>41.651621900000002</v>
      </c>
      <c r="P176" s="3">
        <v>40.452647399999996</v>
      </c>
      <c r="Q176" s="3">
        <v>40.579100099999998</v>
      </c>
      <c r="R176" s="3">
        <v>40.7055528</v>
      </c>
      <c r="S176" s="3">
        <v>40.832005600000002</v>
      </c>
      <c r="T176" s="3">
        <v>40.958458299999997</v>
      </c>
      <c r="U176" s="3">
        <v>41.084911099999999</v>
      </c>
      <c r="V176" s="3">
        <v>41.211363800000001</v>
      </c>
      <c r="W176" s="3">
        <v>41.337816500000002</v>
      </c>
      <c r="X176" s="3">
        <v>41.464269299999998</v>
      </c>
      <c r="Y176" s="3">
        <v>41.590722</v>
      </c>
      <c r="Z176" s="3">
        <v>41.590722</v>
      </c>
      <c r="AA176" s="3">
        <v>41.590722</v>
      </c>
      <c r="AB176" s="3">
        <v>41.590722</v>
      </c>
      <c r="AC176" s="3">
        <v>41.590722</v>
      </c>
      <c r="AD176" s="3">
        <v>41.590722</v>
      </c>
      <c r="AE176" s="3">
        <v>41.590722</v>
      </c>
      <c r="AF176" s="3">
        <v>41.590722</v>
      </c>
      <c r="AG176" s="3">
        <v>41.590722</v>
      </c>
      <c r="AH176" s="3">
        <v>41.590722</v>
      </c>
      <c r="AI176" s="3">
        <v>41.590722</v>
      </c>
      <c r="AJ176" s="4">
        <f t="shared" si="4"/>
        <v>1.9263862999999972</v>
      </c>
    </row>
    <row r="177" spans="1:36" ht="14.4" x14ac:dyDescent="0.3">
      <c r="A177" s="1" t="s">
        <v>357</v>
      </c>
      <c r="B177" s="1" t="s">
        <v>358</v>
      </c>
      <c r="C177" s="1" t="s">
        <v>7</v>
      </c>
      <c r="D177" s="1" t="s">
        <v>8</v>
      </c>
      <c r="E177" s="3">
        <v>35.594052599999998</v>
      </c>
      <c r="F177" s="3">
        <v>35.775652299999997</v>
      </c>
      <c r="G177" s="3">
        <v>35.957251900000003</v>
      </c>
      <c r="H177" s="3">
        <v>36.138851500000001</v>
      </c>
      <c r="I177" s="3">
        <v>36.320451200000001</v>
      </c>
      <c r="J177" s="3">
        <v>36.502050799999999</v>
      </c>
      <c r="K177" s="3">
        <v>36.683650499999999</v>
      </c>
      <c r="L177" s="3">
        <v>36.865250099999997</v>
      </c>
      <c r="M177" s="3">
        <v>37.046849700000003</v>
      </c>
      <c r="N177" s="3">
        <v>37.228449400000002</v>
      </c>
      <c r="O177" s="3">
        <v>37.410049000000001</v>
      </c>
      <c r="P177" s="3">
        <v>37.4091679</v>
      </c>
      <c r="Q177" s="3">
        <v>37.408286799999999</v>
      </c>
      <c r="R177" s="3">
        <v>37.407405699999998</v>
      </c>
      <c r="S177" s="3">
        <v>37.406524599999997</v>
      </c>
      <c r="T177" s="3">
        <v>37.405643499999996</v>
      </c>
      <c r="U177" s="3">
        <v>37.404762400000003</v>
      </c>
      <c r="V177" s="3">
        <v>37.403881400000003</v>
      </c>
      <c r="W177" s="3">
        <v>37.403000300000002</v>
      </c>
      <c r="X177" s="3">
        <v>37.402119200000001</v>
      </c>
      <c r="Y177" s="3">
        <v>37.4012381</v>
      </c>
      <c r="Z177" s="3">
        <v>37.400091099999997</v>
      </c>
      <c r="AA177" s="3">
        <v>37.398944200000003</v>
      </c>
      <c r="AB177" s="3">
        <v>37.397797300000001</v>
      </c>
      <c r="AC177" s="3">
        <v>37.396650299999997</v>
      </c>
      <c r="AD177" s="3">
        <v>37.395503400000003</v>
      </c>
      <c r="AE177" s="3">
        <v>37.396035099999999</v>
      </c>
      <c r="AF177" s="3">
        <v>37.4116061</v>
      </c>
      <c r="AG177" s="3">
        <v>37.427936699999997</v>
      </c>
      <c r="AH177" s="3">
        <v>37.4673199</v>
      </c>
      <c r="AI177" s="3">
        <v>37.570126500000001</v>
      </c>
      <c r="AJ177" s="4">
        <f t="shared" si="4"/>
        <v>1.9760739000000029</v>
      </c>
    </row>
    <row r="178" spans="1:36" ht="14.4" x14ac:dyDescent="0.3">
      <c r="A178" s="1" t="s">
        <v>359</v>
      </c>
      <c r="B178" s="1" t="s">
        <v>360</v>
      </c>
      <c r="C178" s="1" t="s">
        <v>7</v>
      </c>
      <c r="D178" s="1" t="s">
        <v>8</v>
      </c>
      <c r="E178" s="3">
        <v>32.345855700000001</v>
      </c>
      <c r="F178" s="3">
        <v>32.351069799999998</v>
      </c>
      <c r="G178" s="3">
        <v>32.357489200000003</v>
      </c>
      <c r="H178" s="3">
        <v>32.362863400000002</v>
      </c>
      <c r="I178" s="3">
        <v>32.368728099999998</v>
      </c>
      <c r="J178" s="3">
        <v>32.374592700000001</v>
      </c>
      <c r="K178" s="3">
        <v>32.380549500000001</v>
      </c>
      <c r="L178" s="3">
        <v>32.386497200000001</v>
      </c>
      <c r="M178" s="3">
        <v>32.392381</v>
      </c>
      <c r="N178" s="3">
        <v>32.398274000000001</v>
      </c>
      <c r="O178" s="3">
        <v>32.402122300000002</v>
      </c>
      <c r="P178" s="3">
        <v>32.417393699999998</v>
      </c>
      <c r="Q178" s="3">
        <v>32.431953</v>
      </c>
      <c r="R178" s="3">
        <v>32.446612399999999</v>
      </c>
      <c r="S178" s="3">
        <v>32.461911200000003</v>
      </c>
      <c r="T178" s="3">
        <v>32.477064900000002</v>
      </c>
      <c r="U178" s="3">
        <v>32.492675200000001</v>
      </c>
      <c r="V178" s="3">
        <v>32.5076289</v>
      </c>
      <c r="W178" s="3">
        <v>32.536403300000003</v>
      </c>
      <c r="X178" s="3">
        <v>32.550651000000002</v>
      </c>
      <c r="Y178" s="3">
        <v>32.564328600000003</v>
      </c>
      <c r="Z178" s="3">
        <v>32.599419099999999</v>
      </c>
      <c r="AA178" s="3">
        <v>32.638898400000002</v>
      </c>
      <c r="AB178" s="3">
        <v>32.672488199999997</v>
      </c>
      <c r="AC178" s="3">
        <v>32.706779400000002</v>
      </c>
      <c r="AD178" s="3">
        <v>32.742091500000001</v>
      </c>
      <c r="AE178" s="3">
        <v>32.757798999999999</v>
      </c>
      <c r="AF178" s="3">
        <v>32.7510476</v>
      </c>
      <c r="AG178" s="3">
        <v>32.750056800000003</v>
      </c>
      <c r="AH178" s="3">
        <v>32.753427199999997</v>
      </c>
      <c r="AI178" s="3">
        <v>32.757210399999998</v>
      </c>
      <c r="AJ178" s="4">
        <f t="shared" si="4"/>
        <v>0.41135469999999685</v>
      </c>
    </row>
    <row r="179" spans="1:36" ht="14.4" x14ac:dyDescent="0.3">
      <c r="A179" s="1" t="s">
        <v>361</v>
      </c>
      <c r="B179" s="1" t="s">
        <v>362</v>
      </c>
      <c r="C179" s="1" t="s">
        <v>7</v>
      </c>
      <c r="D179" s="1" t="s">
        <v>8</v>
      </c>
      <c r="E179" s="3">
        <v>9.6930499999999999E-3</v>
      </c>
      <c r="F179" s="3">
        <v>9.6930499999999999E-3</v>
      </c>
      <c r="G179" s="3">
        <v>9.6930499999999999E-3</v>
      </c>
      <c r="H179" s="3">
        <v>9.6930499999999999E-3</v>
      </c>
      <c r="I179" s="3">
        <v>9.6930499999999999E-3</v>
      </c>
      <c r="J179" s="3">
        <v>9.6930499999999999E-3</v>
      </c>
      <c r="K179" s="3">
        <v>9.6930499999999999E-3</v>
      </c>
      <c r="L179" s="3">
        <v>9.6930499999999999E-3</v>
      </c>
      <c r="M179" s="3">
        <v>9.6930499999999999E-3</v>
      </c>
      <c r="N179" s="3">
        <v>9.6930499999999999E-3</v>
      </c>
      <c r="O179" s="3">
        <v>9.6930499999999999E-3</v>
      </c>
      <c r="P179" s="3">
        <v>9.6930499999999999E-3</v>
      </c>
      <c r="Q179" s="3">
        <v>9.6930499999999999E-3</v>
      </c>
      <c r="R179" s="3">
        <v>9.6930499999999999E-3</v>
      </c>
      <c r="S179" s="3">
        <v>9.6930499999999999E-3</v>
      </c>
      <c r="T179" s="3">
        <v>9.6930499999999999E-3</v>
      </c>
      <c r="U179" s="3">
        <v>9.6930499999999999E-3</v>
      </c>
      <c r="V179" s="3">
        <v>9.6930499999999999E-3</v>
      </c>
      <c r="W179" s="3">
        <v>9.6930499999999999E-3</v>
      </c>
      <c r="X179" s="3">
        <v>9.6930499999999999E-3</v>
      </c>
      <c r="Y179" s="3">
        <v>9.6930499999999999E-3</v>
      </c>
      <c r="Z179" s="3">
        <v>9.6930499999999999E-3</v>
      </c>
      <c r="AA179" s="3">
        <v>9.6930499999999999E-3</v>
      </c>
      <c r="AB179" s="3">
        <v>9.6930499999999999E-3</v>
      </c>
      <c r="AC179" s="3">
        <v>9.6930499999999999E-3</v>
      </c>
      <c r="AD179" s="3">
        <v>9.6930499999999999E-3</v>
      </c>
      <c r="AE179" s="3">
        <v>9.0468500000000004E-3</v>
      </c>
      <c r="AF179" s="3">
        <v>8.7237500000000006E-3</v>
      </c>
      <c r="AG179" s="3">
        <v>8.4006500000000008E-3</v>
      </c>
      <c r="AH179" s="3">
        <v>8.0775399999999994E-3</v>
      </c>
      <c r="AI179" s="3">
        <v>8.0775399999999994E-3</v>
      </c>
      <c r="AJ179" s="4">
        <f t="shared" si="4"/>
        <v>-1.6155100000000006E-3</v>
      </c>
    </row>
    <row r="180" spans="1:36" ht="14.4" x14ac:dyDescent="0.3">
      <c r="A180" s="1" t="s">
        <v>363</v>
      </c>
      <c r="B180" s="1" t="s">
        <v>364</v>
      </c>
      <c r="C180" s="1" t="s">
        <v>7</v>
      </c>
      <c r="D180" s="1" t="s">
        <v>8</v>
      </c>
      <c r="E180" s="3">
        <v>31.518261299999999</v>
      </c>
      <c r="F180" s="3">
        <v>31.4175045</v>
      </c>
      <c r="G180" s="3">
        <v>31.319627100000002</v>
      </c>
      <c r="H180" s="3">
        <v>31.220489100000002</v>
      </c>
      <c r="I180" s="3">
        <v>31.227363799999999</v>
      </c>
      <c r="J180" s="3">
        <v>31.1278881</v>
      </c>
      <c r="K180" s="3">
        <v>31.028412400000001</v>
      </c>
      <c r="L180" s="3">
        <v>30.928936700000001</v>
      </c>
      <c r="M180" s="3">
        <v>30.829460900000001</v>
      </c>
      <c r="N180" s="3">
        <v>30.729985200000002</v>
      </c>
      <c r="O180" s="3">
        <v>30.630509499999999</v>
      </c>
      <c r="P180" s="3">
        <v>30.533063599999998</v>
      </c>
      <c r="Q180" s="3">
        <v>30.4356176</v>
      </c>
      <c r="R180" s="3">
        <v>30.3380224</v>
      </c>
      <c r="S180" s="3">
        <v>30.2654912</v>
      </c>
      <c r="T180" s="3">
        <v>30.167816899999998</v>
      </c>
      <c r="U180" s="3">
        <v>30.1296806</v>
      </c>
      <c r="V180" s="3">
        <v>30.0419056</v>
      </c>
      <c r="W180" s="3">
        <v>29.954131400000001</v>
      </c>
      <c r="X180" s="3">
        <v>29.866505199999999</v>
      </c>
      <c r="Y180" s="3">
        <v>29.778849699999999</v>
      </c>
      <c r="Z180" s="3">
        <v>29.677815299999999</v>
      </c>
      <c r="AA180" s="3">
        <v>29.576810600000002</v>
      </c>
      <c r="AB180" s="3">
        <v>29.460181899999998</v>
      </c>
      <c r="AC180" s="3">
        <v>29.360994300000002</v>
      </c>
      <c r="AD180" s="3">
        <v>29.2599804</v>
      </c>
      <c r="AE180" s="3">
        <v>29.1503044</v>
      </c>
      <c r="AF180" s="3">
        <v>29.0498276</v>
      </c>
      <c r="AG180" s="3">
        <v>28.932254</v>
      </c>
      <c r="AH180" s="3">
        <v>28.823041700000001</v>
      </c>
      <c r="AI180" s="3">
        <v>28.713858999999999</v>
      </c>
      <c r="AJ180" s="4">
        <f t="shared" si="4"/>
        <v>-2.8044022999999996</v>
      </c>
    </row>
    <row r="181" spans="1:36" ht="14.4" x14ac:dyDescent="0.3">
      <c r="A181" s="1" t="s">
        <v>365</v>
      </c>
      <c r="B181" s="1" t="s">
        <v>366</v>
      </c>
      <c r="C181" s="1" t="s">
        <v>7</v>
      </c>
      <c r="D181" s="1" t="s">
        <v>8</v>
      </c>
      <c r="E181" s="3">
        <v>0.18775944</v>
      </c>
      <c r="F181" s="3">
        <v>6.4072709100000003</v>
      </c>
      <c r="G181" s="3">
        <v>6.3455842699999998</v>
      </c>
      <c r="H181" s="3">
        <v>6.2838976200000003</v>
      </c>
      <c r="I181" s="3">
        <v>6.2222109799999998</v>
      </c>
      <c r="J181" s="3">
        <v>6.1605243400000003</v>
      </c>
      <c r="K181" s="3">
        <v>6.0988376899999999</v>
      </c>
      <c r="L181" s="3">
        <v>6.0371510500000003</v>
      </c>
      <c r="M181" s="3">
        <v>5.9754643999999999</v>
      </c>
      <c r="N181" s="3">
        <v>5.9137777600000003</v>
      </c>
      <c r="O181" s="3">
        <v>5.8520911199999999</v>
      </c>
      <c r="P181" s="3">
        <v>5.7979283400000003</v>
      </c>
      <c r="Q181" s="3">
        <v>5.7437655699999999</v>
      </c>
      <c r="R181" s="3">
        <v>5.6896027900000004</v>
      </c>
      <c r="S181" s="3">
        <v>5.6354400199999999</v>
      </c>
      <c r="T181" s="3">
        <v>5.5812772400000004</v>
      </c>
      <c r="U181" s="3">
        <v>5.5271144699999999</v>
      </c>
      <c r="V181" s="3">
        <v>5.4729516900000004</v>
      </c>
      <c r="W181" s="3">
        <v>5.4187889199999999</v>
      </c>
      <c r="X181" s="3">
        <v>5.3646261400000004</v>
      </c>
      <c r="Y181" s="3">
        <v>5.3104633699999999</v>
      </c>
      <c r="Z181" s="3">
        <v>5.2686591900000002</v>
      </c>
      <c r="AA181" s="3">
        <v>5.2268550200000004</v>
      </c>
      <c r="AB181" s="3">
        <v>5.1850508499999997</v>
      </c>
      <c r="AC181" s="3">
        <v>5.1432466799999998</v>
      </c>
      <c r="AD181" s="3">
        <v>5.10144251</v>
      </c>
      <c r="AE181" s="3">
        <v>5.0179535099999999</v>
      </c>
      <c r="AF181" s="3">
        <v>4.9941884600000002</v>
      </c>
      <c r="AG181" s="3">
        <v>4.9405614399999997</v>
      </c>
      <c r="AH181" s="3">
        <v>4.8869344100000003</v>
      </c>
      <c r="AI181" s="3">
        <v>4.8333073899999999</v>
      </c>
      <c r="AJ181" s="4">
        <f t="shared" si="4"/>
        <v>4.6455479500000001</v>
      </c>
    </row>
    <row r="182" spans="1:36" ht="14.4" x14ac:dyDescent="0.3">
      <c r="A182" s="1" t="s">
        <v>367</v>
      </c>
      <c r="B182" s="1" t="s">
        <v>368</v>
      </c>
      <c r="C182" s="1" t="s">
        <v>7</v>
      </c>
      <c r="D182" s="1" t="s">
        <v>8</v>
      </c>
      <c r="E182" s="3">
        <v>61.977401100000002</v>
      </c>
      <c r="F182" s="3">
        <v>61.755098199999999</v>
      </c>
      <c r="G182" s="3">
        <v>61.532795299999997</v>
      </c>
      <c r="H182" s="3">
        <v>61.3104923</v>
      </c>
      <c r="I182" s="3">
        <v>61.088189399999997</v>
      </c>
      <c r="J182" s="3">
        <v>60.865886500000002</v>
      </c>
      <c r="K182" s="3">
        <v>60.643583499999998</v>
      </c>
      <c r="L182" s="3">
        <v>60.421280600000003</v>
      </c>
      <c r="M182" s="3">
        <v>60.1989777</v>
      </c>
      <c r="N182" s="3">
        <v>59.976674699999997</v>
      </c>
      <c r="O182" s="3">
        <v>59.754371800000001</v>
      </c>
      <c r="P182" s="3">
        <v>59.600820599999999</v>
      </c>
      <c r="Q182" s="3">
        <v>59.447269300000002</v>
      </c>
      <c r="R182" s="3">
        <v>59.2937181</v>
      </c>
      <c r="S182" s="3">
        <v>59.140166800000003</v>
      </c>
      <c r="T182" s="3">
        <v>58.9866156</v>
      </c>
      <c r="U182" s="3">
        <v>58.833064299999997</v>
      </c>
      <c r="V182" s="3">
        <v>58.679513</v>
      </c>
      <c r="W182" s="3">
        <v>58.525961799999997</v>
      </c>
      <c r="X182" s="3">
        <v>58.372410500000001</v>
      </c>
      <c r="Y182" s="3">
        <v>58.218859299999998</v>
      </c>
      <c r="Z182" s="3">
        <v>58.065294600000001</v>
      </c>
      <c r="AA182" s="3">
        <v>57.911729899999997</v>
      </c>
      <c r="AB182" s="3">
        <v>57.758165200000001</v>
      </c>
      <c r="AC182" s="3">
        <v>57.775580099999999</v>
      </c>
      <c r="AD182" s="3">
        <v>57.621559599999998</v>
      </c>
      <c r="AE182" s="3">
        <v>57.467620099999998</v>
      </c>
      <c r="AF182" s="3">
        <v>57.313545599999998</v>
      </c>
      <c r="AG182" s="3">
        <v>57.115682800000002</v>
      </c>
      <c r="AH182" s="3">
        <v>56.9617267</v>
      </c>
      <c r="AI182" s="3">
        <v>56.807905400000003</v>
      </c>
      <c r="AJ182" s="4">
        <f t="shared" si="4"/>
        <v>-5.1694956999999988</v>
      </c>
    </row>
    <row r="183" spans="1:36" ht="14.4" x14ac:dyDescent="0.3">
      <c r="A183" s="1" t="s">
        <v>369</v>
      </c>
      <c r="B183" s="1" t="s">
        <v>370</v>
      </c>
      <c r="C183" s="1" t="s">
        <v>7</v>
      </c>
      <c r="D183" s="1" t="s">
        <v>8</v>
      </c>
      <c r="E183" s="3">
        <v>59.725421900000001</v>
      </c>
      <c r="F183" s="3">
        <v>59.635522700000003</v>
      </c>
      <c r="G183" s="3">
        <v>59.545623399999997</v>
      </c>
      <c r="H183" s="3">
        <v>59.455724199999999</v>
      </c>
      <c r="I183" s="3">
        <v>59.365825000000001</v>
      </c>
      <c r="J183" s="3">
        <v>59.275925800000003</v>
      </c>
      <c r="K183" s="3">
        <v>59.186026599999998</v>
      </c>
      <c r="L183" s="3">
        <v>59.096127299999999</v>
      </c>
      <c r="M183" s="3">
        <v>59.006228100000001</v>
      </c>
      <c r="N183" s="3">
        <v>58.916328900000003</v>
      </c>
      <c r="O183" s="3">
        <v>58.826429699999998</v>
      </c>
      <c r="P183" s="3">
        <v>58.728927300000002</v>
      </c>
      <c r="Q183" s="3">
        <v>58.631425</v>
      </c>
      <c r="R183" s="3">
        <v>58.533922699999998</v>
      </c>
      <c r="S183" s="3">
        <v>58.436420300000002</v>
      </c>
      <c r="T183" s="3">
        <v>58.338918</v>
      </c>
      <c r="U183" s="3">
        <v>58.241415600000003</v>
      </c>
      <c r="V183" s="3">
        <v>58.143913300000001</v>
      </c>
      <c r="W183" s="3">
        <v>58.046410899999998</v>
      </c>
      <c r="X183" s="3">
        <v>57.948908600000003</v>
      </c>
      <c r="Y183" s="3">
        <v>57.851406300000001</v>
      </c>
      <c r="Z183" s="3">
        <v>57.717770299999998</v>
      </c>
      <c r="AA183" s="3">
        <v>57.584134400000003</v>
      </c>
      <c r="AB183" s="3">
        <v>57.450498400000001</v>
      </c>
      <c r="AC183" s="3">
        <v>57.316862499999999</v>
      </c>
      <c r="AD183" s="3">
        <v>57.183226599999998</v>
      </c>
      <c r="AE183" s="3">
        <v>57.039281299999999</v>
      </c>
      <c r="AF183" s="3">
        <v>56.902171899999999</v>
      </c>
      <c r="AG183" s="3">
        <v>56.778156299999999</v>
      </c>
      <c r="AH183" s="3">
        <v>56.643124999999998</v>
      </c>
      <c r="AI183" s="3">
        <v>56.508101600000003</v>
      </c>
      <c r="AJ183" s="4">
        <f t="shared" si="4"/>
        <v>-3.2173202999999972</v>
      </c>
    </row>
    <row r="184" spans="1:36" ht="14.4" x14ac:dyDescent="0.3">
      <c r="A184" s="1" t="s">
        <v>371</v>
      </c>
      <c r="B184" s="1" t="s">
        <v>372</v>
      </c>
      <c r="C184" s="1" t="s">
        <v>7</v>
      </c>
      <c r="D184" s="1" t="s">
        <v>8</v>
      </c>
      <c r="E184" s="3">
        <v>26.088506599999999</v>
      </c>
      <c r="F184" s="3">
        <v>25.931029299999999</v>
      </c>
      <c r="G184" s="3">
        <v>25.773551999999999</v>
      </c>
      <c r="H184" s="3">
        <v>25.616074699999999</v>
      </c>
      <c r="I184" s="3">
        <v>25.458597399999999</v>
      </c>
      <c r="J184" s="3">
        <v>25.3011202</v>
      </c>
      <c r="K184" s="3">
        <v>25.1436429</v>
      </c>
      <c r="L184" s="3">
        <v>24.9861656</v>
      </c>
      <c r="M184" s="3">
        <v>24.8286883</v>
      </c>
      <c r="N184" s="3">
        <v>24.671211100000001</v>
      </c>
      <c r="O184" s="3">
        <v>24.513733800000001</v>
      </c>
      <c r="P184" s="3">
        <v>24.356259900000001</v>
      </c>
      <c r="Q184" s="3">
        <v>24.198785900000001</v>
      </c>
      <c r="R184" s="3">
        <v>24.041312000000001</v>
      </c>
      <c r="S184" s="3">
        <v>23.883838099999998</v>
      </c>
      <c r="T184" s="3">
        <v>23.726364199999999</v>
      </c>
      <c r="U184" s="3">
        <v>23.568890199999998</v>
      </c>
      <c r="V184" s="3">
        <v>23.411416299999999</v>
      </c>
      <c r="W184" s="3">
        <v>23.2539424</v>
      </c>
      <c r="X184" s="3">
        <v>23.0964685</v>
      </c>
      <c r="Y184" s="3">
        <v>22.9389945</v>
      </c>
      <c r="Z184" s="3">
        <v>23.055994900000002</v>
      </c>
      <c r="AA184" s="3">
        <v>23.1729953</v>
      </c>
      <c r="AB184" s="3">
        <v>23.289995600000001</v>
      </c>
      <c r="AC184" s="3">
        <v>23.406995999999999</v>
      </c>
      <c r="AD184" s="3">
        <v>23.523996400000001</v>
      </c>
      <c r="AE184" s="3">
        <v>23.6410102</v>
      </c>
      <c r="AF184" s="3">
        <v>23.758023900000001</v>
      </c>
      <c r="AG184" s="3">
        <v>23.875004199999999</v>
      </c>
      <c r="AH184" s="3">
        <v>23.992018000000002</v>
      </c>
      <c r="AI184" s="3">
        <v>24.1090318</v>
      </c>
      <c r="AJ184" s="4">
        <f t="shared" si="4"/>
        <v>-1.9794747999999984</v>
      </c>
    </row>
    <row r="185" spans="1:36" ht="14.4" x14ac:dyDescent="0.3">
      <c r="A185" s="1" t="s">
        <v>373</v>
      </c>
      <c r="B185" s="1" t="s">
        <v>374</v>
      </c>
      <c r="C185" s="1" t="s">
        <v>7</v>
      </c>
      <c r="D185" s="1" t="s">
        <v>8</v>
      </c>
      <c r="E185" s="5"/>
      <c r="F185" s="3">
        <v>83.245652199999995</v>
      </c>
      <c r="G185" s="3">
        <v>83.556521700000005</v>
      </c>
      <c r="H185" s="3">
        <v>83.867391299999994</v>
      </c>
      <c r="I185" s="3">
        <v>84.178260899999998</v>
      </c>
      <c r="J185" s="3">
        <v>84.489130399999993</v>
      </c>
      <c r="K185" s="3">
        <v>84.8</v>
      </c>
      <c r="L185" s="3">
        <v>85.110869600000001</v>
      </c>
      <c r="M185" s="3">
        <v>85.421739099999996</v>
      </c>
      <c r="N185" s="3">
        <v>85.7326087</v>
      </c>
      <c r="O185" s="3">
        <v>86.043478300000004</v>
      </c>
      <c r="P185" s="3">
        <v>86.256521699999993</v>
      </c>
      <c r="Q185" s="3">
        <v>86.469565200000005</v>
      </c>
      <c r="R185" s="3">
        <v>86.682608700000003</v>
      </c>
      <c r="S185" s="3">
        <v>86.895652200000001</v>
      </c>
      <c r="T185" s="3">
        <v>87.108695699999998</v>
      </c>
      <c r="U185" s="3">
        <v>87.321739100000002</v>
      </c>
      <c r="V185" s="3">
        <v>87.5347826</v>
      </c>
      <c r="W185" s="3">
        <v>87.747826099999997</v>
      </c>
      <c r="X185" s="3">
        <v>87.960869599999995</v>
      </c>
      <c r="Y185" s="3">
        <v>88.173912999999999</v>
      </c>
      <c r="Z185" s="3">
        <v>88.360869600000001</v>
      </c>
      <c r="AA185" s="3">
        <v>88.547826099999995</v>
      </c>
      <c r="AB185" s="3">
        <v>88.734782600000003</v>
      </c>
      <c r="AC185" s="3">
        <v>88.921739099999996</v>
      </c>
      <c r="AD185" s="3">
        <v>89.108695699999998</v>
      </c>
      <c r="AE185" s="3">
        <v>89.304347800000002</v>
      </c>
      <c r="AF185" s="3">
        <v>89.478260899999995</v>
      </c>
      <c r="AG185" s="3">
        <v>89.673912999999999</v>
      </c>
      <c r="AH185" s="3">
        <v>89.847826100000006</v>
      </c>
      <c r="AI185" s="3">
        <v>90.021739100000005</v>
      </c>
      <c r="AJ185" s="4">
        <f>AI185-F185</f>
        <v>6.7760869000000099</v>
      </c>
    </row>
    <row r="186" spans="1:36" ht="14.4" x14ac:dyDescent="0.3">
      <c r="A186" s="1" t="s">
        <v>375</v>
      </c>
      <c r="B186" s="1" t="s">
        <v>376</v>
      </c>
      <c r="C186" s="1" t="s">
        <v>7</v>
      </c>
      <c r="D186" s="1" t="s">
        <v>8</v>
      </c>
      <c r="E186" s="3">
        <v>80.377335200000005</v>
      </c>
      <c r="F186" s="3">
        <v>80.350458399999994</v>
      </c>
      <c r="G186" s="3">
        <v>80.323581899999994</v>
      </c>
      <c r="H186" s="3">
        <v>80.296705200000005</v>
      </c>
      <c r="I186" s="3">
        <v>80.269828399999994</v>
      </c>
      <c r="J186" s="3">
        <v>80.242951700000006</v>
      </c>
      <c r="K186" s="3">
        <v>80.216075200000006</v>
      </c>
      <c r="L186" s="3">
        <v>80.189198399999995</v>
      </c>
      <c r="M186" s="3">
        <v>80.162321700000007</v>
      </c>
      <c r="N186" s="3">
        <v>80.135444899999996</v>
      </c>
      <c r="O186" s="3">
        <v>80.108568300000002</v>
      </c>
      <c r="P186" s="3">
        <v>80.086689500000006</v>
      </c>
      <c r="Q186" s="3">
        <v>80.064810499999993</v>
      </c>
      <c r="R186" s="3">
        <v>80.042931600000003</v>
      </c>
      <c r="S186" s="3">
        <v>80.021052600000004</v>
      </c>
      <c r="T186" s="3">
        <v>79.9991737</v>
      </c>
      <c r="U186" s="3">
        <v>79.977294700000002</v>
      </c>
      <c r="V186" s="3">
        <v>79.955415799999997</v>
      </c>
      <c r="W186" s="3">
        <v>79.933536899999993</v>
      </c>
      <c r="X186" s="3">
        <v>79.911657899999994</v>
      </c>
      <c r="Y186" s="3">
        <v>79.889779000000004</v>
      </c>
      <c r="Z186" s="3">
        <v>79.821561599999995</v>
      </c>
      <c r="AA186" s="3">
        <v>79.753344299999995</v>
      </c>
      <c r="AB186" s="3">
        <v>79.685126999999994</v>
      </c>
      <c r="AC186" s="3">
        <v>79.616909899999996</v>
      </c>
      <c r="AD186" s="3">
        <v>79.548692500000001</v>
      </c>
      <c r="AE186" s="3">
        <v>79.472419700000003</v>
      </c>
      <c r="AF186" s="3">
        <v>79.398379199999994</v>
      </c>
      <c r="AG186" s="3">
        <v>79.324338600000004</v>
      </c>
      <c r="AH186" s="3">
        <v>79.250298099999995</v>
      </c>
      <c r="AI186" s="3">
        <v>79.1762576</v>
      </c>
      <c r="AJ186" s="4">
        <f t="shared" ref="AJ186:AJ201" si="5">AI186-E186</f>
        <v>-1.201077600000005</v>
      </c>
    </row>
    <row r="187" spans="1:36" ht="14.4" x14ac:dyDescent="0.3">
      <c r="A187" s="1" t="s">
        <v>377</v>
      </c>
      <c r="B187" s="1" t="s">
        <v>378</v>
      </c>
      <c r="C187" s="1" t="s">
        <v>7</v>
      </c>
      <c r="D187" s="1" t="s">
        <v>8</v>
      </c>
      <c r="E187" s="3">
        <v>28.9986614</v>
      </c>
      <c r="F187" s="3">
        <v>29.056449799999999</v>
      </c>
      <c r="G187" s="3">
        <v>29.114238100000001</v>
      </c>
      <c r="H187" s="3">
        <v>29.172026500000001</v>
      </c>
      <c r="I187" s="3">
        <v>29.229814900000001</v>
      </c>
      <c r="J187" s="3">
        <v>29.287603300000001</v>
      </c>
      <c r="K187" s="3">
        <v>29.345391599999999</v>
      </c>
      <c r="L187" s="3">
        <v>29.403179999999999</v>
      </c>
      <c r="M187" s="3">
        <v>29.460968399999999</v>
      </c>
      <c r="N187" s="3">
        <v>29.518756700000001</v>
      </c>
      <c r="O187" s="3">
        <v>29.576545100000001</v>
      </c>
      <c r="P187" s="3">
        <v>29.664696899999999</v>
      </c>
      <c r="Q187" s="3">
        <v>29.7528486</v>
      </c>
      <c r="R187" s="3">
        <v>29.845872499999999</v>
      </c>
      <c r="S187" s="3">
        <v>29.925243999999999</v>
      </c>
      <c r="T187" s="3">
        <v>30.013384299999998</v>
      </c>
      <c r="U187" s="3">
        <v>30.102507200000002</v>
      </c>
      <c r="V187" s="3">
        <v>30.190650300000001</v>
      </c>
      <c r="W187" s="3">
        <v>30.280770499999999</v>
      </c>
      <c r="X187" s="3">
        <v>30.370902399999999</v>
      </c>
      <c r="Y187" s="3">
        <v>30.459057099999999</v>
      </c>
      <c r="Z187" s="3">
        <v>30.523462800000001</v>
      </c>
      <c r="AA187" s="3">
        <v>30.5838939</v>
      </c>
      <c r="AB187" s="3">
        <v>30.6443291</v>
      </c>
      <c r="AC187" s="3">
        <v>30.705770900000001</v>
      </c>
      <c r="AD187" s="3">
        <v>30.765211099999998</v>
      </c>
      <c r="AE187" s="3">
        <v>30.8142003</v>
      </c>
      <c r="AF187" s="3">
        <v>30.8533917</v>
      </c>
      <c r="AG187" s="3">
        <v>30.894601000000002</v>
      </c>
      <c r="AH187" s="3">
        <v>30.933795</v>
      </c>
      <c r="AI187" s="3">
        <v>30.972988900000001</v>
      </c>
      <c r="AJ187" s="4">
        <f t="shared" si="5"/>
        <v>1.9743275000000011</v>
      </c>
    </row>
    <row r="188" spans="1:36" ht="14.4" x14ac:dyDescent="0.3">
      <c r="A188" s="1" t="s">
        <v>379</v>
      </c>
      <c r="B188" s="1" t="s">
        <v>380</v>
      </c>
      <c r="C188" s="1" t="s">
        <v>7</v>
      </c>
      <c r="D188" s="1" t="s">
        <v>8</v>
      </c>
      <c r="E188" s="3">
        <v>33.062558000000003</v>
      </c>
      <c r="F188" s="3">
        <v>32.916447400000003</v>
      </c>
      <c r="G188" s="3">
        <v>32.766069600000002</v>
      </c>
      <c r="H188" s="3">
        <v>32.590822799999998</v>
      </c>
      <c r="I188" s="3">
        <v>32.442401099999998</v>
      </c>
      <c r="J188" s="3">
        <v>32.293979299999997</v>
      </c>
      <c r="K188" s="3">
        <v>32.145557500000002</v>
      </c>
      <c r="L188" s="3">
        <v>31.997135700000001</v>
      </c>
      <c r="M188" s="3">
        <v>31.8487139</v>
      </c>
      <c r="N188" s="3">
        <v>31.7002922</v>
      </c>
      <c r="O188" s="3">
        <v>28.7666252</v>
      </c>
      <c r="P188" s="3">
        <v>31.392180700000001</v>
      </c>
      <c r="Q188" s="3">
        <v>31.232490899999998</v>
      </c>
      <c r="R188" s="3">
        <v>31.072801200000001</v>
      </c>
      <c r="S188" s="3">
        <v>30.913111499999999</v>
      </c>
      <c r="T188" s="3">
        <v>30.753421800000002</v>
      </c>
      <c r="U188" s="3">
        <v>30.593731999999999</v>
      </c>
      <c r="V188" s="3">
        <v>30.434042300000002</v>
      </c>
      <c r="W188" s="3">
        <v>30.2743526</v>
      </c>
      <c r="X188" s="3">
        <v>30.1198263</v>
      </c>
      <c r="Y188" s="3">
        <v>27.282257900000001</v>
      </c>
      <c r="Z188" s="3">
        <v>27.459918299999998</v>
      </c>
      <c r="AA188" s="3">
        <v>27.284853300000002</v>
      </c>
      <c r="AB188" s="3">
        <v>27.110042400000001</v>
      </c>
      <c r="AC188" s="3">
        <v>26.9350351</v>
      </c>
      <c r="AD188" s="3">
        <v>26.759966200000001</v>
      </c>
      <c r="AE188" s="3">
        <v>26.577380999999999</v>
      </c>
      <c r="AF188" s="3">
        <v>26.398738000000002</v>
      </c>
      <c r="AG188" s="3">
        <v>26.2219677</v>
      </c>
      <c r="AH188" s="3">
        <v>26.0401469</v>
      </c>
      <c r="AI188" s="3">
        <v>25.8602816</v>
      </c>
      <c r="AJ188" s="4">
        <f t="shared" si="5"/>
        <v>-7.2022764000000024</v>
      </c>
    </row>
    <row r="189" spans="1:36" ht="14.4" x14ac:dyDescent="0.3">
      <c r="A189" s="1" t="s">
        <v>381</v>
      </c>
      <c r="B189" s="1" t="s">
        <v>382</v>
      </c>
      <c r="C189" s="1" t="s">
        <v>7</v>
      </c>
      <c r="D189" s="1" t="s">
        <v>8</v>
      </c>
      <c r="E189" s="3">
        <v>36.113866999999999</v>
      </c>
      <c r="F189" s="3">
        <v>37.340699000000001</v>
      </c>
      <c r="G189" s="3">
        <v>38.567531000000002</v>
      </c>
      <c r="H189" s="3">
        <v>39.794362999999997</v>
      </c>
      <c r="I189" s="3">
        <v>41.021194999999999</v>
      </c>
      <c r="J189" s="3">
        <v>42.248027100000002</v>
      </c>
      <c r="K189" s="3">
        <v>43.474859100000003</v>
      </c>
      <c r="L189" s="3">
        <v>44.701691099999998</v>
      </c>
      <c r="M189" s="3">
        <v>45.9285231</v>
      </c>
      <c r="N189" s="3">
        <v>47.155355100000001</v>
      </c>
      <c r="O189" s="3">
        <v>48.382187100000003</v>
      </c>
      <c r="P189" s="3">
        <v>49.084554699999998</v>
      </c>
      <c r="Q189" s="3">
        <v>49.786922199999999</v>
      </c>
      <c r="R189" s="3">
        <v>50.4892897</v>
      </c>
      <c r="S189" s="3">
        <v>51.191657300000003</v>
      </c>
      <c r="T189" s="3">
        <v>51.894024799999997</v>
      </c>
      <c r="U189" s="3">
        <v>52.596392299999998</v>
      </c>
      <c r="V189" s="3">
        <v>53.2987599</v>
      </c>
      <c r="W189" s="3">
        <v>54.001127400000001</v>
      </c>
      <c r="X189" s="3">
        <v>54.703494900000003</v>
      </c>
      <c r="Y189" s="3">
        <v>55.405862499999998</v>
      </c>
      <c r="Z189" s="3">
        <v>55.460653899999997</v>
      </c>
      <c r="AA189" s="3">
        <v>55.515445300000003</v>
      </c>
      <c r="AB189" s="3">
        <v>55.570236800000004</v>
      </c>
      <c r="AC189" s="3">
        <v>55.625028200000003</v>
      </c>
      <c r="AD189" s="3">
        <v>55.679819600000002</v>
      </c>
      <c r="AE189" s="3">
        <v>55.735061999999999</v>
      </c>
      <c r="AF189" s="3">
        <v>55.790304399999997</v>
      </c>
      <c r="AG189" s="3">
        <v>55.845546800000001</v>
      </c>
      <c r="AH189" s="3">
        <v>55.900789199999998</v>
      </c>
      <c r="AI189" s="3">
        <v>55.956031600000003</v>
      </c>
      <c r="AJ189" s="4">
        <f t="shared" si="5"/>
        <v>19.842164600000004</v>
      </c>
    </row>
    <row r="190" spans="1:36" ht="14.4" x14ac:dyDescent="0.3">
      <c r="A190" s="1" t="s">
        <v>383</v>
      </c>
      <c r="B190" s="1" t="s">
        <v>384</v>
      </c>
      <c r="C190" s="1" t="s">
        <v>7</v>
      </c>
      <c r="D190" s="1" t="s">
        <v>8</v>
      </c>
      <c r="E190" s="3">
        <v>57.404119299999998</v>
      </c>
      <c r="F190" s="3">
        <v>57.0243003</v>
      </c>
      <c r="G190" s="3">
        <v>56.644481399999997</v>
      </c>
      <c r="H190" s="3">
        <v>56.264662399999999</v>
      </c>
      <c r="I190" s="3">
        <v>55.884843500000002</v>
      </c>
      <c r="J190" s="3">
        <v>55.505024499999998</v>
      </c>
      <c r="K190" s="3">
        <v>55.1252055</v>
      </c>
      <c r="L190" s="3">
        <v>54.745386600000003</v>
      </c>
      <c r="M190" s="3">
        <v>54.365567599999999</v>
      </c>
      <c r="N190" s="3">
        <v>53.985748700000002</v>
      </c>
      <c r="O190" s="3">
        <v>53.605929699999997</v>
      </c>
      <c r="P190" s="3">
        <v>53.429615499999997</v>
      </c>
      <c r="Q190" s="3">
        <v>53.253301200000003</v>
      </c>
      <c r="R190" s="3">
        <v>53.076987000000003</v>
      </c>
      <c r="S190" s="3">
        <v>52.900672700000001</v>
      </c>
      <c r="T190" s="3">
        <v>52.7243584</v>
      </c>
      <c r="U190" s="3">
        <v>52.5480442</v>
      </c>
      <c r="V190" s="3">
        <v>52.371729899999998</v>
      </c>
      <c r="W190" s="3">
        <v>52.195415699999998</v>
      </c>
      <c r="X190" s="3">
        <v>52.019101399999997</v>
      </c>
      <c r="Y190" s="3">
        <v>51.842787100000002</v>
      </c>
      <c r="Z190" s="3">
        <v>51.666472900000002</v>
      </c>
      <c r="AA190" s="3">
        <v>51.490158600000001</v>
      </c>
      <c r="AB190" s="3">
        <v>51.313844400000001</v>
      </c>
      <c r="AC190" s="3">
        <v>51.137530099999999</v>
      </c>
      <c r="AD190" s="3">
        <v>50.961215799999998</v>
      </c>
      <c r="AE190" s="3">
        <v>50.784901599999998</v>
      </c>
      <c r="AF190" s="3">
        <v>50.608587300000003</v>
      </c>
      <c r="AG190" s="3">
        <v>50.432273100000003</v>
      </c>
      <c r="AH190" s="3">
        <v>50.255958800000002</v>
      </c>
      <c r="AI190" s="3">
        <v>50.079644500000001</v>
      </c>
      <c r="AJ190" s="4">
        <f t="shared" si="5"/>
        <v>-7.3244747999999973</v>
      </c>
    </row>
    <row r="191" spans="1:36" ht="14.4" x14ac:dyDescent="0.3">
      <c r="A191" s="1" t="s">
        <v>385</v>
      </c>
      <c r="B191" s="1" t="s">
        <v>386</v>
      </c>
      <c r="C191" s="1" t="s">
        <v>7</v>
      </c>
      <c r="D191" s="1" t="s">
        <v>8</v>
      </c>
      <c r="E191" s="3">
        <v>37.147540999999997</v>
      </c>
      <c r="F191" s="3">
        <v>37.018579199999998</v>
      </c>
      <c r="G191" s="3">
        <v>36.8896175</v>
      </c>
      <c r="H191" s="3">
        <v>36.760655700000001</v>
      </c>
      <c r="I191" s="3">
        <v>36.631694000000003</v>
      </c>
      <c r="J191" s="3">
        <v>36.502732199999997</v>
      </c>
      <c r="K191" s="3">
        <v>36.373770499999999</v>
      </c>
      <c r="L191" s="3">
        <v>36.2448087</v>
      </c>
      <c r="M191" s="3">
        <v>36.115847000000002</v>
      </c>
      <c r="N191" s="3">
        <v>35.986885200000003</v>
      </c>
      <c r="O191" s="3">
        <v>35.857923499999998</v>
      </c>
      <c r="P191" s="3">
        <v>35.826229499999997</v>
      </c>
      <c r="Q191" s="3">
        <v>35.794535500000002</v>
      </c>
      <c r="R191" s="3">
        <v>35.7628415</v>
      </c>
      <c r="S191" s="3">
        <v>35.731147499999999</v>
      </c>
      <c r="T191" s="3">
        <v>35.711162100000003</v>
      </c>
      <c r="U191" s="3">
        <v>35.6794577</v>
      </c>
      <c r="V191" s="3">
        <v>35.647753399999999</v>
      </c>
      <c r="W191" s="3">
        <v>35.616048999999997</v>
      </c>
      <c r="X191" s="3">
        <v>35.537722500000001</v>
      </c>
      <c r="Y191" s="3">
        <v>35.5060596</v>
      </c>
      <c r="Z191" s="3">
        <v>35.637078299999999</v>
      </c>
      <c r="AA191" s="3">
        <v>35.768096999999997</v>
      </c>
      <c r="AB191" s="3">
        <v>35.893158900000003</v>
      </c>
      <c r="AC191" s="3">
        <v>36.023998499999998</v>
      </c>
      <c r="AD191" s="3">
        <v>36.154994899999998</v>
      </c>
      <c r="AE191" s="3">
        <v>36.154994899999998</v>
      </c>
      <c r="AF191" s="3">
        <v>36.154994899999998</v>
      </c>
      <c r="AG191" s="3">
        <v>36.154994899999998</v>
      </c>
      <c r="AH191" s="3">
        <v>36.154994899999998</v>
      </c>
      <c r="AI191" s="3">
        <v>36.154994899999998</v>
      </c>
      <c r="AJ191" s="4">
        <f t="shared" si="5"/>
        <v>-0.99254609999999843</v>
      </c>
    </row>
    <row r="192" spans="1:36" ht="14.4" x14ac:dyDescent="0.3">
      <c r="A192" s="1" t="s">
        <v>387</v>
      </c>
      <c r="B192" s="1" t="s">
        <v>388</v>
      </c>
      <c r="C192" s="1" t="s">
        <v>7</v>
      </c>
      <c r="D192" s="1" t="s">
        <v>8</v>
      </c>
      <c r="E192" s="3">
        <v>64.298665999999997</v>
      </c>
      <c r="F192" s="3">
        <v>63.655774000000001</v>
      </c>
      <c r="G192" s="3">
        <v>63.012881999999998</v>
      </c>
      <c r="H192" s="3">
        <v>62.3699899</v>
      </c>
      <c r="I192" s="3">
        <v>61.727097899999997</v>
      </c>
      <c r="J192" s="3">
        <v>61.084205900000001</v>
      </c>
      <c r="K192" s="3">
        <v>60.441313899999997</v>
      </c>
      <c r="L192" s="3">
        <v>59.7984218</v>
      </c>
      <c r="M192" s="3">
        <v>59.155529799999996</v>
      </c>
      <c r="N192" s="3">
        <v>58.5126378</v>
      </c>
      <c r="O192" s="3">
        <v>57.869745799999997</v>
      </c>
      <c r="P192" s="3">
        <v>57.008572899999997</v>
      </c>
      <c r="Q192" s="3">
        <v>56.147399900000003</v>
      </c>
      <c r="R192" s="3">
        <v>55.286226999999997</v>
      </c>
      <c r="S192" s="3">
        <v>54.425054099999997</v>
      </c>
      <c r="T192" s="3">
        <v>53.563881199999997</v>
      </c>
      <c r="U192" s="3">
        <v>52.702708299999998</v>
      </c>
      <c r="V192" s="3">
        <v>51.841535399999998</v>
      </c>
      <c r="W192" s="3">
        <v>50.980362399999997</v>
      </c>
      <c r="X192" s="3">
        <v>50.119189499999997</v>
      </c>
      <c r="Y192" s="3">
        <v>49.258016599999998</v>
      </c>
      <c r="Z192" s="3">
        <v>48.215343599999997</v>
      </c>
      <c r="AA192" s="3">
        <v>47.172670500000002</v>
      </c>
      <c r="AB192" s="3">
        <v>46.129997500000002</v>
      </c>
      <c r="AC192" s="3">
        <v>45.0873244</v>
      </c>
      <c r="AD192" s="3">
        <v>44.044651399999999</v>
      </c>
      <c r="AE192" s="3">
        <v>43.6273093</v>
      </c>
      <c r="AF192" s="3">
        <v>42.638484800000001</v>
      </c>
      <c r="AG192" s="3">
        <v>41.9353889</v>
      </c>
      <c r="AH192" s="3">
        <v>41.232318100000001</v>
      </c>
      <c r="AI192" s="3">
        <v>40.529222300000001</v>
      </c>
      <c r="AJ192" s="4">
        <f t="shared" si="5"/>
        <v>-23.769443699999997</v>
      </c>
    </row>
    <row r="193" spans="1:36" ht="14.4" x14ac:dyDescent="0.3">
      <c r="A193" s="1" t="s">
        <v>389</v>
      </c>
      <c r="B193" s="1" t="s">
        <v>390</v>
      </c>
      <c r="C193" s="1" t="s">
        <v>7</v>
      </c>
      <c r="D193" s="1" t="s">
        <v>8</v>
      </c>
      <c r="E193" s="3">
        <v>1.5083056399999999</v>
      </c>
      <c r="F193" s="3">
        <v>1.5083056399999999</v>
      </c>
      <c r="G193" s="3">
        <v>1.5083056399999999</v>
      </c>
      <c r="H193" s="3">
        <v>1.5083056399999999</v>
      </c>
      <c r="I193" s="3">
        <v>1.5083056399999999</v>
      </c>
      <c r="J193" s="3">
        <v>1.5083056399999999</v>
      </c>
      <c r="K193" s="3">
        <v>1.5083056399999999</v>
      </c>
      <c r="L193" s="3">
        <v>1.5083056399999999</v>
      </c>
      <c r="M193" s="3">
        <v>1.5083056399999999</v>
      </c>
      <c r="N193" s="3">
        <v>1.5083056399999999</v>
      </c>
      <c r="O193" s="3">
        <v>1.5083056500000001</v>
      </c>
      <c r="P193" s="3">
        <v>1.5116279699999999</v>
      </c>
      <c r="Q193" s="3">
        <v>1.51495015</v>
      </c>
      <c r="R193" s="3">
        <v>1.51661131</v>
      </c>
      <c r="S193" s="3">
        <v>1.5199334900000001</v>
      </c>
      <c r="T193" s="3">
        <v>1.5232558300000001</v>
      </c>
      <c r="U193" s="3">
        <v>1.5232558300000001</v>
      </c>
      <c r="V193" s="3">
        <v>1.5232558300000001</v>
      </c>
      <c r="W193" s="3">
        <v>1.5232558300000001</v>
      </c>
      <c r="X193" s="3">
        <v>1.5232558300000001</v>
      </c>
      <c r="Y193" s="3">
        <v>1.6528239199999999</v>
      </c>
      <c r="Z193" s="3">
        <v>1.5232558300000001</v>
      </c>
      <c r="AA193" s="3">
        <v>1.5232558300000001</v>
      </c>
      <c r="AB193" s="3">
        <v>1.5232558300000001</v>
      </c>
      <c r="AC193" s="3">
        <v>1.5232558300000001</v>
      </c>
      <c r="AD193" s="3">
        <v>1.6843853799999999</v>
      </c>
      <c r="AE193" s="3">
        <v>1.6843853799999999</v>
      </c>
      <c r="AF193" s="3">
        <v>1.6843853799999999</v>
      </c>
      <c r="AG193" s="3">
        <v>1.6843853799999999</v>
      </c>
      <c r="AH193" s="3">
        <v>1.6843853799999999</v>
      </c>
      <c r="AI193" s="3">
        <v>1.6843853799999999</v>
      </c>
      <c r="AJ193" s="4">
        <f t="shared" si="5"/>
        <v>0.17607974000000004</v>
      </c>
    </row>
    <row r="194" spans="1:36" ht="14.4" x14ac:dyDescent="0.3">
      <c r="A194" s="1" t="s">
        <v>391</v>
      </c>
      <c r="B194" s="1" t="s">
        <v>392</v>
      </c>
      <c r="C194" s="1" t="s">
        <v>7</v>
      </c>
      <c r="D194" s="1" t="s">
        <v>8</v>
      </c>
      <c r="E194" s="3">
        <v>65.449570499999993</v>
      </c>
      <c r="F194" s="3">
        <v>65.9022741</v>
      </c>
      <c r="G194" s="3">
        <v>65.990062300000005</v>
      </c>
      <c r="H194" s="3">
        <v>66.077850499999997</v>
      </c>
      <c r="I194" s="3">
        <v>66.165638599999994</v>
      </c>
      <c r="J194" s="3">
        <v>66.2534268</v>
      </c>
      <c r="K194" s="3">
        <v>66.341215000000005</v>
      </c>
      <c r="L194" s="3">
        <v>66.429003100000003</v>
      </c>
      <c r="M194" s="3">
        <v>66.516791299999994</v>
      </c>
      <c r="N194" s="3">
        <v>66.604579400000006</v>
      </c>
      <c r="O194" s="3">
        <v>66.692367599999997</v>
      </c>
      <c r="P194" s="3">
        <v>66.779408099999998</v>
      </c>
      <c r="Q194" s="3">
        <v>66.866448599999998</v>
      </c>
      <c r="R194" s="3">
        <v>66.953489099999999</v>
      </c>
      <c r="S194" s="3">
        <v>67.040529599999999</v>
      </c>
      <c r="T194" s="3">
        <v>67.1275701</v>
      </c>
      <c r="U194" s="3">
        <v>67.2146106</v>
      </c>
      <c r="V194" s="3">
        <v>67.301651100000001</v>
      </c>
      <c r="W194" s="3">
        <v>67.388691600000001</v>
      </c>
      <c r="X194" s="3">
        <v>67.475732100000002</v>
      </c>
      <c r="Y194" s="3">
        <v>67.562772600000002</v>
      </c>
      <c r="Z194" s="3">
        <v>67.649595000000005</v>
      </c>
      <c r="AA194" s="3">
        <v>67.736417399999993</v>
      </c>
      <c r="AB194" s="3">
        <v>67.823239900000004</v>
      </c>
      <c r="AC194" s="3">
        <v>67.910062300000007</v>
      </c>
      <c r="AD194" s="3">
        <v>67.996884699999995</v>
      </c>
      <c r="AE194" s="3">
        <v>68.083956400000005</v>
      </c>
      <c r="AF194" s="3">
        <v>68.170872299999999</v>
      </c>
      <c r="AG194" s="3">
        <v>68.257943900000001</v>
      </c>
      <c r="AH194" s="3">
        <v>68.366157700000002</v>
      </c>
      <c r="AI194" s="3">
        <v>68.453100699999993</v>
      </c>
      <c r="AJ194" s="4">
        <f t="shared" si="5"/>
        <v>3.0035302000000001</v>
      </c>
    </row>
    <row r="195" spans="1:36" ht="14.4" x14ac:dyDescent="0.3">
      <c r="A195" s="1" t="s">
        <v>393</v>
      </c>
      <c r="B195" s="1" t="s">
        <v>394</v>
      </c>
      <c r="C195" s="1" t="s">
        <v>7</v>
      </c>
      <c r="D195" s="1" t="s">
        <v>8</v>
      </c>
      <c r="E195" s="3">
        <v>31.413027599999999</v>
      </c>
      <c r="F195" s="3">
        <v>31.433381900000001</v>
      </c>
      <c r="G195" s="3">
        <v>31.4527371</v>
      </c>
      <c r="H195" s="3">
        <v>31.4727207</v>
      </c>
      <c r="I195" s="3">
        <v>31.492630699999999</v>
      </c>
      <c r="J195" s="3">
        <v>31.512540600000001</v>
      </c>
      <c r="K195" s="3">
        <v>31.532481799999999</v>
      </c>
      <c r="L195" s="3">
        <v>31.5524834</v>
      </c>
      <c r="M195" s="3">
        <v>31.572485100000002</v>
      </c>
      <c r="N195" s="3">
        <v>31.592426499999998</v>
      </c>
      <c r="O195" s="3">
        <v>31.610108700000001</v>
      </c>
      <c r="P195" s="3">
        <v>31.634314100000001</v>
      </c>
      <c r="Q195" s="3">
        <v>31.660615100000001</v>
      </c>
      <c r="R195" s="3">
        <v>31.684113400000001</v>
      </c>
      <c r="S195" s="3">
        <v>31.708400000000001</v>
      </c>
      <c r="T195" s="3">
        <v>31.7325078</v>
      </c>
      <c r="U195" s="3">
        <v>31.757045399999999</v>
      </c>
      <c r="V195" s="3">
        <v>31.780941200000001</v>
      </c>
      <c r="W195" s="3">
        <v>31.8200927</v>
      </c>
      <c r="X195" s="3">
        <v>31.8432563</v>
      </c>
      <c r="Y195" s="3">
        <v>31.865680900000001</v>
      </c>
      <c r="Z195" s="3">
        <v>31.905247200000002</v>
      </c>
      <c r="AA195" s="3">
        <v>31.950402700000001</v>
      </c>
      <c r="AB195" s="3">
        <v>31.992426300000002</v>
      </c>
      <c r="AC195" s="3">
        <v>32.031091199999999</v>
      </c>
      <c r="AD195" s="3">
        <v>32.071350000000002</v>
      </c>
      <c r="AE195" s="3">
        <v>32.0997913</v>
      </c>
      <c r="AF195" s="3">
        <v>32.095437599999997</v>
      </c>
      <c r="AG195" s="3">
        <v>32.096398499999999</v>
      </c>
      <c r="AH195" s="3">
        <v>32.101714999999999</v>
      </c>
      <c r="AI195" s="3">
        <v>32.107500799999997</v>
      </c>
      <c r="AJ195" s="4">
        <f t="shared" si="5"/>
        <v>0.69447319999999735</v>
      </c>
    </row>
    <row r="196" spans="1:36" ht="14.4" x14ac:dyDescent="0.3">
      <c r="A196" s="1" t="s">
        <v>395</v>
      </c>
      <c r="B196" s="1" t="s">
        <v>396</v>
      </c>
      <c r="C196" s="1" t="s">
        <v>7</v>
      </c>
      <c r="D196" s="1" t="s">
        <v>8</v>
      </c>
      <c r="E196" s="3">
        <v>39.4617486</v>
      </c>
      <c r="F196" s="3">
        <v>39.574316899999999</v>
      </c>
      <c r="G196" s="3">
        <v>39.686885199999999</v>
      </c>
      <c r="H196" s="3">
        <v>39.7994536</v>
      </c>
      <c r="I196" s="3">
        <v>39.912021899999999</v>
      </c>
      <c r="J196" s="3">
        <v>40.024590199999999</v>
      </c>
      <c r="K196" s="3">
        <v>40.137158499999998</v>
      </c>
      <c r="L196" s="3">
        <v>40.249726799999998</v>
      </c>
      <c r="M196" s="3">
        <v>40.362295099999997</v>
      </c>
      <c r="N196" s="3">
        <v>40.474863399999997</v>
      </c>
      <c r="O196" s="3">
        <v>40.587431700000003</v>
      </c>
      <c r="P196" s="3">
        <v>40.612295099999997</v>
      </c>
      <c r="Q196" s="3">
        <v>40.637158499999998</v>
      </c>
      <c r="R196" s="3">
        <v>40.662021899999999</v>
      </c>
      <c r="S196" s="3">
        <v>40.686885199999999</v>
      </c>
      <c r="T196" s="3">
        <v>40.7117486</v>
      </c>
      <c r="U196" s="3">
        <v>40.736612000000001</v>
      </c>
      <c r="V196" s="3">
        <v>40.761475400000002</v>
      </c>
      <c r="W196" s="3">
        <v>40.786338800000003</v>
      </c>
      <c r="X196" s="3">
        <v>40.811202199999997</v>
      </c>
      <c r="Y196" s="3">
        <v>40.836065599999998</v>
      </c>
      <c r="Z196" s="3">
        <v>40.836065599999998</v>
      </c>
      <c r="AA196" s="3">
        <v>40.836065599999998</v>
      </c>
      <c r="AB196" s="3">
        <v>40.836065599999998</v>
      </c>
      <c r="AC196" s="3">
        <v>40.836065599999998</v>
      </c>
      <c r="AD196" s="3">
        <v>40.836065599999998</v>
      </c>
      <c r="AE196" s="3">
        <v>40.836065599999998</v>
      </c>
      <c r="AF196" s="3">
        <v>40.836065599999998</v>
      </c>
      <c r="AG196" s="3">
        <v>42.4602273</v>
      </c>
      <c r="AH196" s="3">
        <v>42.4602273</v>
      </c>
      <c r="AI196" s="3">
        <v>42.4602273</v>
      </c>
      <c r="AJ196" s="4">
        <f t="shared" si="5"/>
        <v>2.9984786999999997</v>
      </c>
    </row>
    <row r="197" spans="1:36" ht="14.4" x14ac:dyDescent="0.3">
      <c r="A197" s="1" t="s">
        <v>397</v>
      </c>
      <c r="B197" s="1" t="s">
        <v>398</v>
      </c>
      <c r="C197" s="1" t="s">
        <v>7</v>
      </c>
      <c r="D197" s="1" t="s">
        <v>8</v>
      </c>
      <c r="E197" s="3">
        <v>27.7785045</v>
      </c>
      <c r="F197" s="3">
        <v>27.763008800000001</v>
      </c>
      <c r="G197" s="3">
        <v>27.7608298</v>
      </c>
      <c r="H197" s="3">
        <v>27.7586507</v>
      </c>
      <c r="I197" s="3">
        <v>27.750424800000001</v>
      </c>
      <c r="J197" s="3">
        <v>27.750664499999999</v>
      </c>
      <c r="K197" s="3">
        <v>27.744858799999999</v>
      </c>
      <c r="L197" s="3">
        <v>27.741471700000002</v>
      </c>
      <c r="M197" s="3">
        <v>27.7320441</v>
      </c>
      <c r="N197" s="3">
        <v>27.728658500000002</v>
      </c>
      <c r="O197" s="3">
        <v>27.7132036</v>
      </c>
      <c r="P197" s="3">
        <v>27.778068000000001</v>
      </c>
      <c r="Q197" s="3">
        <v>27.823552400000001</v>
      </c>
      <c r="R197" s="3">
        <v>27.878669299999999</v>
      </c>
      <c r="S197" s="3">
        <v>27.937391300000002</v>
      </c>
      <c r="T197" s="3">
        <v>28.0046091</v>
      </c>
      <c r="U197" s="3">
        <v>28.069397299999999</v>
      </c>
      <c r="V197" s="3">
        <v>28.145199900000001</v>
      </c>
      <c r="W197" s="3">
        <v>28.208786400000001</v>
      </c>
      <c r="X197" s="3">
        <v>28.253933799999999</v>
      </c>
      <c r="Y197" s="3">
        <v>28.319930400000001</v>
      </c>
      <c r="Z197" s="3">
        <v>28.6405353</v>
      </c>
      <c r="AA197" s="3">
        <v>28.9948005</v>
      </c>
      <c r="AB197" s="3">
        <v>29.329113599999999</v>
      </c>
      <c r="AC197" s="3">
        <v>29.658240599999999</v>
      </c>
      <c r="AD197" s="3">
        <v>29.9937413</v>
      </c>
      <c r="AE197" s="3">
        <v>30.115829300000001</v>
      </c>
      <c r="AF197" s="3">
        <v>30.115829300000001</v>
      </c>
      <c r="AG197" s="3">
        <v>30.115829300000001</v>
      </c>
      <c r="AH197" s="3">
        <v>30.115829300000001</v>
      </c>
      <c r="AI197" s="3">
        <v>30.115829300000001</v>
      </c>
      <c r="AJ197" s="4">
        <f t="shared" si="5"/>
        <v>2.3373248000000011</v>
      </c>
    </row>
    <row r="198" spans="1:36" ht="14.4" x14ac:dyDescent="0.3">
      <c r="A198" s="1" t="s">
        <v>399</v>
      </c>
      <c r="B198" s="1" t="s">
        <v>400</v>
      </c>
      <c r="C198" s="1" t="s">
        <v>7</v>
      </c>
      <c r="D198" s="1" t="s">
        <v>8</v>
      </c>
      <c r="E198" s="3">
        <v>49.356465399999998</v>
      </c>
      <c r="F198" s="3">
        <v>49.356465399999998</v>
      </c>
      <c r="G198" s="3">
        <v>49.360346999999997</v>
      </c>
      <c r="H198" s="3">
        <v>49.373647800000001</v>
      </c>
      <c r="I198" s="3">
        <v>49.390210699999997</v>
      </c>
      <c r="J198" s="3">
        <v>49.401051899999999</v>
      </c>
      <c r="K198" s="3">
        <v>49.404263999999998</v>
      </c>
      <c r="L198" s="3">
        <v>49.404127899999999</v>
      </c>
      <c r="M198" s="3">
        <v>49.398080700000001</v>
      </c>
      <c r="N198" s="3">
        <v>49.378292500000001</v>
      </c>
      <c r="O198" s="3">
        <v>49.401849900000002</v>
      </c>
      <c r="P198" s="3">
        <v>49.440381899999998</v>
      </c>
      <c r="Q198" s="3">
        <v>49.474689499999997</v>
      </c>
      <c r="R198" s="3">
        <v>49.510385200000002</v>
      </c>
      <c r="S198" s="3">
        <v>49.545445600000001</v>
      </c>
      <c r="T198" s="3">
        <v>49.580777300000001</v>
      </c>
      <c r="U198" s="3">
        <v>49.627650699999997</v>
      </c>
      <c r="V198" s="3">
        <v>49.663474299999997</v>
      </c>
      <c r="W198" s="3">
        <v>49.701938200000001</v>
      </c>
      <c r="X198" s="3">
        <v>49.737763700000002</v>
      </c>
      <c r="Y198" s="3">
        <v>49.773589200000004</v>
      </c>
      <c r="Z198" s="3">
        <v>49.771084000000002</v>
      </c>
      <c r="AA198" s="3">
        <v>49.768578699999999</v>
      </c>
      <c r="AB198" s="3">
        <v>49.766073499999997</v>
      </c>
      <c r="AC198" s="3">
        <v>49.763568300000003</v>
      </c>
      <c r="AD198" s="3">
        <v>49.761063</v>
      </c>
      <c r="AE198" s="3">
        <v>49.772699500000002</v>
      </c>
      <c r="AF198" s="3">
        <v>49.784336099999997</v>
      </c>
      <c r="AG198" s="3">
        <v>49.784336099999997</v>
      </c>
      <c r="AH198" s="3">
        <v>49.784336099999997</v>
      </c>
      <c r="AI198" s="3">
        <v>49.784336099999997</v>
      </c>
      <c r="AJ198" s="4">
        <f t="shared" si="5"/>
        <v>0.42787069999999972</v>
      </c>
    </row>
    <row r="199" spans="1:36" ht="14.4" x14ac:dyDescent="0.3">
      <c r="A199" s="1" t="s">
        <v>401</v>
      </c>
      <c r="B199" s="1" t="s">
        <v>402</v>
      </c>
      <c r="C199" s="1" t="s">
        <v>7</v>
      </c>
      <c r="D199" s="1" t="s">
        <v>8</v>
      </c>
      <c r="E199" s="3">
        <v>12.849614900000001</v>
      </c>
      <c r="F199" s="3">
        <v>12.728009699999999</v>
      </c>
      <c r="G199" s="3">
        <v>12.6064045</v>
      </c>
      <c r="H199" s="3">
        <v>12.4847994</v>
      </c>
      <c r="I199" s="3">
        <v>12.363194200000001</v>
      </c>
      <c r="J199" s="3">
        <v>12.241588999999999</v>
      </c>
      <c r="K199" s="3">
        <v>12.1199838</v>
      </c>
      <c r="L199" s="3">
        <v>11.998378600000001</v>
      </c>
      <c r="M199" s="3">
        <v>11.876773399999999</v>
      </c>
      <c r="N199" s="3">
        <v>11.7551682</v>
      </c>
      <c r="O199" s="3">
        <v>11.633563000000001</v>
      </c>
      <c r="P199" s="3">
        <v>11.5443859</v>
      </c>
      <c r="Q199" s="3">
        <v>11.455208799999999</v>
      </c>
      <c r="R199" s="3">
        <v>11.366031599999999</v>
      </c>
      <c r="S199" s="3">
        <v>11.276854500000001</v>
      </c>
      <c r="T199" s="3">
        <v>11.187677300000001</v>
      </c>
      <c r="U199" s="3">
        <v>11.0985002</v>
      </c>
      <c r="V199" s="3">
        <v>11.0093231</v>
      </c>
      <c r="W199" s="3">
        <v>10.9201459</v>
      </c>
      <c r="X199" s="3">
        <v>10.830968800000001</v>
      </c>
      <c r="Y199" s="3">
        <v>10.741791600000001</v>
      </c>
      <c r="Z199" s="3">
        <v>10.7823267</v>
      </c>
      <c r="AA199" s="3">
        <v>10.8228618</v>
      </c>
      <c r="AB199" s="3">
        <v>10.8633968</v>
      </c>
      <c r="AC199" s="3">
        <v>10.9039319</v>
      </c>
      <c r="AD199" s="3">
        <v>10.944467</v>
      </c>
      <c r="AE199" s="3">
        <v>11.025537099999999</v>
      </c>
      <c r="AF199" s="3">
        <v>11.066072200000001</v>
      </c>
      <c r="AG199" s="3">
        <v>11.106607199999999</v>
      </c>
      <c r="AH199" s="3">
        <v>11.147142300000001</v>
      </c>
      <c r="AI199" s="3">
        <v>11.187677300000001</v>
      </c>
      <c r="AJ199" s="4">
        <f t="shared" si="5"/>
        <v>-1.6619375999999999</v>
      </c>
    </row>
    <row r="200" spans="1:36" ht="14.4" x14ac:dyDescent="0.3">
      <c r="A200" s="1" t="s">
        <v>403</v>
      </c>
      <c r="B200" s="1" t="s">
        <v>404</v>
      </c>
      <c r="C200" s="1" t="s">
        <v>7</v>
      </c>
      <c r="D200" s="1" t="s">
        <v>8</v>
      </c>
      <c r="E200" s="3">
        <v>16.264455300000002</v>
      </c>
      <c r="F200" s="3">
        <v>17.3444532</v>
      </c>
      <c r="G200" s="3">
        <v>17.4114346</v>
      </c>
      <c r="H200" s="3">
        <v>17.478415999999999</v>
      </c>
      <c r="I200" s="3">
        <v>17.570846499999998</v>
      </c>
      <c r="J200" s="3">
        <v>17.6379251</v>
      </c>
      <c r="K200" s="3">
        <v>17.705003600000001</v>
      </c>
      <c r="L200" s="3">
        <v>17.7720822</v>
      </c>
      <c r="M200" s="3">
        <v>17.839160700000001</v>
      </c>
      <c r="N200" s="3">
        <v>17.906239200000002</v>
      </c>
      <c r="O200" s="3">
        <v>18.011804900000001</v>
      </c>
      <c r="P200" s="3">
        <v>18.007054400000001</v>
      </c>
      <c r="Q200" s="3">
        <v>18.042108899999999</v>
      </c>
      <c r="R200" s="3">
        <v>18.077163500000001</v>
      </c>
      <c r="S200" s="3">
        <v>18.118606400000001</v>
      </c>
      <c r="T200" s="3">
        <v>18.153673300000001</v>
      </c>
      <c r="U200" s="3">
        <v>18.188740200000002</v>
      </c>
      <c r="V200" s="3">
        <v>18.223807099999998</v>
      </c>
      <c r="W200" s="3">
        <v>18.258873999999999</v>
      </c>
      <c r="X200" s="3">
        <v>18.293940899999999</v>
      </c>
      <c r="Y200" s="3">
        <v>18.329007799999999</v>
      </c>
      <c r="Z200" s="3">
        <v>18.3793483</v>
      </c>
      <c r="AA200" s="3">
        <v>18.429688800000001</v>
      </c>
      <c r="AB200" s="3">
        <v>18.480029300000002</v>
      </c>
      <c r="AC200" s="3">
        <v>18.530369799999999</v>
      </c>
      <c r="AD200" s="3">
        <v>18.583892299999999</v>
      </c>
      <c r="AE200" s="3">
        <v>18.6258892</v>
      </c>
      <c r="AF200" s="3">
        <v>18.677641699999999</v>
      </c>
      <c r="AG200" s="3">
        <v>18.724698400000001</v>
      </c>
      <c r="AH200" s="3">
        <v>18.771626000000001</v>
      </c>
      <c r="AI200" s="3">
        <v>18.818553600000001</v>
      </c>
      <c r="AJ200" s="4">
        <f t="shared" si="5"/>
        <v>2.5540982999999997</v>
      </c>
    </row>
    <row r="201" spans="1:36" ht="14.4" x14ac:dyDescent="0.3">
      <c r="A201" s="1" t="s">
        <v>405</v>
      </c>
      <c r="B201" s="1" t="s">
        <v>406</v>
      </c>
      <c r="C201" s="1" t="s">
        <v>7</v>
      </c>
      <c r="D201" s="1" t="s">
        <v>8</v>
      </c>
      <c r="E201" s="3">
        <v>0.45448412999999999</v>
      </c>
      <c r="F201" s="3">
        <v>0.45448412999999999</v>
      </c>
      <c r="G201" s="3">
        <v>0.45448412999999999</v>
      </c>
      <c r="H201" s="3">
        <v>0.45448412999999999</v>
      </c>
      <c r="I201" s="3">
        <v>0.45448412999999999</v>
      </c>
      <c r="J201" s="3">
        <v>0.45448412999999999</v>
      </c>
      <c r="K201" s="3">
        <v>0.45448412999999999</v>
      </c>
      <c r="L201" s="3">
        <v>0.45448412999999999</v>
      </c>
      <c r="M201" s="3">
        <v>0.45448412999999999</v>
      </c>
      <c r="N201" s="3">
        <v>0.45448412999999999</v>
      </c>
      <c r="O201" s="3">
        <v>0.45448412999999999</v>
      </c>
      <c r="P201" s="3">
        <v>0.45448412999999999</v>
      </c>
      <c r="Q201" s="3">
        <v>0.45448412999999999</v>
      </c>
      <c r="R201" s="3">
        <v>0.45448412999999999</v>
      </c>
      <c r="S201" s="3">
        <v>0.45448412999999999</v>
      </c>
      <c r="T201" s="3">
        <v>0.45448412999999999</v>
      </c>
      <c r="U201" s="3">
        <v>0.45448412999999999</v>
      </c>
      <c r="V201" s="3">
        <v>0.45448412999999999</v>
      </c>
      <c r="W201" s="3">
        <v>0.45448412999999999</v>
      </c>
      <c r="X201" s="3">
        <v>0.45448412999999999</v>
      </c>
      <c r="Y201" s="3">
        <v>0.45448412999999999</v>
      </c>
      <c r="Z201" s="3">
        <v>0.45448412999999999</v>
      </c>
      <c r="AA201" s="3">
        <v>0.45448412999999999</v>
      </c>
      <c r="AB201" s="3">
        <v>0.45448412999999999</v>
      </c>
      <c r="AC201" s="3">
        <v>0.45448412999999999</v>
      </c>
      <c r="AD201" s="3">
        <v>0.45448412999999999</v>
      </c>
      <c r="AE201" s="3">
        <v>0.45448412999999999</v>
      </c>
      <c r="AF201" s="3">
        <v>0.45448412999999999</v>
      </c>
      <c r="AG201" s="3">
        <v>0.45448412999999999</v>
      </c>
      <c r="AH201" s="3">
        <v>0.45448412999999999</v>
      </c>
      <c r="AI201" s="3">
        <v>0.45448412999999999</v>
      </c>
      <c r="AJ201" s="4">
        <f t="shared" si="5"/>
        <v>0</v>
      </c>
    </row>
    <row r="202" spans="1:36" ht="14.4" x14ac:dyDescent="0.3">
      <c r="A202" s="1" t="s">
        <v>407</v>
      </c>
      <c r="B202" s="1" t="s">
        <v>408</v>
      </c>
      <c r="C202" s="1" t="s">
        <v>7</v>
      </c>
      <c r="D202" s="1" t="s">
        <v>8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3">
        <v>8.7960711800000002</v>
      </c>
      <c r="P202" s="5"/>
      <c r="Q202" s="5"/>
      <c r="R202" s="5"/>
      <c r="S202" s="5"/>
      <c r="T202" s="5"/>
      <c r="U202" s="5"/>
      <c r="V202" s="5"/>
      <c r="W202" s="5"/>
      <c r="X202" s="5"/>
      <c r="Y202" s="3">
        <v>8.0928299199999998</v>
      </c>
      <c r="Z202" s="3">
        <v>10.764135700000001</v>
      </c>
      <c r="AA202" s="3">
        <v>10.6698868</v>
      </c>
      <c r="AB202" s="3">
        <v>10.5756768</v>
      </c>
      <c r="AC202" s="3">
        <v>10.481620100000001</v>
      </c>
      <c r="AD202" s="3">
        <v>10.3873888</v>
      </c>
      <c r="AE202" s="3">
        <v>10.3005494</v>
      </c>
      <c r="AF202" s="3">
        <v>10.207458600000001</v>
      </c>
      <c r="AG202" s="3">
        <v>10.1143895</v>
      </c>
      <c r="AH202" s="3">
        <v>10.021291400000001</v>
      </c>
      <c r="AI202" s="3">
        <v>9.9281934199999995</v>
      </c>
      <c r="AJ202" s="4">
        <f>AI202-Y202</f>
        <v>1.8353634999999997</v>
      </c>
    </row>
    <row r="203" spans="1:36" ht="14.4" x14ac:dyDescent="0.3">
      <c r="A203" s="1" t="s">
        <v>409</v>
      </c>
      <c r="B203" s="1" t="s">
        <v>410</v>
      </c>
      <c r="C203" s="1" t="s">
        <v>7</v>
      </c>
      <c r="D203" s="1" t="s">
        <v>8</v>
      </c>
      <c r="E203" s="3">
        <v>48.320573400000001</v>
      </c>
      <c r="F203" s="3">
        <v>48.086843600000002</v>
      </c>
      <c r="G203" s="3">
        <v>47.853113800000003</v>
      </c>
      <c r="H203" s="3">
        <v>47.619383999999997</v>
      </c>
      <c r="I203" s="3">
        <v>47.385654199999998</v>
      </c>
      <c r="J203" s="3">
        <v>47.151924399999999</v>
      </c>
      <c r="K203" s="3">
        <v>46.9181946</v>
      </c>
      <c r="L203" s="3">
        <v>46.684464800000001</v>
      </c>
      <c r="M203" s="3">
        <v>46.450735000000002</v>
      </c>
      <c r="N203" s="3">
        <v>46.217005100000002</v>
      </c>
      <c r="O203" s="3">
        <v>45.983275300000003</v>
      </c>
      <c r="P203" s="3">
        <v>45.783306500000002</v>
      </c>
      <c r="Q203" s="3">
        <v>45.583337700000001</v>
      </c>
      <c r="R203" s="3">
        <v>45.3833688</v>
      </c>
      <c r="S203" s="3">
        <v>45.183399999999999</v>
      </c>
      <c r="T203" s="3">
        <v>44.983431199999998</v>
      </c>
      <c r="U203" s="3">
        <v>44.783462299999997</v>
      </c>
      <c r="V203" s="3">
        <v>44.583493500000003</v>
      </c>
      <c r="W203" s="3">
        <v>44.383524600000001</v>
      </c>
      <c r="X203" s="3">
        <v>44.183555800000001</v>
      </c>
      <c r="Y203" s="3">
        <v>43.983587</v>
      </c>
      <c r="Z203" s="3">
        <v>43.775827100000001</v>
      </c>
      <c r="AA203" s="3">
        <v>43.568067300000003</v>
      </c>
      <c r="AB203" s="3">
        <v>43.360307499999998</v>
      </c>
      <c r="AC203" s="3">
        <v>43.1525477</v>
      </c>
      <c r="AD203" s="3">
        <v>42.9447878</v>
      </c>
      <c r="AE203" s="3">
        <v>42.737028000000002</v>
      </c>
      <c r="AF203" s="3">
        <v>42.529268199999997</v>
      </c>
      <c r="AG203" s="3">
        <v>42.321508299999998</v>
      </c>
      <c r="AH203" s="3">
        <v>42.1137485</v>
      </c>
      <c r="AI203" s="3">
        <v>41.905988700000002</v>
      </c>
      <c r="AJ203" s="4">
        <f t="shared" ref="AJ203:AJ211" si="6">AI203-E203</f>
        <v>-6.4145846999999989</v>
      </c>
    </row>
    <row r="204" spans="1:36" ht="14.4" x14ac:dyDescent="0.3">
      <c r="A204" s="1" t="s">
        <v>411</v>
      </c>
      <c r="B204" s="1" t="s">
        <v>412</v>
      </c>
      <c r="C204" s="1" t="s">
        <v>7</v>
      </c>
      <c r="D204" s="1" t="s">
        <v>8</v>
      </c>
      <c r="E204" s="3">
        <v>22.129701499999999</v>
      </c>
      <c r="F204" s="3">
        <v>22.456119399999999</v>
      </c>
      <c r="G204" s="3">
        <v>22.782388099999999</v>
      </c>
      <c r="H204" s="3">
        <v>23.108806000000001</v>
      </c>
      <c r="I204" s="3">
        <v>23.4350746</v>
      </c>
      <c r="J204" s="3">
        <v>23.761492499999999</v>
      </c>
      <c r="K204" s="3">
        <v>24.087910399999998</v>
      </c>
      <c r="L204" s="3">
        <v>24.414179099999998</v>
      </c>
      <c r="M204" s="3">
        <v>24.740597000000001</v>
      </c>
      <c r="N204" s="3">
        <v>25.066865700000001</v>
      </c>
      <c r="O204" s="3">
        <v>25.393223899999999</v>
      </c>
      <c r="P204" s="3">
        <v>25.501641800000002</v>
      </c>
      <c r="Q204" s="3">
        <v>25.420444400000001</v>
      </c>
      <c r="R204" s="3">
        <v>25.0822416</v>
      </c>
      <c r="S204" s="3">
        <v>25.114949200000002</v>
      </c>
      <c r="T204" s="3">
        <v>25.220464400000001</v>
      </c>
      <c r="U204" s="3">
        <v>25.143515900000001</v>
      </c>
      <c r="V204" s="3">
        <v>25.211942400000002</v>
      </c>
      <c r="W204" s="3">
        <v>25.1357143</v>
      </c>
      <c r="X204" s="3">
        <v>25.239571399999999</v>
      </c>
      <c r="Y204" s="3">
        <v>25.2711966</v>
      </c>
      <c r="Z204" s="3">
        <v>24.8389205</v>
      </c>
      <c r="AA204" s="3">
        <v>24.409065200000001</v>
      </c>
      <c r="AB204" s="3">
        <v>24.0155587</v>
      </c>
      <c r="AC204" s="3">
        <v>23.589844899999999</v>
      </c>
      <c r="AD204" s="3">
        <v>23.231875899999999</v>
      </c>
      <c r="AE204" s="3">
        <v>22.969675599999999</v>
      </c>
      <c r="AF204" s="3">
        <v>22.722143899999999</v>
      </c>
      <c r="AG204" s="3">
        <v>22.468265200000001</v>
      </c>
      <c r="AH204" s="3">
        <v>22.2143865</v>
      </c>
      <c r="AI204" s="3">
        <v>21.960507799999998</v>
      </c>
      <c r="AJ204" s="4">
        <f t="shared" si="6"/>
        <v>-0.169193700000001</v>
      </c>
    </row>
    <row r="205" spans="1:36" ht="14.4" x14ac:dyDescent="0.3">
      <c r="A205" s="1" t="s">
        <v>413</v>
      </c>
      <c r="B205" s="1" t="s">
        <v>414</v>
      </c>
      <c r="C205" s="1" t="s">
        <v>7</v>
      </c>
      <c r="D205" s="1" t="s">
        <v>8</v>
      </c>
      <c r="E205" s="3">
        <v>90.922115000000005</v>
      </c>
      <c r="F205" s="3">
        <v>90.895998599999999</v>
      </c>
      <c r="G205" s="3">
        <v>90.869882099999998</v>
      </c>
      <c r="H205" s="3">
        <v>90.843765599999998</v>
      </c>
      <c r="I205" s="3">
        <v>90.817649200000005</v>
      </c>
      <c r="J205" s="3">
        <v>90.791532700000005</v>
      </c>
      <c r="K205" s="3">
        <v>90.765416200000004</v>
      </c>
      <c r="L205" s="3">
        <v>90.739299700000004</v>
      </c>
      <c r="M205" s="3">
        <v>90.713183299999997</v>
      </c>
      <c r="N205" s="3">
        <v>90.687066799999997</v>
      </c>
      <c r="O205" s="3">
        <v>90.660950299999996</v>
      </c>
      <c r="P205" s="3">
        <v>90.634798099999998</v>
      </c>
      <c r="Q205" s="3">
        <v>90.608645899999999</v>
      </c>
      <c r="R205" s="3">
        <v>90.582493700000001</v>
      </c>
      <c r="S205" s="3">
        <v>90.556341599999996</v>
      </c>
      <c r="T205" s="3">
        <v>90.530189399999998</v>
      </c>
      <c r="U205" s="3">
        <v>90.504037199999999</v>
      </c>
      <c r="V205" s="3">
        <v>90.477885000000001</v>
      </c>
      <c r="W205" s="3">
        <v>90.451732800000002</v>
      </c>
      <c r="X205" s="3">
        <v>90.425580600000004</v>
      </c>
      <c r="Y205" s="3">
        <v>90.399428400000005</v>
      </c>
      <c r="Z205" s="3">
        <v>90.373276200000006</v>
      </c>
      <c r="AA205" s="3">
        <v>90.347123999999994</v>
      </c>
      <c r="AB205" s="3">
        <v>90.320971799999995</v>
      </c>
      <c r="AC205" s="3">
        <v>90.294819599999997</v>
      </c>
      <c r="AD205" s="3">
        <v>90.268667399999998</v>
      </c>
      <c r="AE205" s="3">
        <v>90.242586599999996</v>
      </c>
      <c r="AF205" s="3">
        <v>90.216505900000001</v>
      </c>
      <c r="AG205" s="3">
        <v>90.190425200000007</v>
      </c>
      <c r="AH205" s="3">
        <v>90.164344400000004</v>
      </c>
      <c r="AI205" s="3">
        <v>90.138263699999996</v>
      </c>
      <c r="AJ205" s="4">
        <f t="shared" si="6"/>
        <v>-0.78385130000000913</v>
      </c>
    </row>
    <row r="206" spans="1:36" ht="14.4" x14ac:dyDescent="0.3">
      <c r="A206" s="1" t="s">
        <v>415</v>
      </c>
      <c r="B206" s="1" t="s">
        <v>416</v>
      </c>
      <c r="C206" s="1" t="s">
        <v>7</v>
      </c>
      <c r="D206" s="1" t="s">
        <v>8</v>
      </c>
      <c r="E206" s="3">
        <v>43.318093699999999</v>
      </c>
      <c r="F206" s="3">
        <v>43.044790800000001</v>
      </c>
      <c r="G206" s="3">
        <v>42.771487899999997</v>
      </c>
      <c r="H206" s="3">
        <v>42.498185100000001</v>
      </c>
      <c r="I206" s="3">
        <v>42.224882200000003</v>
      </c>
      <c r="J206" s="3">
        <v>41.9515794</v>
      </c>
      <c r="K206" s="3">
        <v>41.678276500000003</v>
      </c>
      <c r="L206" s="3">
        <v>41.404973699999999</v>
      </c>
      <c r="M206" s="3">
        <v>41.131670800000002</v>
      </c>
      <c r="N206" s="3">
        <v>40.858367999999999</v>
      </c>
      <c r="O206" s="3">
        <v>40.585065100000001</v>
      </c>
      <c r="P206" s="3">
        <v>40.311762299999998</v>
      </c>
      <c r="Q206" s="3">
        <v>40.038459400000001</v>
      </c>
      <c r="R206" s="3">
        <v>39.765156599999997</v>
      </c>
      <c r="S206" s="3">
        <v>39.4918537</v>
      </c>
      <c r="T206" s="3">
        <v>39.218550800000003</v>
      </c>
      <c r="U206" s="3">
        <v>38.945247999999999</v>
      </c>
      <c r="V206" s="3">
        <v>38.671945100000002</v>
      </c>
      <c r="W206" s="3">
        <v>38.398642299999999</v>
      </c>
      <c r="X206" s="3">
        <v>38.125339400000001</v>
      </c>
      <c r="Y206" s="3">
        <v>37.852036599999998</v>
      </c>
      <c r="Z206" s="3">
        <v>37.5787476</v>
      </c>
      <c r="AA206" s="3">
        <v>37.305458600000001</v>
      </c>
      <c r="AB206" s="3">
        <v>37.032169600000003</v>
      </c>
      <c r="AC206" s="3">
        <v>36.758880599999998</v>
      </c>
      <c r="AD206" s="3">
        <v>36.485591599999999</v>
      </c>
      <c r="AE206" s="3">
        <v>36.2122472</v>
      </c>
      <c r="AF206" s="3">
        <v>35.9389027</v>
      </c>
      <c r="AG206" s="3">
        <v>35.665558300000001</v>
      </c>
      <c r="AH206" s="3">
        <v>35.392213900000002</v>
      </c>
      <c r="AI206" s="3">
        <v>35.118869500000002</v>
      </c>
      <c r="AJ206" s="4">
        <f t="shared" si="6"/>
        <v>-8.1992241999999962</v>
      </c>
    </row>
    <row r="207" spans="1:36" ht="14.4" x14ac:dyDescent="0.3">
      <c r="A207" s="1" t="s">
        <v>417</v>
      </c>
      <c r="B207" s="1" t="s">
        <v>418</v>
      </c>
      <c r="C207" s="1" t="s">
        <v>7</v>
      </c>
      <c r="D207" s="1" t="s">
        <v>8</v>
      </c>
      <c r="E207" s="3">
        <v>34.694980700000002</v>
      </c>
      <c r="F207" s="3">
        <v>34.4777992</v>
      </c>
      <c r="G207" s="3">
        <v>34.260617799999999</v>
      </c>
      <c r="H207" s="3">
        <v>34.043436300000003</v>
      </c>
      <c r="I207" s="3">
        <v>33.826254800000001</v>
      </c>
      <c r="J207" s="3">
        <v>33.6090734</v>
      </c>
      <c r="K207" s="3">
        <v>33.391891899999997</v>
      </c>
      <c r="L207" s="3">
        <v>33.174710400000002</v>
      </c>
      <c r="M207" s="3">
        <v>32.957529000000001</v>
      </c>
      <c r="N207" s="3">
        <v>32.740347499999999</v>
      </c>
      <c r="O207" s="3">
        <v>32.523166000000003</v>
      </c>
      <c r="P207" s="3">
        <v>32.305984600000002</v>
      </c>
      <c r="Q207" s="3">
        <v>32.0888031</v>
      </c>
      <c r="R207" s="3">
        <v>31.871621600000001</v>
      </c>
      <c r="S207" s="3">
        <v>31.6544402</v>
      </c>
      <c r="T207" s="3">
        <v>31.437258700000001</v>
      </c>
      <c r="U207" s="3">
        <v>31.220077199999999</v>
      </c>
      <c r="V207" s="3">
        <v>31.002895800000001</v>
      </c>
      <c r="W207" s="3">
        <v>30.785714299999999</v>
      </c>
      <c r="X207" s="3">
        <v>30.5685328</v>
      </c>
      <c r="Y207" s="3">
        <v>30.351351399999999</v>
      </c>
      <c r="Z207" s="3">
        <v>30.1341699</v>
      </c>
      <c r="AA207" s="3">
        <v>29.916988400000001</v>
      </c>
      <c r="AB207" s="3">
        <v>29.699806899999999</v>
      </c>
      <c r="AC207" s="3">
        <v>29.482625500000001</v>
      </c>
      <c r="AD207" s="3">
        <v>29.265443999999999</v>
      </c>
      <c r="AE207" s="3">
        <v>29.0482625</v>
      </c>
      <c r="AF207" s="3">
        <v>28.831081099999999</v>
      </c>
      <c r="AG207" s="3">
        <v>28.6138996</v>
      </c>
      <c r="AH207" s="3">
        <v>28.396718100000001</v>
      </c>
      <c r="AI207" s="3">
        <v>28.1795367</v>
      </c>
      <c r="AJ207" s="4">
        <f t="shared" si="6"/>
        <v>-6.5154440000000022</v>
      </c>
    </row>
    <row r="208" spans="1:36" ht="14.4" x14ac:dyDescent="0.3">
      <c r="A208" s="1" t="s">
        <v>419</v>
      </c>
      <c r="B208" s="1" t="s">
        <v>420</v>
      </c>
      <c r="C208" s="1" t="s">
        <v>7</v>
      </c>
      <c r="D208" s="1" t="s">
        <v>8</v>
      </c>
      <c r="E208" s="3">
        <v>16.6666667</v>
      </c>
      <c r="F208" s="3">
        <v>16.6666667</v>
      </c>
      <c r="G208" s="3">
        <v>16.6666667</v>
      </c>
      <c r="H208" s="3">
        <v>16.6666667</v>
      </c>
      <c r="I208" s="3">
        <v>16.6666667</v>
      </c>
      <c r="J208" s="3">
        <v>16.6666667</v>
      </c>
      <c r="K208" s="3">
        <v>16.6666667</v>
      </c>
      <c r="L208" s="3">
        <v>16.6666667</v>
      </c>
      <c r="M208" s="3">
        <v>16.6666667</v>
      </c>
      <c r="N208" s="3">
        <v>16.6666667</v>
      </c>
      <c r="O208" s="3">
        <v>16.6666667</v>
      </c>
      <c r="P208" s="3">
        <v>16.6666667</v>
      </c>
      <c r="Q208" s="3">
        <v>16.6666667</v>
      </c>
      <c r="R208" s="3">
        <v>16.6666667</v>
      </c>
      <c r="S208" s="3">
        <v>16.6666667</v>
      </c>
      <c r="T208" s="3">
        <v>16.6666667</v>
      </c>
      <c r="U208" s="3">
        <v>16.6666667</v>
      </c>
      <c r="V208" s="3">
        <v>16.6666667</v>
      </c>
      <c r="W208" s="3">
        <v>16.6666667</v>
      </c>
      <c r="X208" s="3">
        <v>16.6666667</v>
      </c>
      <c r="Y208" s="3">
        <v>16.6666667</v>
      </c>
      <c r="Z208" s="3">
        <v>16.6666667</v>
      </c>
      <c r="AA208" s="3">
        <v>16.6666667</v>
      </c>
      <c r="AB208" s="3">
        <v>16.6666667</v>
      </c>
      <c r="AC208" s="3">
        <v>16.6666667</v>
      </c>
      <c r="AD208" s="3">
        <v>16.6666667</v>
      </c>
      <c r="AE208" s="3">
        <v>16.6666667</v>
      </c>
      <c r="AF208" s="3">
        <v>16.6666667</v>
      </c>
      <c r="AG208" s="3">
        <v>16.6666667</v>
      </c>
      <c r="AH208" s="3">
        <v>16.6666667</v>
      </c>
      <c r="AI208" s="3">
        <v>16.6666667</v>
      </c>
      <c r="AJ208" s="4">
        <f t="shared" si="6"/>
        <v>0</v>
      </c>
    </row>
    <row r="209" spans="1:36" ht="14.4" x14ac:dyDescent="0.3">
      <c r="A209" s="1" t="s">
        <v>421</v>
      </c>
      <c r="B209" s="1" t="s">
        <v>422</v>
      </c>
      <c r="C209" s="1" t="s">
        <v>7</v>
      </c>
      <c r="D209" s="1" t="s">
        <v>8</v>
      </c>
      <c r="E209" s="3">
        <v>13.2025696</v>
      </c>
      <c r="F209" s="3">
        <v>13.080227600000001</v>
      </c>
      <c r="G209" s="3">
        <v>12.9578857</v>
      </c>
      <c r="H209" s="3">
        <v>12.835543700000001</v>
      </c>
      <c r="I209" s="3">
        <v>12.7132018</v>
      </c>
      <c r="J209" s="3">
        <v>12.5908598</v>
      </c>
      <c r="K209" s="3">
        <v>12.4685179</v>
      </c>
      <c r="L209" s="3">
        <v>12.3461759</v>
      </c>
      <c r="M209" s="3">
        <v>12.223834</v>
      </c>
      <c r="N209" s="3">
        <v>12.101492</v>
      </c>
      <c r="O209" s="3">
        <v>11.9791501</v>
      </c>
      <c r="P209" s="3">
        <v>11.8568081</v>
      </c>
      <c r="Q209" s="3">
        <v>11.7344662</v>
      </c>
      <c r="R209" s="3">
        <v>11.6121242</v>
      </c>
      <c r="S209" s="3">
        <v>11.4897823</v>
      </c>
      <c r="T209" s="3">
        <v>11.3674403</v>
      </c>
      <c r="U209" s="3">
        <v>11.2450984</v>
      </c>
      <c r="V209" s="3">
        <v>11.1227564</v>
      </c>
      <c r="W209" s="3">
        <v>11.0004144</v>
      </c>
      <c r="X209" s="3">
        <v>10.8780725</v>
      </c>
      <c r="Y209" s="3">
        <v>10.7557305</v>
      </c>
      <c r="Z209" s="3">
        <v>10.6333886</v>
      </c>
      <c r="AA209" s="3">
        <v>10.5110466</v>
      </c>
      <c r="AB209" s="3">
        <v>10.3887047</v>
      </c>
      <c r="AC209" s="3">
        <v>10.2663627</v>
      </c>
      <c r="AD209" s="3">
        <v>10.1440208</v>
      </c>
      <c r="AE209" s="3">
        <v>10.0216788</v>
      </c>
      <c r="AF209" s="3">
        <v>9.8993368799999999</v>
      </c>
      <c r="AG209" s="3">
        <v>9.7769949300000007</v>
      </c>
      <c r="AH209" s="3">
        <v>9.6546529799999998</v>
      </c>
      <c r="AI209" s="3">
        <v>9.5323110300000007</v>
      </c>
      <c r="AJ209" s="4">
        <f t="shared" si="6"/>
        <v>-3.6702585699999997</v>
      </c>
    </row>
    <row r="210" spans="1:36" ht="14.4" x14ac:dyDescent="0.3">
      <c r="A210" s="1" t="s">
        <v>423</v>
      </c>
      <c r="B210" s="1" t="s">
        <v>424</v>
      </c>
      <c r="C210" s="1" t="s">
        <v>7</v>
      </c>
      <c r="D210" s="1" t="s">
        <v>8</v>
      </c>
      <c r="E210" s="3">
        <v>28.3100846</v>
      </c>
      <c r="F210" s="3">
        <v>28.3100846</v>
      </c>
      <c r="G210" s="3">
        <v>28.3100846</v>
      </c>
      <c r="H210" s="3">
        <v>28.3100846</v>
      </c>
      <c r="I210" s="3">
        <v>28.3100846</v>
      </c>
      <c r="J210" s="3">
        <v>28.3100846</v>
      </c>
      <c r="K210" s="3">
        <v>28.3100846</v>
      </c>
      <c r="L210" s="3">
        <v>28.3100846</v>
      </c>
      <c r="M210" s="3">
        <v>28.3100846</v>
      </c>
      <c r="N210" s="3">
        <v>28.3100846</v>
      </c>
      <c r="O210" s="3">
        <v>28.127143799999999</v>
      </c>
      <c r="P210" s="3">
        <v>28.3100846</v>
      </c>
      <c r="Q210" s="3">
        <v>28.3100846</v>
      </c>
      <c r="R210" s="3">
        <v>28.3100846</v>
      </c>
      <c r="S210" s="3">
        <v>28.3100846</v>
      </c>
      <c r="T210" s="3">
        <v>28.3100846</v>
      </c>
      <c r="U210" s="3">
        <v>29.862794399999999</v>
      </c>
      <c r="V210" s="3">
        <v>30.1520695</v>
      </c>
      <c r="W210" s="3">
        <v>30.441344600000001</v>
      </c>
      <c r="X210" s="3">
        <v>30.730619699999998</v>
      </c>
      <c r="Y210" s="3">
        <v>31.019894799999999</v>
      </c>
      <c r="Z210" s="3">
        <v>31.0348273</v>
      </c>
      <c r="AA210" s="3">
        <v>31.049759900000002</v>
      </c>
      <c r="AB210" s="3">
        <v>31.064692399999998</v>
      </c>
      <c r="AC210" s="3">
        <v>31.079625</v>
      </c>
      <c r="AD210" s="3">
        <v>31.094557500000001</v>
      </c>
      <c r="AE210" s="3">
        <v>31.101989499999998</v>
      </c>
      <c r="AF210" s="3">
        <v>31.1211983</v>
      </c>
      <c r="AG210" s="3">
        <v>31.122799000000001</v>
      </c>
      <c r="AH210" s="3">
        <v>31.125314400000001</v>
      </c>
      <c r="AI210" s="3">
        <v>31.130230999999998</v>
      </c>
      <c r="AJ210" s="4">
        <f t="shared" si="6"/>
        <v>2.8201463999999987</v>
      </c>
    </row>
    <row r="211" spans="1:36" ht="14.4" x14ac:dyDescent="0.3">
      <c r="A211" s="1" t="s">
        <v>425</v>
      </c>
      <c r="B211" s="1" t="s">
        <v>426</v>
      </c>
      <c r="C211" s="1" t="s">
        <v>7</v>
      </c>
      <c r="D211" s="1" t="s">
        <v>8</v>
      </c>
      <c r="E211" s="3">
        <v>33.025335900000002</v>
      </c>
      <c r="F211" s="3">
        <v>32.8819327</v>
      </c>
      <c r="G211" s="3">
        <v>32.734972300000003</v>
      </c>
      <c r="H211" s="3">
        <v>32.668438999999999</v>
      </c>
      <c r="I211" s="3">
        <v>32.522566900000001</v>
      </c>
      <c r="J211" s="3">
        <v>32.376694700000002</v>
      </c>
      <c r="K211" s="3">
        <v>32.230822600000003</v>
      </c>
      <c r="L211" s="3">
        <v>32.084950399999997</v>
      </c>
      <c r="M211" s="3">
        <v>31.939078299999998</v>
      </c>
      <c r="N211" s="3">
        <v>31.7932062</v>
      </c>
      <c r="O211" s="3">
        <v>29.257089700000002</v>
      </c>
      <c r="P211" s="3">
        <v>31.4928253</v>
      </c>
      <c r="Q211" s="3">
        <v>31.338316599999999</v>
      </c>
      <c r="R211" s="3">
        <v>31.183807900000001</v>
      </c>
      <c r="S211" s="3">
        <v>30.841608699999998</v>
      </c>
      <c r="T211" s="3">
        <v>30.687957900000001</v>
      </c>
      <c r="U211" s="3">
        <v>30.534389000000001</v>
      </c>
      <c r="V211" s="3">
        <v>30.380853699999999</v>
      </c>
      <c r="W211" s="3">
        <v>30.227301300000001</v>
      </c>
      <c r="X211" s="3">
        <v>30.073728800000001</v>
      </c>
      <c r="Y211" s="3">
        <v>27.648586000000002</v>
      </c>
      <c r="Z211" s="3">
        <v>27.784278799999999</v>
      </c>
      <c r="AA211" s="3">
        <v>27.620159999999998</v>
      </c>
      <c r="AB211" s="3">
        <v>27.4560368</v>
      </c>
      <c r="AC211" s="3">
        <v>27.291955999999999</v>
      </c>
      <c r="AD211" s="3">
        <v>27.127782400000001</v>
      </c>
      <c r="AE211" s="3">
        <v>26.959561600000001</v>
      </c>
      <c r="AF211" s="3">
        <v>26.794712199999999</v>
      </c>
      <c r="AG211" s="3">
        <v>26.629966700000001</v>
      </c>
      <c r="AH211" s="3">
        <v>26.460939100000001</v>
      </c>
      <c r="AI211" s="3">
        <v>26.2935737</v>
      </c>
      <c r="AJ211" s="4">
        <f t="shared" si="6"/>
        <v>-6.7317622000000021</v>
      </c>
    </row>
    <row r="212" spans="1:36" ht="14.4" x14ac:dyDescent="0.3">
      <c r="A212" s="1" t="s">
        <v>427</v>
      </c>
      <c r="B212" s="1" t="s">
        <v>428</v>
      </c>
      <c r="C212" s="1" t="s">
        <v>7</v>
      </c>
      <c r="D212" s="1" t="s">
        <v>8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3">
        <v>11.324754</v>
      </c>
      <c r="AA212" s="3">
        <v>11.3248383</v>
      </c>
      <c r="AB212" s="3">
        <v>11.324855299999999</v>
      </c>
      <c r="AC212" s="3">
        <v>11.3251337</v>
      </c>
      <c r="AD212" s="3">
        <v>11.3251337</v>
      </c>
      <c r="AE212" s="3">
        <v>11.3253509</v>
      </c>
      <c r="AF212" s="3">
        <v>11.325369200000001</v>
      </c>
      <c r="AG212" s="3">
        <v>11.325655100000001</v>
      </c>
      <c r="AH212" s="3">
        <v>11.325655100000001</v>
      </c>
      <c r="AI212" s="3">
        <v>11.325655100000001</v>
      </c>
      <c r="AJ212" s="4">
        <f>AI212-Z212</f>
        <v>9.0110000000009904E-4</v>
      </c>
    </row>
    <row r="213" spans="1:36" ht="14.4" x14ac:dyDescent="0.3">
      <c r="A213" s="1" t="s">
        <v>429</v>
      </c>
      <c r="B213" s="1" t="s">
        <v>430</v>
      </c>
      <c r="C213" s="1" t="s">
        <v>7</v>
      </c>
      <c r="D213" s="1" t="s">
        <v>8</v>
      </c>
      <c r="E213" s="3">
        <v>33.026203099999996</v>
      </c>
      <c r="F213" s="3">
        <v>32.882803000000003</v>
      </c>
      <c r="G213" s="3">
        <v>32.735845699999999</v>
      </c>
      <c r="H213" s="3">
        <v>32.669318099999998</v>
      </c>
      <c r="I213" s="3">
        <v>32.523449100000001</v>
      </c>
      <c r="J213" s="3">
        <v>32.377580100000003</v>
      </c>
      <c r="K213" s="3">
        <v>32.231711099999998</v>
      </c>
      <c r="L213" s="3">
        <v>32.085842100000001</v>
      </c>
      <c r="M213" s="3">
        <v>31.939973200000001</v>
      </c>
      <c r="N213" s="3">
        <v>31.7941042</v>
      </c>
      <c r="O213" s="3">
        <v>29.2579429</v>
      </c>
      <c r="P213" s="3">
        <v>31.493729800000001</v>
      </c>
      <c r="Q213" s="3">
        <v>31.3392245</v>
      </c>
      <c r="R213" s="3">
        <v>31.184719099999999</v>
      </c>
      <c r="S213" s="3">
        <v>30.8425218</v>
      </c>
      <c r="T213" s="3">
        <v>30.688874200000001</v>
      </c>
      <c r="U213" s="3">
        <v>30.535308700000002</v>
      </c>
      <c r="V213" s="3">
        <v>30.3817767</v>
      </c>
      <c r="W213" s="3">
        <v>30.2282276</v>
      </c>
      <c r="X213" s="3">
        <v>30.074658400000001</v>
      </c>
      <c r="Y213" s="3">
        <v>27.649465599999999</v>
      </c>
      <c r="Z213" s="3">
        <v>27.785155799999998</v>
      </c>
      <c r="AA213" s="3">
        <v>27.621040099999998</v>
      </c>
      <c r="AB213" s="3">
        <v>27.456920100000001</v>
      </c>
      <c r="AC213" s="3">
        <v>27.292842499999999</v>
      </c>
      <c r="AD213" s="3">
        <v>27.128672000000002</v>
      </c>
      <c r="AE213" s="3">
        <v>26.960454599999998</v>
      </c>
      <c r="AF213" s="3">
        <v>26.795608300000001</v>
      </c>
      <c r="AG213" s="3">
        <v>26.630866000000001</v>
      </c>
      <c r="AH213" s="3">
        <v>26.4618416</v>
      </c>
      <c r="AI213" s="3">
        <v>26.2944794</v>
      </c>
      <c r="AJ213" s="4">
        <f t="shared" ref="AJ213:AJ220" si="7">AI213-E213</f>
        <v>-6.7317236999999963</v>
      </c>
    </row>
    <row r="214" spans="1:36" ht="14.4" x14ac:dyDescent="0.3">
      <c r="A214" s="1" t="s">
        <v>431</v>
      </c>
      <c r="B214" s="1" t="s">
        <v>432</v>
      </c>
      <c r="C214" s="1" t="s">
        <v>7</v>
      </c>
      <c r="D214" s="1" t="s">
        <v>8</v>
      </c>
      <c r="E214" s="3">
        <v>42.037041899999998</v>
      </c>
      <c r="F214" s="3">
        <v>41.970312100000001</v>
      </c>
      <c r="G214" s="3">
        <v>41.883991299999998</v>
      </c>
      <c r="H214" s="3">
        <v>41.7967297</v>
      </c>
      <c r="I214" s="3">
        <v>41.824906200000001</v>
      </c>
      <c r="J214" s="3">
        <v>41.737403100000002</v>
      </c>
      <c r="K214" s="3">
        <v>41.649900000000002</v>
      </c>
      <c r="L214" s="3">
        <v>41.562396900000003</v>
      </c>
      <c r="M214" s="3">
        <v>41.474893700000003</v>
      </c>
      <c r="N214" s="3">
        <v>41.387390600000003</v>
      </c>
      <c r="O214" s="3">
        <v>41.299887499999997</v>
      </c>
      <c r="P214" s="3">
        <v>41.218109800000001</v>
      </c>
      <c r="Q214" s="3">
        <v>41.136332000000003</v>
      </c>
      <c r="R214" s="3">
        <v>41.054390099999999</v>
      </c>
      <c r="S214" s="3">
        <v>41.000034599999999</v>
      </c>
      <c r="T214" s="3">
        <v>40.918038699999997</v>
      </c>
      <c r="U214" s="3">
        <v>40.884452099999997</v>
      </c>
      <c r="V214" s="3">
        <v>40.8104978</v>
      </c>
      <c r="W214" s="3">
        <v>40.736544199999997</v>
      </c>
      <c r="X214" s="3">
        <v>40.662753799999997</v>
      </c>
      <c r="Y214" s="3">
        <v>40.588930900000001</v>
      </c>
      <c r="Z214" s="3">
        <v>40.497170300000001</v>
      </c>
      <c r="AA214" s="3">
        <v>40.405442399999998</v>
      </c>
      <c r="AB214" s="3">
        <v>40.296353500000002</v>
      </c>
      <c r="AC214" s="3">
        <v>40.206626999999997</v>
      </c>
      <c r="AD214" s="3">
        <v>40.114870600000003</v>
      </c>
      <c r="AE214" s="3">
        <v>40.016559000000001</v>
      </c>
      <c r="AF214" s="3">
        <v>39.927453900000003</v>
      </c>
      <c r="AG214" s="3">
        <v>39.8199878</v>
      </c>
      <c r="AH214" s="3">
        <v>39.722117699999998</v>
      </c>
      <c r="AI214" s="3">
        <v>39.623969199999998</v>
      </c>
      <c r="AJ214" s="4">
        <f t="shared" si="7"/>
        <v>-2.4130727000000007</v>
      </c>
    </row>
    <row r="215" spans="1:36" ht="14.4" x14ac:dyDescent="0.3">
      <c r="A215" s="1" t="s">
        <v>433</v>
      </c>
      <c r="B215" s="1" t="s">
        <v>434</v>
      </c>
      <c r="C215" s="1" t="s">
        <v>7</v>
      </c>
      <c r="D215" s="1" t="s">
        <v>8</v>
      </c>
      <c r="E215" s="3">
        <v>61.0625</v>
      </c>
      <c r="F215" s="3">
        <v>61.035416699999999</v>
      </c>
      <c r="G215" s="3">
        <v>61.008333299999997</v>
      </c>
      <c r="H215" s="3">
        <v>60.981250000000003</v>
      </c>
      <c r="I215" s="3">
        <v>60.954166700000002</v>
      </c>
      <c r="J215" s="3">
        <v>60.9270833</v>
      </c>
      <c r="K215" s="3">
        <v>60.9</v>
      </c>
      <c r="L215" s="3">
        <v>60.872916699999998</v>
      </c>
      <c r="M215" s="3">
        <v>60.845833300000002</v>
      </c>
      <c r="N215" s="3">
        <v>60.818750000000001</v>
      </c>
      <c r="O215" s="3">
        <v>60.7916667</v>
      </c>
      <c r="P215" s="3">
        <v>60.764583299999998</v>
      </c>
      <c r="Q215" s="3">
        <v>60.737499999999997</v>
      </c>
      <c r="R215" s="3">
        <v>60.710416700000003</v>
      </c>
      <c r="S215" s="3">
        <v>60.683333300000001</v>
      </c>
      <c r="T215" s="3">
        <v>60.65625</v>
      </c>
      <c r="U215" s="3">
        <v>60.629166699999999</v>
      </c>
      <c r="V215" s="3">
        <v>60.602083299999997</v>
      </c>
      <c r="W215" s="3">
        <v>60.575000000000003</v>
      </c>
      <c r="X215" s="3">
        <v>60.547916700000002</v>
      </c>
      <c r="Y215" s="3">
        <v>60.5208333</v>
      </c>
      <c r="Z215" s="3">
        <v>59.875</v>
      </c>
      <c r="AA215" s="3">
        <v>59.2291667</v>
      </c>
      <c r="AB215" s="3">
        <v>58.5833333</v>
      </c>
      <c r="AC215" s="3">
        <v>57.9375</v>
      </c>
      <c r="AD215" s="3">
        <v>57.2916667</v>
      </c>
      <c r="AE215" s="3">
        <v>56.6458333</v>
      </c>
      <c r="AF215" s="3">
        <v>56</v>
      </c>
      <c r="AG215" s="3">
        <v>55.3541667</v>
      </c>
      <c r="AH215" s="3">
        <v>54.7083333</v>
      </c>
      <c r="AI215" s="3">
        <v>54.0625</v>
      </c>
      <c r="AJ215" s="4">
        <f t="shared" si="7"/>
        <v>-7</v>
      </c>
    </row>
    <row r="216" spans="1:36" ht="14.4" x14ac:dyDescent="0.3">
      <c r="A216" s="1" t="s">
        <v>435</v>
      </c>
      <c r="B216" s="1" t="s">
        <v>436</v>
      </c>
      <c r="C216" s="1" t="s">
        <v>7</v>
      </c>
      <c r="D216" s="1" t="s">
        <v>8</v>
      </c>
      <c r="E216" s="3">
        <v>98.574551299999996</v>
      </c>
      <c r="F216" s="3">
        <v>98.550987199999994</v>
      </c>
      <c r="G216" s="3">
        <v>98.527423099999993</v>
      </c>
      <c r="H216" s="3">
        <v>98.503859000000006</v>
      </c>
      <c r="I216" s="3">
        <v>98.480294900000004</v>
      </c>
      <c r="J216" s="3">
        <v>98.456730800000003</v>
      </c>
      <c r="K216" s="3">
        <v>98.433166700000001</v>
      </c>
      <c r="L216" s="3">
        <v>98.409602599999999</v>
      </c>
      <c r="M216" s="3">
        <v>98.386038499999998</v>
      </c>
      <c r="N216" s="3">
        <v>98.362474399999996</v>
      </c>
      <c r="O216" s="3">
        <v>98.338910299999995</v>
      </c>
      <c r="P216" s="3">
        <v>98.312621800000002</v>
      </c>
      <c r="Q216" s="3">
        <v>98.286333299999995</v>
      </c>
      <c r="R216" s="3">
        <v>98.260044899999997</v>
      </c>
      <c r="S216" s="3">
        <v>98.233756400000004</v>
      </c>
      <c r="T216" s="3">
        <v>98.207467899999997</v>
      </c>
      <c r="U216" s="3">
        <v>98.181179499999999</v>
      </c>
      <c r="V216" s="3">
        <v>98.154891000000006</v>
      </c>
      <c r="W216" s="3">
        <v>98.128602599999994</v>
      </c>
      <c r="X216" s="3">
        <v>98.102314100000001</v>
      </c>
      <c r="Y216" s="3">
        <v>98.076025599999994</v>
      </c>
      <c r="Z216" s="3">
        <v>98.0142436</v>
      </c>
      <c r="AA216" s="3">
        <v>97.952461499999998</v>
      </c>
      <c r="AB216" s="3">
        <v>97.890679500000005</v>
      </c>
      <c r="AC216" s="3">
        <v>97.828897400000002</v>
      </c>
      <c r="AD216" s="3">
        <v>97.767115399999994</v>
      </c>
      <c r="AE216" s="3">
        <v>97.694359000000006</v>
      </c>
      <c r="AF216" s="3">
        <v>97.647564099999997</v>
      </c>
      <c r="AG216" s="3">
        <v>97.569102599999994</v>
      </c>
      <c r="AH216" s="3">
        <v>97.490576899999994</v>
      </c>
      <c r="AI216" s="3">
        <v>97.412115400000005</v>
      </c>
      <c r="AJ216" s="4">
        <f t="shared" si="7"/>
        <v>-1.1624358999999913</v>
      </c>
    </row>
    <row r="217" spans="1:36" ht="14.4" x14ac:dyDescent="0.3">
      <c r="A217" s="1" t="s">
        <v>437</v>
      </c>
      <c r="B217" s="1" t="s">
        <v>438</v>
      </c>
      <c r="C217" s="1" t="s">
        <v>7</v>
      </c>
      <c r="D217" s="1" t="s">
        <v>8</v>
      </c>
      <c r="E217" s="3">
        <v>39.958419999999997</v>
      </c>
      <c r="F217" s="3">
        <v>39.958419999999997</v>
      </c>
      <c r="G217" s="3">
        <v>39.958419999999997</v>
      </c>
      <c r="H217" s="3">
        <v>39.545925199999999</v>
      </c>
      <c r="I217" s="3">
        <v>39.543700600000001</v>
      </c>
      <c r="J217" s="3">
        <v>39.541476099999997</v>
      </c>
      <c r="K217" s="3">
        <v>39.5392516</v>
      </c>
      <c r="L217" s="3">
        <v>39.537027000000002</v>
      </c>
      <c r="M217" s="3">
        <v>39.534802499999998</v>
      </c>
      <c r="N217" s="3">
        <v>39.532578000000001</v>
      </c>
      <c r="O217" s="3">
        <v>39.530353400000003</v>
      </c>
      <c r="P217" s="3">
        <v>39.564656999999997</v>
      </c>
      <c r="Q217" s="3">
        <v>39.598960499999997</v>
      </c>
      <c r="R217" s="3">
        <v>39.625025999999998</v>
      </c>
      <c r="S217" s="3">
        <v>39.667567599999998</v>
      </c>
      <c r="T217" s="3">
        <v>39.701871099999998</v>
      </c>
      <c r="U217" s="3">
        <v>39.736174599999998</v>
      </c>
      <c r="V217" s="3">
        <v>39.770478199999999</v>
      </c>
      <c r="W217" s="3">
        <v>39.804781699999999</v>
      </c>
      <c r="X217" s="3">
        <v>39.847369499999999</v>
      </c>
      <c r="Y217" s="3">
        <v>39.880850899999999</v>
      </c>
      <c r="Z217" s="3">
        <v>39.899309600000002</v>
      </c>
      <c r="AA217" s="3">
        <v>39.915280299999999</v>
      </c>
      <c r="AB217" s="3">
        <v>39.931251000000003</v>
      </c>
      <c r="AC217" s="3">
        <v>39.9538686</v>
      </c>
      <c r="AD217" s="3">
        <v>39.968179399999997</v>
      </c>
      <c r="AE217" s="3">
        <v>40.003535800000002</v>
      </c>
      <c r="AF217" s="3">
        <v>40.056156399999999</v>
      </c>
      <c r="AG217" s="3">
        <v>40.056156399999999</v>
      </c>
      <c r="AH217" s="3">
        <v>40.056156399999999</v>
      </c>
      <c r="AI217" s="3">
        <v>40.056156399999999</v>
      </c>
      <c r="AJ217" s="4">
        <f t="shared" si="7"/>
        <v>9.7736400000002277E-2</v>
      </c>
    </row>
    <row r="218" spans="1:36" ht="14.4" x14ac:dyDescent="0.3">
      <c r="A218" s="1" t="s">
        <v>439</v>
      </c>
      <c r="B218" s="1" t="s">
        <v>440</v>
      </c>
      <c r="C218" s="1" t="s">
        <v>7</v>
      </c>
      <c r="D218" s="1" t="s">
        <v>8</v>
      </c>
      <c r="E218" s="3">
        <v>58.9870904</v>
      </c>
      <c r="F218" s="3">
        <v>58.9870904</v>
      </c>
      <c r="G218" s="3">
        <v>59.433962299999997</v>
      </c>
      <c r="H218" s="3">
        <v>59.657398200000003</v>
      </c>
      <c r="I218" s="3">
        <v>59.880834200000002</v>
      </c>
      <c r="J218" s="3">
        <v>60.104270100000001</v>
      </c>
      <c r="K218" s="3">
        <v>60.3277061</v>
      </c>
      <c r="L218" s="3">
        <v>60.551141999999999</v>
      </c>
      <c r="M218" s="3">
        <v>60.774577999999998</v>
      </c>
      <c r="N218" s="3">
        <v>60.998013899999997</v>
      </c>
      <c r="O218" s="3">
        <v>61.221449900000003</v>
      </c>
      <c r="P218" s="3">
        <v>61.290963300000001</v>
      </c>
      <c r="Q218" s="3">
        <v>61.3604767</v>
      </c>
      <c r="R218" s="3">
        <v>61.429990099999998</v>
      </c>
      <c r="S218" s="3">
        <v>61.499503500000003</v>
      </c>
      <c r="T218" s="3">
        <v>61.569016900000001</v>
      </c>
      <c r="U218" s="3">
        <v>61.638530299999999</v>
      </c>
      <c r="V218" s="3">
        <v>61.708043699999998</v>
      </c>
      <c r="W218" s="3">
        <v>61.758544999999998</v>
      </c>
      <c r="X218" s="3">
        <v>61.829264700000003</v>
      </c>
      <c r="Y218" s="3">
        <v>61.8975291</v>
      </c>
      <c r="Z218" s="3">
        <v>61.908071100000001</v>
      </c>
      <c r="AA218" s="3">
        <v>61.918920700000001</v>
      </c>
      <c r="AB218" s="3">
        <v>61.946375400000001</v>
      </c>
      <c r="AC218" s="3">
        <v>61.956305899999997</v>
      </c>
      <c r="AD218" s="3">
        <v>61.958237799999999</v>
      </c>
      <c r="AE218" s="3">
        <v>61.859299</v>
      </c>
      <c r="AF218" s="3">
        <v>61.769978299999998</v>
      </c>
      <c r="AG218" s="3">
        <v>61.6743807</v>
      </c>
      <c r="AH218" s="3">
        <v>61.5730717</v>
      </c>
      <c r="AI218" s="3">
        <v>61.472259200000003</v>
      </c>
      <c r="AJ218" s="4">
        <f t="shared" si="7"/>
        <v>2.4851688000000038</v>
      </c>
    </row>
    <row r="219" spans="1:36" ht="14.4" x14ac:dyDescent="0.3">
      <c r="A219" s="1" t="s">
        <v>441</v>
      </c>
      <c r="B219" s="1" t="s">
        <v>442</v>
      </c>
      <c r="C219" s="1" t="s">
        <v>7</v>
      </c>
      <c r="D219" s="1" t="s">
        <v>8</v>
      </c>
      <c r="E219" s="3">
        <v>68.389628099999996</v>
      </c>
      <c r="F219" s="3">
        <v>68.413998100000001</v>
      </c>
      <c r="G219" s="3">
        <v>68.438368199999999</v>
      </c>
      <c r="H219" s="3">
        <v>68.462738200000004</v>
      </c>
      <c r="I219" s="3">
        <v>68.487108300000003</v>
      </c>
      <c r="J219" s="3">
        <v>68.511478299999993</v>
      </c>
      <c r="K219" s="3">
        <v>68.535848299999998</v>
      </c>
      <c r="L219" s="3">
        <v>68.560218399999997</v>
      </c>
      <c r="M219" s="3">
        <v>68.584588400000001</v>
      </c>
      <c r="N219" s="3">
        <v>68.608958400000006</v>
      </c>
      <c r="O219" s="3">
        <v>68.633328500000005</v>
      </c>
      <c r="P219" s="3">
        <v>68.611395400000006</v>
      </c>
      <c r="Q219" s="3">
        <v>68.589462400000002</v>
      </c>
      <c r="R219" s="3">
        <v>68.567529399999998</v>
      </c>
      <c r="S219" s="3">
        <v>68.5455963</v>
      </c>
      <c r="T219" s="3">
        <v>68.523663299999996</v>
      </c>
      <c r="U219" s="3">
        <v>68.501730300000006</v>
      </c>
      <c r="V219" s="3">
        <v>68.479797199999993</v>
      </c>
      <c r="W219" s="3">
        <v>68.457864200000003</v>
      </c>
      <c r="X219" s="3">
        <v>68.435931199999999</v>
      </c>
      <c r="Y219" s="3">
        <v>68.413998100000001</v>
      </c>
      <c r="Z219" s="3">
        <v>68.3686699</v>
      </c>
      <c r="AA219" s="3">
        <v>68.826533100000006</v>
      </c>
      <c r="AB219" s="3">
        <v>68.780871000000005</v>
      </c>
      <c r="AC219" s="3">
        <v>68.740271500000006</v>
      </c>
      <c r="AD219" s="3">
        <v>68.694606100000001</v>
      </c>
      <c r="AE219" s="3">
        <v>68.694606100000001</v>
      </c>
      <c r="AF219" s="3">
        <v>68.694606100000001</v>
      </c>
      <c r="AG219" s="3">
        <v>68.694606100000001</v>
      </c>
      <c r="AH219" s="3">
        <v>68.694606100000001</v>
      </c>
      <c r="AI219" s="3">
        <v>68.694606100000001</v>
      </c>
      <c r="AJ219" s="4">
        <f t="shared" si="7"/>
        <v>0.30497800000000552</v>
      </c>
    </row>
    <row r="220" spans="1:36" ht="14.4" x14ac:dyDescent="0.3">
      <c r="A220" s="1" t="s">
        <v>443</v>
      </c>
      <c r="B220" s="1" t="s">
        <v>444</v>
      </c>
      <c r="C220" s="1" t="s">
        <v>7</v>
      </c>
      <c r="D220" s="1" t="s">
        <v>8</v>
      </c>
      <c r="E220" s="3">
        <v>26.810465099999998</v>
      </c>
      <c r="F220" s="3">
        <v>26.8810465</v>
      </c>
      <c r="G220" s="3">
        <v>26.951627899999998</v>
      </c>
      <c r="H220" s="3">
        <v>27.0222093</v>
      </c>
      <c r="I220" s="3">
        <v>27.092790699999998</v>
      </c>
      <c r="J220" s="3">
        <v>27.1633721</v>
      </c>
      <c r="K220" s="3">
        <v>27.233953499999998</v>
      </c>
      <c r="L220" s="3">
        <v>27.3045349</v>
      </c>
      <c r="M220" s="3">
        <v>27.375116299999998</v>
      </c>
      <c r="N220" s="3">
        <v>27.4456977</v>
      </c>
      <c r="O220" s="3">
        <v>27.516279099999998</v>
      </c>
      <c r="P220" s="3">
        <v>27.586918600000001</v>
      </c>
      <c r="Q220" s="3">
        <v>27.657558099999999</v>
      </c>
      <c r="R220" s="3">
        <v>27.728197699999999</v>
      </c>
      <c r="S220" s="3">
        <v>27.798837200000001</v>
      </c>
      <c r="T220" s="3">
        <v>27.8694767</v>
      </c>
      <c r="U220" s="3">
        <v>27.9401163</v>
      </c>
      <c r="V220" s="3">
        <v>28.010755799999998</v>
      </c>
      <c r="W220" s="3">
        <v>28.081395300000001</v>
      </c>
      <c r="X220" s="3">
        <v>28.1520349</v>
      </c>
      <c r="Y220" s="3">
        <v>28.222674399999999</v>
      </c>
      <c r="Z220" s="3">
        <v>28.293255800000001</v>
      </c>
      <c r="AA220" s="3">
        <v>28.363837199999999</v>
      </c>
      <c r="AB220" s="3">
        <v>28.434418600000001</v>
      </c>
      <c r="AC220" s="3">
        <v>28.504999999999999</v>
      </c>
      <c r="AD220" s="3">
        <v>28.575581400000001</v>
      </c>
      <c r="AE220" s="3">
        <v>28.6465116</v>
      </c>
      <c r="AF220" s="3">
        <v>28.716860499999999</v>
      </c>
      <c r="AG220" s="3">
        <v>28.787209300000001</v>
      </c>
      <c r="AH220" s="3">
        <v>28.857558099999999</v>
      </c>
      <c r="AI220" s="3">
        <v>28.927907000000001</v>
      </c>
      <c r="AJ220" s="4">
        <f t="shared" si="7"/>
        <v>2.1174419000000029</v>
      </c>
    </row>
    <row r="221" spans="1:36" ht="14.4" x14ac:dyDescent="0.3">
      <c r="A221" s="1" t="s">
        <v>445</v>
      </c>
      <c r="B221" s="1" t="s">
        <v>446</v>
      </c>
      <c r="C221" s="1" t="s">
        <v>7</v>
      </c>
      <c r="D221" s="1" t="s">
        <v>8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3">
        <v>10.882352900000001</v>
      </c>
      <c r="P221" s="5"/>
      <c r="Q221" s="5"/>
      <c r="R221" s="5"/>
      <c r="S221" s="5"/>
      <c r="T221" s="5"/>
      <c r="U221" s="5"/>
      <c r="V221" s="5"/>
      <c r="W221" s="5"/>
      <c r="X221" s="5"/>
      <c r="Y221" s="3">
        <v>10.882352900000001</v>
      </c>
      <c r="Z221" s="3">
        <v>10.882352900000001</v>
      </c>
      <c r="AA221" s="3">
        <v>10.882352900000001</v>
      </c>
      <c r="AB221" s="3">
        <v>10.882352900000001</v>
      </c>
      <c r="AC221" s="3">
        <v>10.882352900000001</v>
      </c>
      <c r="AD221" s="3">
        <v>10.882352900000001</v>
      </c>
      <c r="AE221" s="3">
        <v>10.882352900000001</v>
      </c>
      <c r="AF221" s="3">
        <v>10.882352900000001</v>
      </c>
      <c r="AG221" s="3">
        <v>10.882352900000001</v>
      </c>
      <c r="AH221" s="3">
        <v>10.882352900000001</v>
      </c>
      <c r="AI221" s="3">
        <v>10.882352900000001</v>
      </c>
      <c r="AJ221" s="4">
        <f>AI221-Y221</f>
        <v>0</v>
      </c>
    </row>
    <row r="222" spans="1:36" ht="14.4" x14ac:dyDescent="0.3">
      <c r="A222" s="1" t="s">
        <v>447</v>
      </c>
      <c r="B222" s="1" t="s">
        <v>448</v>
      </c>
      <c r="C222" s="1" t="s">
        <v>7</v>
      </c>
      <c r="D222" s="1" t="s">
        <v>8</v>
      </c>
      <c r="E222" s="3">
        <v>73.260869600000007</v>
      </c>
      <c r="F222" s="3">
        <v>73.260869600000007</v>
      </c>
      <c r="G222" s="3">
        <v>73.260869600000007</v>
      </c>
      <c r="H222" s="3">
        <v>73.260869600000007</v>
      </c>
      <c r="I222" s="3">
        <v>73.260869600000007</v>
      </c>
      <c r="J222" s="3">
        <v>73.260869600000007</v>
      </c>
      <c r="K222" s="3">
        <v>73.260869600000007</v>
      </c>
      <c r="L222" s="3">
        <v>73.260869600000007</v>
      </c>
      <c r="M222" s="3">
        <v>73.260869600000007</v>
      </c>
      <c r="N222" s="3">
        <v>73.260869600000007</v>
      </c>
      <c r="O222" s="3">
        <v>73.260869600000007</v>
      </c>
      <c r="P222" s="3">
        <v>73.260869600000007</v>
      </c>
      <c r="Q222" s="3">
        <v>73.260869600000007</v>
      </c>
      <c r="R222" s="3">
        <v>73.260869600000007</v>
      </c>
      <c r="S222" s="3">
        <v>73.260869600000007</v>
      </c>
      <c r="T222" s="3">
        <v>73.260869600000007</v>
      </c>
      <c r="U222" s="3">
        <v>73.260869600000007</v>
      </c>
      <c r="V222" s="3">
        <v>73.260869600000007</v>
      </c>
      <c r="W222" s="3">
        <v>73.260869600000007</v>
      </c>
      <c r="X222" s="3">
        <v>73.260869600000007</v>
      </c>
      <c r="Y222" s="3">
        <v>73.260869600000007</v>
      </c>
      <c r="Z222" s="3">
        <v>73.260869600000007</v>
      </c>
      <c r="AA222" s="3">
        <v>73.260869600000007</v>
      </c>
      <c r="AB222" s="3">
        <v>73.260869600000007</v>
      </c>
      <c r="AC222" s="3">
        <v>73.260869600000007</v>
      </c>
      <c r="AD222" s="3">
        <v>73.260869600000007</v>
      </c>
      <c r="AE222" s="3">
        <v>73.260869600000007</v>
      </c>
      <c r="AF222" s="3">
        <v>73.260869600000007</v>
      </c>
      <c r="AG222" s="3">
        <v>73.260869600000007</v>
      </c>
      <c r="AH222" s="3">
        <v>73.260869600000007</v>
      </c>
      <c r="AI222" s="3">
        <v>73.260869600000007</v>
      </c>
      <c r="AJ222" s="4">
        <f t="shared" ref="AJ222:AJ260" si="8">AI222-E222</f>
        <v>0</v>
      </c>
    </row>
    <row r="223" spans="1:36" ht="14.4" x14ac:dyDescent="0.3">
      <c r="A223" s="1" t="s">
        <v>449</v>
      </c>
      <c r="B223" s="1" t="s">
        <v>450</v>
      </c>
      <c r="C223" s="1" t="s">
        <v>7</v>
      </c>
      <c r="D223" s="1" t="s">
        <v>8</v>
      </c>
      <c r="E223" s="3">
        <v>2.0245946199999998</v>
      </c>
      <c r="F223" s="3">
        <v>2.0572423500000001</v>
      </c>
      <c r="G223" s="3">
        <v>2.0898900899999999</v>
      </c>
      <c r="H223" s="3">
        <v>2.1225378199999998</v>
      </c>
      <c r="I223" s="3">
        <v>2.1551855500000001</v>
      </c>
      <c r="J223" s="3">
        <v>2.18783328</v>
      </c>
      <c r="K223" s="3">
        <v>2.2204810099999999</v>
      </c>
      <c r="L223" s="3">
        <v>2.2531287400000002</v>
      </c>
      <c r="M223" s="3">
        <v>2.2857764700000001</v>
      </c>
      <c r="N223" s="3">
        <v>2.3184241999999999</v>
      </c>
      <c r="O223" s="3">
        <v>2.3510719299999998</v>
      </c>
      <c r="P223" s="3">
        <v>2.3837196600000001</v>
      </c>
      <c r="Q223" s="3">
        <v>2.4163673999999999</v>
      </c>
      <c r="R223" s="3">
        <v>2.45154965</v>
      </c>
      <c r="S223" s="3">
        <v>2.4845018200000002</v>
      </c>
      <c r="T223" s="3">
        <v>2.5171869</v>
      </c>
      <c r="U223" s="3">
        <v>2.5490388300000002</v>
      </c>
      <c r="V223" s="3">
        <v>2.5815726400000001</v>
      </c>
      <c r="W223" s="3">
        <v>2.6142452600000001</v>
      </c>
      <c r="X223" s="3">
        <v>2.6469178800000002</v>
      </c>
      <c r="Y223" s="3">
        <v>2.6797364300000002</v>
      </c>
      <c r="Z223" s="3">
        <v>2.7124108300000001</v>
      </c>
      <c r="AA223" s="3">
        <v>2.7450852299999999</v>
      </c>
      <c r="AB223" s="3">
        <v>2.7777596299999998</v>
      </c>
      <c r="AC223" s="3">
        <v>2.8104340200000002</v>
      </c>
      <c r="AD223" s="3">
        <v>2.8431084200000001</v>
      </c>
      <c r="AE223" s="3">
        <v>2.8431084200000001</v>
      </c>
      <c r="AF223" s="3">
        <v>2.8431084200000001</v>
      </c>
      <c r="AG223" s="3">
        <v>2.8431084200000001</v>
      </c>
      <c r="AH223" s="3">
        <v>2.8431084200000001</v>
      </c>
      <c r="AI223" s="3">
        <v>2.8431084200000001</v>
      </c>
      <c r="AJ223" s="4">
        <f t="shared" si="8"/>
        <v>0.81851380000000029</v>
      </c>
    </row>
    <row r="224" spans="1:36" ht="14.4" x14ac:dyDescent="0.3">
      <c r="A224" s="1" t="s">
        <v>451</v>
      </c>
      <c r="B224" s="1" t="s">
        <v>452</v>
      </c>
      <c r="C224" s="1" t="s">
        <v>7</v>
      </c>
      <c r="D224" s="1" t="s">
        <v>8</v>
      </c>
      <c r="E224" s="3">
        <v>11.073684200000001</v>
      </c>
      <c r="F224" s="3">
        <v>11.073684200000001</v>
      </c>
      <c r="G224" s="3">
        <v>11.073684200000001</v>
      </c>
      <c r="H224" s="3">
        <v>11.073684200000001</v>
      </c>
      <c r="I224" s="3">
        <v>11.073684200000001</v>
      </c>
      <c r="J224" s="3">
        <v>11.073684200000001</v>
      </c>
      <c r="K224" s="3">
        <v>11.073684200000001</v>
      </c>
      <c r="L224" s="3">
        <v>11.073684200000001</v>
      </c>
      <c r="M224" s="3">
        <v>11.073684200000001</v>
      </c>
      <c r="N224" s="3">
        <v>11.073684200000001</v>
      </c>
      <c r="O224" s="3">
        <v>11.073684200000001</v>
      </c>
      <c r="P224" s="3">
        <v>11.073684200000001</v>
      </c>
      <c r="Q224" s="3">
        <v>11.073684200000001</v>
      </c>
      <c r="R224" s="3">
        <v>11.073684200000001</v>
      </c>
      <c r="S224" s="3">
        <v>11.073684200000001</v>
      </c>
      <c r="T224" s="3">
        <v>11.073684200000001</v>
      </c>
      <c r="U224" s="3">
        <v>11.073684200000001</v>
      </c>
      <c r="V224" s="3">
        <v>11.073684200000001</v>
      </c>
      <c r="W224" s="3">
        <v>11.073684200000001</v>
      </c>
      <c r="X224" s="3">
        <v>11.073684200000001</v>
      </c>
      <c r="Y224" s="3">
        <v>11.073684200000001</v>
      </c>
      <c r="Z224" s="3">
        <v>11.073684200000001</v>
      </c>
      <c r="AA224" s="3">
        <v>11.073684200000001</v>
      </c>
      <c r="AB224" s="3">
        <v>11.073684200000001</v>
      </c>
      <c r="AC224" s="3">
        <v>11.073684200000001</v>
      </c>
      <c r="AD224" s="3">
        <v>11.073684200000001</v>
      </c>
      <c r="AE224" s="3">
        <v>11.073684200000001</v>
      </c>
      <c r="AF224" s="3">
        <v>11.073684200000001</v>
      </c>
      <c r="AG224" s="3">
        <v>11.073684200000001</v>
      </c>
      <c r="AH224" s="3">
        <v>11.073684200000001</v>
      </c>
      <c r="AI224" s="3">
        <v>11.073684200000001</v>
      </c>
      <c r="AJ224" s="4">
        <f t="shared" si="8"/>
        <v>0</v>
      </c>
    </row>
    <row r="225" spans="1:36" ht="14.4" x14ac:dyDescent="0.3">
      <c r="A225" s="1" t="s">
        <v>453</v>
      </c>
      <c r="B225" s="1" t="s">
        <v>454</v>
      </c>
      <c r="C225" s="1" t="s">
        <v>7</v>
      </c>
      <c r="D225" s="1" t="s">
        <v>8</v>
      </c>
      <c r="E225" s="3">
        <v>5.3446632799999998</v>
      </c>
      <c r="F225" s="3">
        <v>5.3147236299999996</v>
      </c>
      <c r="G225" s="3">
        <v>5.2847839900000002</v>
      </c>
      <c r="H225" s="3">
        <v>5.2548443499999999</v>
      </c>
      <c r="I225" s="3">
        <v>5.2249046999999997</v>
      </c>
      <c r="J225" s="3">
        <v>5.1949650600000004</v>
      </c>
      <c r="K225" s="3">
        <v>5.1650254100000002</v>
      </c>
      <c r="L225" s="3">
        <v>5.1350857699999999</v>
      </c>
      <c r="M225" s="3">
        <v>5.1051461199999997</v>
      </c>
      <c r="N225" s="3">
        <v>5.0752064800000003</v>
      </c>
      <c r="O225" s="3">
        <v>5.04526684</v>
      </c>
      <c r="P225" s="3">
        <v>4.9799078799999998</v>
      </c>
      <c r="Q225" s="3">
        <v>4.9145489199999997</v>
      </c>
      <c r="R225" s="3">
        <v>4.8491899600000004</v>
      </c>
      <c r="S225" s="3">
        <v>4.7838310000000002</v>
      </c>
      <c r="T225" s="3">
        <v>4.7184720499999999</v>
      </c>
      <c r="U225" s="3">
        <v>4.6531130899999997</v>
      </c>
      <c r="V225" s="3">
        <v>4.5877541300000004</v>
      </c>
      <c r="W225" s="3">
        <v>4.5223951700000002</v>
      </c>
      <c r="X225" s="3">
        <v>4.4570362100000001</v>
      </c>
      <c r="Y225" s="3">
        <v>4.3916772599999998</v>
      </c>
      <c r="Z225" s="3">
        <v>4.2900254100000002</v>
      </c>
      <c r="AA225" s="3">
        <v>4.1883735700000004</v>
      </c>
      <c r="AB225" s="3">
        <v>4.0867217299999998</v>
      </c>
      <c r="AC225" s="3">
        <v>3.9850698900000001</v>
      </c>
      <c r="AD225" s="3">
        <v>3.88341804</v>
      </c>
      <c r="AE225" s="3">
        <v>3.7873252900000001</v>
      </c>
      <c r="AF225" s="3">
        <v>3.6936149899999999</v>
      </c>
      <c r="AG225" s="3">
        <v>3.60149301</v>
      </c>
      <c r="AH225" s="3">
        <v>3.5117534899999998</v>
      </c>
      <c r="AI225" s="3">
        <v>3.4251906000000001</v>
      </c>
      <c r="AJ225" s="4">
        <f t="shared" si="8"/>
        <v>-1.9194726799999997</v>
      </c>
    </row>
    <row r="226" spans="1:36" ht="14.4" x14ac:dyDescent="0.3">
      <c r="A226" s="1" t="s">
        <v>455</v>
      </c>
      <c r="B226" s="1" t="s">
        <v>456</v>
      </c>
      <c r="C226" s="1" t="s">
        <v>7</v>
      </c>
      <c r="D226" s="1" t="s">
        <v>8</v>
      </c>
      <c r="E226" s="3">
        <v>28.825106099999999</v>
      </c>
      <c r="F226" s="3">
        <v>28.817588799999999</v>
      </c>
      <c r="G226" s="3">
        <v>28.805495799999999</v>
      </c>
      <c r="H226" s="3">
        <v>28.7934029</v>
      </c>
      <c r="I226" s="3">
        <v>28.7813099</v>
      </c>
      <c r="J226" s="3">
        <v>28.769126199999999</v>
      </c>
      <c r="K226" s="3">
        <v>28.757051400000002</v>
      </c>
      <c r="L226" s="3">
        <v>28.744958400000002</v>
      </c>
      <c r="M226" s="3">
        <v>28.732865499999999</v>
      </c>
      <c r="N226" s="3">
        <v>28.7207726</v>
      </c>
      <c r="O226" s="3">
        <v>28.734865299999999</v>
      </c>
      <c r="P226" s="3">
        <v>28.8561786</v>
      </c>
      <c r="Q226" s="3">
        <v>28.978535099999998</v>
      </c>
      <c r="R226" s="3">
        <v>29.1007906</v>
      </c>
      <c r="S226" s="3">
        <v>29.2223866</v>
      </c>
      <c r="T226" s="3">
        <v>29.3438759</v>
      </c>
      <c r="U226" s="3">
        <v>29.465048100000001</v>
      </c>
      <c r="V226" s="3">
        <v>29.586331000000001</v>
      </c>
      <c r="W226" s="3">
        <v>29.708101200000002</v>
      </c>
      <c r="X226" s="3">
        <v>29.829496800000001</v>
      </c>
      <c r="Y226" s="3">
        <v>29.9509498</v>
      </c>
      <c r="Z226" s="3">
        <v>29.987566399999999</v>
      </c>
      <c r="AA226" s="3">
        <v>30.024505699999999</v>
      </c>
      <c r="AB226" s="3">
        <v>30.0613119</v>
      </c>
      <c r="AC226" s="3">
        <v>30.0979861</v>
      </c>
      <c r="AD226" s="3">
        <v>30.127627</v>
      </c>
      <c r="AE226" s="3">
        <v>30.131930700000002</v>
      </c>
      <c r="AF226" s="3">
        <v>30.134617800000001</v>
      </c>
      <c r="AG226" s="3">
        <v>30.184177999999999</v>
      </c>
      <c r="AH226" s="3">
        <v>30.233797800000001</v>
      </c>
      <c r="AI226" s="3">
        <v>30.283380300000001</v>
      </c>
      <c r="AJ226" s="4">
        <f t="shared" si="8"/>
        <v>1.4582742000000017</v>
      </c>
    </row>
    <row r="227" spans="1:36" ht="14.4" x14ac:dyDescent="0.3">
      <c r="A227" s="1" t="s">
        <v>457</v>
      </c>
      <c r="B227" s="1" t="s">
        <v>458</v>
      </c>
      <c r="C227" s="1" t="s">
        <v>7</v>
      </c>
      <c r="D227" s="1" t="s">
        <v>8</v>
      </c>
      <c r="E227" s="3">
        <v>38.683638100000003</v>
      </c>
      <c r="F227" s="3">
        <v>38.6901315</v>
      </c>
      <c r="G227" s="3">
        <v>38.686381699999998</v>
      </c>
      <c r="H227" s="3">
        <v>38.701798099999998</v>
      </c>
      <c r="I227" s="3">
        <v>38.7191063</v>
      </c>
      <c r="J227" s="3">
        <v>38.733336899999998</v>
      </c>
      <c r="K227" s="3">
        <v>38.743085499999999</v>
      </c>
      <c r="L227" s="3">
        <v>38.751131200000003</v>
      </c>
      <c r="M227" s="3">
        <v>38.756115200000004</v>
      </c>
      <c r="N227" s="3">
        <v>38.753817400000003</v>
      </c>
      <c r="O227" s="3">
        <v>38.774437300000002</v>
      </c>
      <c r="P227" s="3">
        <v>38.813715500000001</v>
      </c>
      <c r="Q227" s="3">
        <v>38.852765400000003</v>
      </c>
      <c r="R227" s="3">
        <v>38.889720599999997</v>
      </c>
      <c r="S227" s="3">
        <v>38.926038699999999</v>
      </c>
      <c r="T227" s="3">
        <v>38.962969200000003</v>
      </c>
      <c r="U227" s="3">
        <v>39.017375199999996</v>
      </c>
      <c r="V227" s="3">
        <v>39.057011299999999</v>
      </c>
      <c r="W227" s="3">
        <v>39.097574299999998</v>
      </c>
      <c r="X227" s="3">
        <v>39.136629399999997</v>
      </c>
      <c r="Y227" s="3">
        <v>39.175566799999999</v>
      </c>
      <c r="Z227" s="3">
        <v>39.189801600000003</v>
      </c>
      <c r="AA227" s="3">
        <v>39.204432199999999</v>
      </c>
      <c r="AB227" s="3">
        <v>39.218774400000001</v>
      </c>
      <c r="AC227" s="3">
        <v>39.2339603</v>
      </c>
      <c r="AD227" s="3">
        <v>39.222385099999997</v>
      </c>
      <c r="AE227" s="3">
        <v>39.241103199999998</v>
      </c>
      <c r="AF227" s="3">
        <v>39.260583599999997</v>
      </c>
      <c r="AG227" s="3">
        <v>39.273141099999997</v>
      </c>
      <c r="AH227" s="3">
        <v>39.285749299999999</v>
      </c>
      <c r="AI227" s="3">
        <v>39.298366899999998</v>
      </c>
      <c r="AJ227" s="4">
        <f t="shared" si="8"/>
        <v>0.61472879999999464</v>
      </c>
    </row>
    <row r="228" spans="1:36" ht="14.4" x14ac:dyDescent="0.3">
      <c r="A228" s="1" t="s">
        <v>459</v>
      </c>
      <c r="B228" s="1" t="s">
        <v>460</v>
      </c>
      <c r="C228" s="1" t="s">
        <v>7</v>
      </c>
      <c r="D228" s="1" t="s">
        <v>8</v>
      </c>
      <c r="E228" s="3">
        <v>25.0351167</v>
      </c>
      <c r="F228" s="3">
        <v>24.863769099999999</v>
      </c>
      <c r="G228" s="3">
        <v>24.692421400000001</v>
      </c>
      <c r="H228" s="3">
        <v>24.521073699999999</v>
      </c>
      <c r="I228" s="3">
        <v>24.349726100000002</v>
      </c>
      <c r="J228" s="3">
        <v>24.1783784</v>
      </c>
      <c r="K228" s="3">
        <v>24.007030700000001</v>
      </c>
      <c r="L228" s="3">
        <v>23.835683</v>
      </c>
      <c r="M228" s="3">
        <v>23.664335399999999</v>
      </c>
      <c r="N228" s="3">
        <v>23.4929877</v>
      </c>
      <c r="O228" s="3">
        <v>23.321639999999999</v>
      </c>
      <c r="P228" s="3">
        <v>23.2672293</v>
      </c>
      <c r="Q228" s="3">
        <v>23.212818500000001</v>
      </c>
      <c r="R228" s="3">
        <v>23.158407799999999</v>
      </c>
      <c r="S228" s="3">
        <v>23.103997100000001</v>
      </c>
      <c r="T228" s="3">
        <v>23.049586300000001</v>
      </c>
      <c r="U228" s="3">
        <v>22.9951756</v>
      </c>
      <c r="V228" s="3">
        <v>22.9407648</v>
      </c>
      <c r="W228" s="3">
        <v>22.886354099999998</v>
      </c>
      <c r="X228" s="3">
        <v>22.8319434</v>
      </c>
      <c r="Y228" s="3">
        <v>22.777532600000001</v>
      </c>
      <c r="Z228" s="3">
        <v>22.723110899999998</v>
      </c>
      <c r="AA228" s="3">
        <v>22.668689100000002</v>
      </c>
      <c r="AB228" s="3">
        <v>22.614267300000002</v>
      </c>
      <c r="AC228" s="3">
        <v>22.559845599999999</v>
      </c>
      <c r="AD228" s="3">
        <v>22.505423799999999</v>
      </c>
      <c r="AE228" s="3">
        <v>22.451001999999999</v>
      </c>
      <c r="AF228" s="3">
        <v>22.3965803</v>
      </c>
      <c r="AG228" s="3">
        <v>22.3421585</v>
      </c>
      <c r="AH228" s="3">
        <v>22.2877367</v>
      </c>
      <c r="AI228" s="3">
        <v>22.2333149</v>
      </c>
      <c r="AJ228" s="4">
        <f t="shared" si="8"/>
        <v>-2.8018017999999998</v>
      </c>
    </row>
    <row r="229" spans="1:36" ht="14.4" x14ac:dyDescent="0.3">
      <c r="A229" s="1" t="s">
        <v>461</v>
      </c>
      <c r="B229" s="1" t="s">
        <v>462</v>
      </c>
      <c r="C229" s="1" t="s">
        <v>7</v>
      </c>
      <c r="D229" s="1" t="s">
        <v>8</v>
      </c>
      <c r="E229" s="3">
        <v>37.896611800000002</v>
      </c>
      <c r="F229" s="3">
        <v>37.825559300000002</v>
      </c>
      <c r="G229" s="3">
        <v>37.754506800000001</v>
      </c>
      <c r="H229" s="3">
        <v>37.683454400000002</v>
      </c>
      <c r="I229" s="3">
        <v>37.612401900000002</v>
      </c>
      <c r="J229" s="3">
        <v>37.541349400000001</v>
      </c>
      <c r="K229" s="3">
        <v>37.470296900000001</v>
      </c>
      <c r="L229" s="3">
        <v>37.399244500000002</v>
      </c>
      <c r="M229" s="3">
        <v>37.328192000000001</v>
      </c>
      <c r="N229" s="3">
        <v>37.257139500000001</v>
      </c>
      <c r="O229" s="3">
        <v>37.186087000000001</v>
      </c>
      <c r="P229" s="3">
        <v>37.396504100000001</v>
      </c>
      <c r="Q229" s="3">
        <v>37.606921300000003</v>
      </c>
      <c r="R229" s="3">
        <v>37.817338399999997</v>
      </c>
      <c r="S229" s="3">
        <v>38.027755499999998</v>
      </c>
      <c r="T229" s="3">
        <v>38.238172599999999</v>
      </c>
      <c r="U229" s="3">
        <v>38.448589699999999</v>
      </c>
      <c r="V229" s="3">
        <v>38.6590068</v>
      </c>
      <c r="W229" s="3">
        <v>38.869423900000001</v>
      </c>
      <c r="X229" s="3">
        <v>39.079841100000003</v>
      </c>
      <c r="Y229" s="3">
        <v>39.290258199999997</v>
      </c>
      <c r="Z229" s="3">
        <v>39.285560500000003</v>
      </c>
      <c r="AA229" s="3">
        <v>39.280862800000001</v>
      </c>
      <c r="AB229" s="3">
        <v>39.2761651</v>
      </c>
      <c r="AC229" s="3">
        <v>39.271467399999999</v>
      </c>
      <c r="AD229" s="3">
        <v>39.266769799999999</v>
      </c>
      <c r="AE229" s="3">
        <v>39.180645499999997</v>
      </c>
      <c r="AF229" s="3">
        <v>39.110180300000003</v>
      </c>
      <c r="AG229" s="3">
        <v>39.039715000000001</v>
      </c>
      <c r="AH229" s="3">
        <v>38.969249699999999</v>
      </c>
      <c r="AI229" s="3">
        <v>38.898784499999998</v>
      </c>
      <c r="AJ229" s="4">
        <f t="shared" si="8"/>
        <v>1.0021726999999956</v>
      </c>
    </row>
    <row r="230" spans="1:36" ht="14.4" x14ac:dyDescent="0.3">
      <c r="A230" s="1" t="s">
        <v>463</v>
      </c>
      <c r="B230" s="1" t="s">
        <v>464</v>
      </c>
      <c r="C230" s="1" t="s">
        <v>7</v>
      </c>
      <c r="D230" s="1" t="s">
        <v>8</v>
      </c>
      <c r="E230" s="3">
        <v>2.9151186099999999</v>
      </c>
      <c r="F230" s="3">
        <v>2.9151186099999999</v>
      </c>
      <c r="G230" s="3">
        <v>2.9179765600000001</v>
      </c>
      <c r="H230" s="3">
        <v>2.9194055400000001</v>
      </c>
      <c r="I230" s="3">
        <v>2.9208345200000001</v>
      </c>
      <c r="J230" s="3">
        <v>2.9222635000000001</v>
      </c>
      <c r="K230" s="3">
        <v>2.9236924800000001</v>
      </c>
      <c r="L230" s="3">
        <v>2.9251214600000002</v>
      </c>
      <c r="M230" s="3">
        <v>2.9265504400000002</v>
      </c>
      <c r="N230" s="3">
        <v>2.9279794200000002</v>
      </c>
      <c r="O230" s="3">
        <v>2.9294083999999998</v>
      </c>
      <c r="P230" s="3">
        <v>2.9294083999999998</v>
      </c>
      <c r="Q230" s="3">
        <v>2.9294083999999998</v>
      </c>
      <c r="R230" s="3">
        <v>2.9294083999999998</v>
      </c>
      <c r="S230" s="3">
        <v>2.9294083999999998</v>
      </c>
      <c r="T230" s="3">
        <v>2.9294083999999998</v>
      </c>
      <c r="U230" s="3">
        <v>2.9294083999999998</v>
      </c>
      <c r="V230" s="3">
        <v>2.9294083999999998</v>
      </c>
      <c r="W230" s="3">
        <v>2.9294083999999998</v>
      </c>
      <c r="X230" s="3">
        <v>2.9294083999999998</v>
      </c>
      <c r="Y230" s="3">
        <v>2.9294083999999998</v>
      </c>
      <c r="Z230" s="3">
        <v>2.9462703600000002</v>
      </c>
      <c r="AA230" s="3">
        <v>2.9631323200000002</v>
      </c>
      <c r="AB230" s="3">
        <v>2.9799942800000001</v>
      </c>
      <c r="AC230" s="3">
        <v>3.0222068499999999</v>
      </c>
      <c r="AD230" s="3">
        <v>3.0391238600000001</v>
      </c>
      <c r="AE230" s="3">
        <v>3.0391238600000001</v>
      </c>
      <c r="AF230" s="3">
        <v>3.0391238600000001</v>
      </c>
      <c r="AG230" s="3">
        <v>3.0391238600000001</v>
      </c>
      <c r="AH230" s="3">
        <v>3.0463289900000001</v>
      </c>
      <c r="AI230" s="3">
        <v>3.0535341200000001</v>
      </c>
      <c r="AJ230" s="4">
        <f t="shared" si="8"/>
        <v>0.13841551000000019</v>
      </c>
    </row>
    <row r="231" spans="1:36" ht="14.4" x14ac:dyDescent="0.3">
      <c r="A231" s="1" t="s">
        <v>465</v>
      </c>
      <c r="B231" s="1" t="s">
        <v>466</v>
      </c>
      <c r="C231" s="1" t="s">
        <v>7</v>
      </c>
      <c r="D231" s="1" t="s">
        <v>8</v>
      </c>
      <c r="E231" s="3">
        <v>8.7821590399999998</v>
      </c>
      <c r="F231" s="3">
        <v>8.7821590399999998</v>
      </c>
      <c r="G231" s="3">
        <v>8.7821590399999998</v>
      </c>
      <c r="H231" s="3">
        <v>8.7821590399999998</v>
      </c>
      <c r="I231" s="3">
        <v>8.7821590399999998</v>
      </c>
      <c r="J231" s="3">
        <v>8.7821590399999998</v>
      </c>
      <c r="K231" s="3">
        <v>8.7821590399999998</v>
      </c>
      <c r="L231" s="3">
        <v>8.7821590399999998</v>
      </c>
      <c r="M231" s="3">
        <v>8.7821590399999998</v>
      </c>
      <c r="N231" s="3">
        <v>8.7821590399999998</v>
      </c>
      <c r="O231" s="3">
        <v>8.7821590399999998</v>
      </c>
      <c r="P231" s="3">
        <v>8.7821590399999998</v>
      </c>
      <c r="Q231" s="3">
        <v>8.7821590399999998</v>
      </c>
      <c r="R231" s="3">
        <v>8.7821590399999998</v>
      </c>
      <c r="S231" s="3">
        <v>8.7821590399999998</v>
      </c>
      <c r="T231" s="3">
        <v>8.7821590399999998</v>
      </c>
      <c r="U231" s="3">
        <v>8.7821590399999998</v>
      </c>
      <c r="V231" s="3">
        <v>8.7821590399999998</v>
      </c>
      <c r="W231" s="3">
        <v>8.7821590399999998</v>
      </c>
      <c r="X231" s="3">
        <v>8.7821590399999998</v>
      </c>
      <c r="Y231" s="3">
        <v>8.7821590399999998</v>
      </c>
      <c r="Z231" s="3">
        <v>8.7821590399999998</v>
      </c>
      <c r="AA231" s="3">
        <v>8.7821590399999998</v>
      </c>
      <c r="AB231" s="3">
        <v>8.7821590399999998</v>
      </c>
      <c r="AC231" s="3">
        <v>8.7821590399999998</v>
      </c>
      <c r="AD231" s="3">
        <v>8.7821590399999998</v>
      </c>
      <c r="AE231" s="3">
        <v>8.7821590399999998</v>
      </c>
      <c r="AF231" s="3">
        <v>8.7821590399999998</v>
      </c>
      <c r="AG231" s="3">
        <v>8.7821590399999998</v>
      </c>
      <c r="AH231" s="3">
        <v>8.7821590399999998</v>
      </c>
      <c r="AI231" s="3">
        <v>8.7821590399999998</v>
      </c>
      <c r="AJ231" s="4">
        <f t="shared" si="8"/>
        <v>0</v>
      </c>
    </row>
    <row r="232" spans="1:36" ht="14.4" x14ac:dyDescent="0.3">
      <c r="A232" s="1" t="s">
        <v>467</v>
      </c>
      <c r="B232" s="1" t="s">
        <v>468</v>
      </c>
      <c r="C232" s="1" t="s">
        <v>7</v>
      </c>
      <c r="D232" s="1" t="s">
        <v>8</v>
      </c>
      <c r="E232" s="3">
        <v>53.505568500000003</v>
      </c>
      <c r="F232" s="3">
        <v>53.229763200000001</v>
      </c>
      <c r="G232" s="3">
        <v>52.953957899999999</v>
      </c>
      <c r="H232" s="3">
        <v>52.678152599999997</v>
      </c>
      <c r="I232" s="3">
        <v>52.402347399999996</v>
      </c>
      <c r="J232" s="3">
        <v>52.126542100000002</v>
      </c>
      <c r="K232" s="3">
        <v>51.8507368</v>
      </c>
      <c r="L232" s="3">
        <v>51.574931499999998</v>
      </c>
      <c r="M232" s="3">
        <v>51.372492999999999</v>
      </c>
      <c r="N232" s="3">
        <v>51.096293199999998</v>
      </c>
      <c r="O232" s="3">
        <v>50.820093499999999</v>
      </c>
      <c r="P232" s="3">
        <v>50.539538399999998</v>
      </c>
      <c r="Q232" s="3">
        <v>50.258983399999998</v>
      </c>
      <c r="R232" s="3">
        <v>49.978428299999997</v>
      </c>
      <c r="S232" s="3">
        <v>49.697873299999998</v>
      </c>
      <c r="T232" s="3">
        <v>49.417318199999997</v>
      </c>
      <c r="U232" s="3">
        <v>49.136763199999997</v>
      </c>
      <c r="V232" s="3">
        <v>48.856208100000003</v>
      </c>
      <c r="W232" s="3">
        <v>48.575653099999997</v>
      </c>
      <c r="X232" s="3">
        <v>48.295098099999997</v>
      </c>
      <c r="Y232" s="3">
        <v>48.014543000000003</v>
      </c>
      <c r="Z232" s="3">
        <v>47.866747799999999</v>
      </c>
      <c r="AA232" s="3">
        <v>47.7189525</v>
      </c>
      <c r="AB232" s="3">
        <v>47.571157300000003</v>
      </c>
      <c r="AC232" s="3">
        <v>47.423886000000003</v>
      </c>
      <c r="AD232" s="3">
        <v>47.2760891</v>
      </c>
      <c r="AE232" s="3">
        <v>47.124002699999998</v>
      </c>
      <c r="AF232" s="3">
        <v>46.950119800000003</v>
      </c>
      <c r="AG232" s="3">
        <v>46.833511999999999</v>
      </c>
      <c r="AH232" s="3">
        <v>46.707765999999999</v>
      </c>
      <c r="AI232" s="3">
        <v>46.588053000000002</v>
      </c>
      <c r="AJ232" s="4">
        <f t="shared" si="8"/>
        <v>-6.9175155000000004</v>
      </c>
    </row>
    <row r="233" spans="1:36" ht="14.4" x14ac:dyDescent="0.3">
      <c r="A233" s="1" t="s">
        <v>469</v>
      </c>
      <c r="B233" s="1" t="s">
        <v>470</v>
      </c>
      <c r="C233" s="1" t="s">
        <v>7</v>
      </c>
      <c r="D233" s="1" t="s">
        <v>8</v>
      </c>
      <c r="E233" s="3">
        <v>64.767989200000002</v>
      </c>
      <c r="F233" s="3">
        <v>64.673839900000004</v>
      </c>
      <c r="G233" s="3">
        <v>64.5796907</v>
      </c>
      <c r="H233" s="3">
        <v>64.485541400000002</v>
      </c>
      <c r="I233" s="3">
        <v>64.391392100000004</v>
      </c>
      <c r="J233" s="3">
        <v>64.297242800000006</v>
      </c>
      <c r="K233" s="3">
        <v>64.203093499999994</v>
      </c>
      <c r="L233" s="3">
        <v>64.108944199999996</v>
      </c>
      <c r="M233" s="3">
        <v>64.014794899999998</v>
      </c>
      <c r="N233" s="3">
        <v>63.9206456</v>
      </c>
      <c r="O233" s="3">
        <v>63.826496300000002</v>
      </c>
      <c r="P233" s="3">
        <v>63.732346999999997</v>
      </c>
      <c r="Q233" s="3">
        <v>63.638197699999999</v>
      </c>
      <c r="R233" s="3">
        <v>63.544048400000001</v>
      </c>
      <c r="S233" s="3">
        <v>63.449899100000003</v>
      </c>
      <c r="T233" s="3">
        <v>63.355749799999998</v>
      </c>
      <c r="U233" s="3">
        <v>63.2616005</v>
      </c>
      <c r="V233" s="3">
        <v>63.167451200000002</v>
      </c>
      <c r="W233" s="3">
        <v>63.073301999999998</v>
      </c>
      <c r="X233" s="3">
        <v>62.9791527</v>
      </c>
      <c r="Y233" s="3">
        <v>62.885003400000002</v>
      </c>
      <c r="Z233" s="3">
        <v>62.790854099999997</v>
      </c>
      <c r="AA233" s="3">
        <v>62.696704799999999</v>
      </c>
      <c r="AB233" s="3">
        <v>62.602555500000001</v>
      </c>
      <c r="AC233" s="3">
        <v>62.508406200000003</v>
      </c>
      <c r="AD233" s="3">
        <v>62.414256899999998</v>
      </c>
      <c r="AE233" s="3">
        <v>62.3201076</v>
      </c>
      <c r="AF233" s="3">
        <v>62.246133200000003</v>
      </c>
      <c r="AG233" s="3">
        <v>62.131808999999997</v>
      </c>
      <c r="AH233" s="3">
        <v>62.037659699999999</v>
      </c>
      <c r="AI233" s="3">
        <v>61.943510400000001</v>
      </c>
      <c r="AJ233" s="4">
        <f t="shared" si="8"/>
        <v>-2.8244788000000014</v>
      </c>
    </row>
    <row r="234" spans="1:36" ht="14.4" x14ac:dyDescent="0.3">
      <c r="A234" s="1" t="s">
        <v>471</v>
      </c>
      <c r="B234" s="1" t="s">
        <v>472</v>
      </c>
      <c r="C234" s="1" t="s">
        <v>7</v>
      </c>
      <c r="D234" s="1" t="s">
        <v>8</v>
      </c>
      <c r="E234" s="3">
        <v>2.2112981899999999</v>
      </c>
      <c r="F234" s="3">
        <v>2.2147087700000001</v>
      </c>
      <c r="G234" s="3">
        <v>2.2181193499999998</v>
      </c>
      <c r="H234" s="3">
        <v>2.22152993</v>
      </c>
      <c r="I234" s="3">
        <v>2.2249405100000001</v>
      </c>
      <c r="J234" s="3">
        <v>2.2283510999999998</v>
      </c>
      <c r="K234" s="3">
        <v>2.23176167</v>
      </c>
      <c r="L234" s="3">
        <v>2.2351722500000002</v>
      </c>
      <c r="M234" s="3">
        <v>2.2385828299999999</v>
      </c>
      <c r="N234" s="3">
        <v>2.2419934100000001</v>
      </c>
      <c r="O234" s="3">
        <v>2.2454039899999998</v>
      </c>
      <c r="P234" s="3">
        <v>2.2681586500000002</v>
      </c>
      <c r="Q234" s="3">
        <v>2.29091332</v>
      </c>
      <c r="R234" s="3">
        <v>2.3137188800000001</v>
      </c>
      <c r="S234" s="3">
        <v>2.3364794600000001</v>
      </c>
      <c r="T234" s="3">
        <v>2.3592346800000001</v>
      </c>
      <c r="U234" s="3">
        <v>2.3819733599999999</v>
      </c>
      <c r="V234" s="3">
        <v>2.4047256400000001</v>
      </c>
      <c r="W234" s="3">
        <v>2.42748067</v>
      </c>
      <c r="X234" s="3">
        <v>2.45094791</v>
      </c>
      <c r="Y234" s="3">
        <v>2.47371243</v>
      </c>
      <c r="Z234" s="3">
        <v>2.4753691299999998</v>
      </c>
      <c r="AA234" s="3">
        <v>2.4770258200000002</v>
      </c>
      <c r="AB234" s="3">
        <v>2.4787376299999999</v>
      </c>
      <c r="AC234" s="3">
        <v>2.48039436</v>
      </c>
      <c r="AD234" s="3">
        <v>2.4820508100000001</v>
      </c>
      <c r="AE234" s="3">
        <v>2.4848174300000001</v>
      </c>
      <c r="AF234" s="3">
        <v>2.4859118100000002</v>
      </c>
      <c r="AG234" s="3">
        <v>2.4877183999999999</v>
      </c>
      <c r="AH234" s="3">
        <v>2.4921341099999998</v>
      </c>
      <c r="AI234" s="3">
        <v>2.4957275999999999</v>
      </c>
      <c r="AJ234" s="4">
        <f t="shared" si="8"/>
        <v>0.28442940999999999</v>
      </c>
    </row>
    <row r="235" spans="1:36" ht="14.4" x14ac:dyDescent="0.3">
      <c r="A235" s="1" t="s">
        <v>473</v>
      </c>
      <c r="B235" s="1" t="s">
        <v>474</v>
      </c>
      <c r="C235" s="1" t="s">
        <v>7</v>
      </c>
      <c r="D235" s="1" t="s">
        <v>8</v>
      </c>
      <c r="E235" s="3">
        <v>12.4305556</v>
      </c>
      <c r="F235" s="3">
        <v>12.4305556</v>
      </c>
      <c r="G235" s="3">
        <v>12.4305556</v>
      </c>
      <c r="H235" s="3">
        <v>12.4305556</v>
      </c>
      <c r="I235" s="3">
        <v>12.4305556</v>
      </c>
      <c r="J235" s="3">
        <v>12.4305556</v>
      </c>
      <c r="K235" s="3">
        <v>12.4305556</v>
      </c>
      <c r="L235" s="3">
        <v>12.4305556</v>
      </c>
      <c r="M235" s="3">
        <v>12.4305556</v>
      </c>
      <c r="N235" s="3">
        <v>12.4305556</v>
      </c>
      <c r="O235" s="3">
        <v>12.4305556</v>
      </c>
      <c r="P235" s="3">
        <v>12.4305556</v>
      </c>
      <c r="Q235" s="3">
        <v>12.4305556</v>
      </c>
      <c r="R235" s="3">
        <v>12.4305556</v>
      </c>
      <c r="S235" s="3">
        <v>12.4305556</v>
      </c>
      <c r="T235" s="3">
        <v>12.4305556</v>
      </c>
      <c r="U235" s="3">
        <v>12.4305556</v>
      </c>
      <c r="V235" s="3">
        <v>12.4305556</v>
      </c>
      <c r="W235" s="3">
        <v>12.4305556</v>
      </c>
      <c r="X235" s="3">
        <v>12.4305556</v>
      </c>
      <c r="Y235" s="3">
        <v>12.4305556</v>
      </c>
      <c r="Z235" s="3">
        <v>12.4305556</v>
      </c>
      <c r="AA235" s="3">
        <v>12.4305556</v>
      </c>
      <c r="AB235" s="3">
        <v>12.4305556</v>
      </c>
      <c r="AC235" s="3">
        <v>12.4305556</v>
      </c>
      <c r="AD235" s="3">
        <v>12.4305556</v>
      </c>
      <c r="AE235" s="3">
        <v>12.4305556</v>
      </c>
      <c r="AF235" s="3">
        <v>12.4305556</v>
      </c>
      <c r="AG235" s="3">
        <v>12.4305556</v>
      </c>
      <c r="AH235" s="3">
        <v>12.4305556</v>
      </c>
      <c r="AI235" s="3">
        <v>12.4305556</v>
      </c>
      <c r="AJ235" s="4">
        <f t="shared" si="8"/>
        <v>0</v>
      </c>
    </row>
    <row r="236" spans="1:36" ht="14.4" x14ac:dyDescent="0.3">
      <c r="A236" s="1" t="s">
        <v>475</v>
      </c>
      <c r="B236" s="1" t="s">
        <v>476</v>
      </c>
      <c r="C236" s="1" t="s">
        <v>7</v>
      </c>
      <c r="D236" s="1" t="s">
        <v>8</v>
      </c>
      <c r="E236" s="3">
        <v>16.264455300000002</v>
      </c>
      <c r="F236" s="3">
        <v>17.3444532</v>
      </c>
      <c r="G236" s="3">
        <v>17.4114346</v>
      </c>
      <c r="H236" s="3">
        <v>17.478415999999999</v>
      </c>
      <c r="I236" s="3">
        <v>17.570846499999998</v>
      </c>
      <c r="J236" s="3">
        <v>17.6379251</v>
      </c>
      <c r="K236" s="3">
        <v>17.705003600000001</v>
      </c>
      <c r="L236" s="3">
        <v>17.7720822</v>
      </c>
      <c r="M236" s="3">
        <v>17.839160700000001</v>
      </c>
      <c r="N236" s="3">
        <v>17.906239200000002</v>
      </c>
      <c r="O236" s="3">
        <v>18.011804900000001</v>
      </c>
      <c r="P236" s="3">
        <v>18.007054400000001</v>
      </c>
      <c r="Q236" s="3">
        <v>18.042108899999999</v>
      </c>
      <c r="R236" s="3">
        <v>18.077163500000001</v>
      </c>
      <c r="S236" s="3">
        <v>18.118606400000001</v>
      </c>
      <c r="T236" s="3">
        <v>18.153673300000001</v>
      </c>
      <c r="U236" s="3">
        <v>18.188740200000002</v>
      </c>
      <c r="V236" s="3">
        <v>18.223807099999998</v>
      </c>
      <c r="W236" s="3">
        <v>18.258873999999999</v>
      </c>
      <c r="X236" s="3">
        <v>18.293940899999999</v>
      </c>
      <c r="Y236" s="3">
        <v>18.329007799999999</v>
      </c>
      <c r="Z236" s="3">
        <v>18.3793483</v>
      </c>
      <c r="AA236" s="3">
        <v>18.429688800000001</v>
      </c>
      <c r="AB236" s="3">
        <v>18.480029300000002</v>
      </c>
      <c r="AC236" s="3">
        <v>18.530369799999999</v>
      </c>
      <c r="AD236" s="3">
        <v>18.583892299999999</v>
      </c>
      <c r="AE236" s="3">
        <v>18.6258892</v>
      </c>
      <c r="AF236" s="3">
        <v>18.677641699999999</v>
      </c>
      <c r="AG236" s="3">
        <v>18.724698400000001</v>
      </c>
      <c r="AH236" s="3">
        <v>18.771626000000001</v>
      </c>
      <c r="AI236" s="3">
        <v>18.818553600000001</v>
      </c>
      <c r="AJ236" s="4">
        <f t="shared" si="8"/>
        <v>2.5540982999999997</v>
      </c>
    </row>
    <row r="237" spans="1:36" ht="14.4" x14ac:dyDescent="0.3">
      <c r="A237" s="1" t="s">
        <v>477</v>
      </c>
      <c r="B237" s="1" t="s">
        <v>478</v>
      </c>
      <c r="C237" s="1" t="s">
        <v>7</v>
      </c>
      <c r="D237" s="1" t="s">
        <v>8</v>
      </c>
      <c r="E237" s="3">
        <v>33.026203099999996</v>
      </c>
      <c r="F237" s="3">
        <v>32.882803000000003</v>
      </c>
      <c r="G237" s="3">
        <v>32.735845699999999</v>
      </c>
      <c r="H237" s="3">
        <v>32.669318099999998</v>
      </c>
      <c r="I237" s="3">
        <v>32.523449100000001</v>
      </c>
      <c r="J237" s="3">
        <v>32.377580100000003</v>
      </c>
      <c r="K237" s="3">
        <v>32.231711099999998</v>
      </c>
      <c r="L237" s="3">
        <v>32.085842100000001</v>
      </c>
      <c r="M237" s="3">
        <v>31.939973200000001</v>
      </c>
      <c r="N237" s="3">
        <v>31.7941042</v>
      </c>
      <c r="O237" s="3">
        <v>29.2579429</v>
      </c>
      <c r="P237" s="3">
        <v>31.493729800000001</v>
      </c>
      <c r="Q237" s="3">
        <v>31.3392245</v>
      </c>
      <c r="R237" s="3">
        <v>31.184719099999999</v>
      </c>
      <c r="S237" s="3">
        <v>30.8425218</v>
      </c>
      <c r="T237" s="3">
        <v>30.688874200000001</v>
      </c>
      <c r="U237" s="3">
        <v>30.535308700000002</v>
      </c>
      <c r="V237" s="3">
        <v>30.3817767</v>
      </c>
      <c r="W237" s="3">
        <v>30.2282276</v>
      </c>
      <c r="X237" s="3">
        <v>30.074658400000001</v>
      </c>
      <c r="Y237" s="3">
        <v>27.649465599999999</v>
      </c>
      <c r="Z237" s="3">
        <v>27.785155799999998</v>
      </c>
      <c r="AA237" s="3">
        <v>27.621040099999998</v>
      </c>
      <c r="AB237" s="3">
        <v>27.456920100000001</v>
      </c>
      <c r="AC237" s="3">
        <v>27.292842499999999</v>
      </c>
      <c r="AD237" s="3">
        <v>27.128672000000002</v>
      </c>
      <c r="AE237" s="3">
        <v>26.960454599999998</v>
      </c>
      <c r="AF237" s="3">
        <v>26.795608300000001</v>
      </c>
      <c r="AG237" s="3">
        <v>26.630866000000001</v>
      </c>
      <c r="AH237" s="3">
        <v>26.4618416</v>
      </c>
      <c r="AI237" s="3">
        <v>26.2944794</v>
      </c>
      <c r="AJ237" s="4">
        <f t="shared" si="8"/>
        <v>-6.7317236999999963</v>
      </c>
    </row>
    <row r="238" spans="1:36" ht="14.4" x14ac:dyDescent="0.3">
      <c r="A238" s="1" t="s">
        <v>479</v>
      </c>
      <c r="B238" s="1" t="s">
        <v>480</v>
      </c>
      <c r="C238" s="1" t="s">
        <v>7</v>
      </c>
      <c r="D238" s="1" t="s">
        <v>8</v>
      </c>
      <c r="E238" s="3">
        <v>47.185185199999999</v>
      </c>
      <c r="F238" s="3">
        <v>47.079727099999999</v>
      </c>
      <c r="G238" s="3">
        <v>46.974269</v>
      </c>
      <c r="H238" s="3">
        <v>46.8688109</v>
      </c>
      <c r="I238" s="3">
        <v>46.7633528</v>
      </c>
      <c r="J238" s="3">
        <v>46.6578947</v>
      </c>
      <c r="K238" s="3">
        <v>46.5524366</v>
      </c>
      <c r="L238" s="3">
        <v>46.446978600000001</v>
      </c>
      <c r="M238" s="3">
        <v>46.341520500000001</v>
      </c>
      <c r="N238" s="3">
        <v>46.236062400000002</v>
      </c>
      <c r="O238" s="3">
        <v>46.130604300000002</v>
      </c>
      <c r="P238" s="3">
        <v>46.047953200000002</v>
      </c>
      <c r="Q238" s="3">
        <v>45.965302100000002</v>
      </c>
      <c r="R238" s="3">
        <v>45.882651099999997</v>
      </c>
      <c r="S238" s="3">
        <v>45.8</v>
      </c>
      <c r="T238" s="3">
        <v>45.717348899999998</v>
      </c>
      <c r="U238" s="3">
        <v>45.634697899999999</v>
      </c>
      <c r="V238" s="3">
        <v>45.552046799999999</v>
      </c>
      <c r="W238" s="3">
        <v>45.4693957</v>
      </c>
      <c r="X238" s="3">
        <v>45.3867446</v>
      </c>
      <c r="Y238" s="3">
        <v>45.304093600000002</v>
      </c>
      <c r="Z238" s="3">
        <v>45.221442500000002</v>
      </c>
      <c r="AA238" s="3">
        <v>45.138791400000002</v>
      </c>
      <c r="AB238" s="3">
        <v>45.056140399999997</v>
      </c>
      <c r="AC238" s="3">
        <v>44.973489299999997</v>
      </c>
      <c r="AD238" s="3">
        <v>44.890838199999997</v>
      </c>
      <c r="AE238" s="3">
        <v>44.808966900000001</v>
      </c>
      <c r="AF238" s="3">
        <v>44.727095499999997</v>
      </c>
      <c r="AG238" s="3">
        <v>44.645224200000001</v>
      </c>
      <c r="AH238" s="3">
        <v>44.563352799999997</v>
      </c>
      <c r="AI238" s="3">
        <v>44.481481500000001</v>
      </c>
      <c r="AJ238" s="4">
        <f t="shared" si="8"/>
        <v>-2.7037036999999984</v>
      </c>
    </row>
    <row r="239" spans="1:36" ht="14.4" x14ac:dyDescent="0.3">
      <c r="A239" s="1" t="s">
        <v>481</v>
      </c>
      <c r="B239" s="1" t="s">
        <v>482</v>
      </c>
      <c r="C239" s="1" t="s">
        <v>7</v>
      </c>
      <c r="D239" s="1" t="s">
        <v>8</v>
      </c>
      <c r="E239" s="3">
        <v>4.1450624400000002</v>
      </c>
      <c r="F239" s="3">
        <v>4.1604286799999999</v>
      </c>
      <c r="G239" s="3">
        <v>4.1757949300000003</v>
      </c>
      <c r="H239" s="3">
        <v>4.19116117</v>
      </c>
      <c r="I239" s="3">
        <v>4.2065274199999996</v>
      </c>
      <c r="J239" s="3">
        <v>4.2218943099999997</v>
      </c>
      <c r="K239" s="3">
        <v>4.2372605600000002</v>
      </c>
      <c r="L239" s="3">
        <v>4.2526267999999998</v>
      </c>
      <c r="M239" s="3">
        <v>4.2679930500000003</v>
      </c>
      <c r="N239" s="3">
        <v>4.2833592899999999</v>
      </c>
      <c r="O239" s="3">
        <v>4.2987255400000004</v>
      </c>
      <c r="P239" s="3">
        <v>4.3113285299999999</v>
      </c>
      <c r="Q239" s="3">
        <v>4.3239315100000004</v>
      </c>
      <c r="R239" s="3">
        <v>4.3365345</v>
      </c>
      <c r="S239" s="3">
        <v>4.3491374900000004</v>
      </c>
      <c r="T239" s="3">
        <v>4.36174047</v>
      </c>
      <c r="U239" s="3">
        <v>4.3743434600000004</v>
      </c>
      <c r="V239" s="3">
        <v>4.3869464499999999</v>
      </c>
      <c r="W239" s="3">
        <v>4.3995494300000004</v>
      </c>
      <c r="X239" s="3">
        <v>4.41215242</v>
      </c>
      <c r="Y239" s="3">
        <v>4.4247554100000004</v>
      </c>
      <c r="Z239" s="3">
        <v>4.4346034999999997</v>
      </c>
      <c r="AA239" s="3">
        <v>4.4444515999999998</v>
      </c>
      <c r="AB239" s="3">
        <v>4.45429969</v>
      </c>
      <c r="AC239" s="3">
        <v>4.4641477900000002</v>
      </c>
      <c r="AD239" s="3">
        <v>4.4739958800000004</v>
      </c>
      <c r="AE239" s="3">
        <v>4.4838439799999996</v>
      </c>
      <c r="AF239" s="3">
        <v>4.4936920699999998</v>
      </c>
      <c r="AG239" s="3">
        <v>4.50354016</v>
      </c>
      <c r="AH239" s="3">
        <v>4.5133882600000002</v>
      </c>
      <c r="AI239" s="3">
        <v>4.5232363500000003</v>
      </c>
      <c r="AJ239" s="4">
        <f t="shared" si="8"/>
        <v>0.37817391000000011</v>
      </c>
    </row>
    <row r="240" spans="1:36" ht="14.4" x14ac:dyDescent="0.3">
      <c r="A240" s="1" t="s">
        <v>483</v>
      </c>
      <c r="B240" s="1" t="s">
        <v>484</v>
      </c>
      <c r="C240" s="1" t="s">
        <v>7</v>
      </c>
      <c r="D240" s="1" t="s">
        <v>8</v>
      </c>
      <c r="E240" s="3">
        <v>25.705183000000002</v>
      </c>
      <c r="F240" s="3">
        <v>25.752591500000001</v>
      </c>
      <c r="G240" s="3">
        <v>25.8</v>
      </c>
      <c r="H240" s="3">
        <v>25.8474085</v>
      </c>
      <c r="I240" s="3">
        <v>25.894817</v>
      </c>
      <c r="J240" s="3">
        <v>25.942225499999999</v>
      </c>
      <c r="K240" s="3">
        <v>25.989633999999999</v>
      </c>
      <c r="L240" s="3">
        <v>26.037042499999998</v>
      </c>
      <c r="M240" s="3">
        <v>26.084451000000001</v>
      </c>
      <c r="N240" s="3">
        <v>26.131859500000001</v>
      </c>
      <c r="O240" s="3">
        <v>26.179268</v>
      </c>
      <c r="P240" s="3">
        <v>26.3007198</v>
      </c>
      <c r="Q240" s="3">
        <v>26.4221717</v>
      </c>
      <c r="R240" s="3">
        <v>26.5436236</v>
      </c>
      <c r="S240" s="3">
        <v>26.665075399999999</v>
      </c>
      <c r="T240" s="3">
        <v>26.786527299999999</v>
      </c>
      <c r="U240" s="3">
        <v>26.9079792</v>
      </c>
      <c r="V240" s="3">
        <v>27.029430999999999</v>
      </c>
      <c r="W240" s="3">
        <v>27.150882899999999</v>
      </c>
      <c r="X240" s="3">
        <v>27.272334799999999</v>
      </c>
      <c r="Y240" s="3">
        <v>27.393786599999999</v>
      </c>
      <c r="Z240" s="3">
        <v>27.535990000000002</v>
      </c>
      <c r="AA240" s="3">
        <v>27.678193400000001</v>
      </c>
      <c r="AB240" s="3">
        <v>27.820396800000001</v>
      </c>
      <c r="AC240" s="3">
        <v>27.962600200000001</v>
      </c>
      <c r="AD240" s="3">
        <v>28.1048036</v>
      </c>
      <c r="AE240" s="3">
        <v>28.1048036</v>
      </c>
      <c r="AF240" s="3">
        <v>28.263529200000001</v>
      </c>
      <c r="AG240" s="3">
        <v>28.466094099999999</v>
      </c>
      <c r="AH240" s="3">
        <v>28.668788899999999</v>
      </c>
      <c r="AI240" s="3">
        <v>28.871483699999999</v>
      </c>
      <c r="AJ240" s="4">
        <f t="shared" si="8"/>
        <v>3.1663006999999972</v>
      </c>
    </row>
    <row r="241" spans="1:36" ht="14.4" x14ac:dyDescent="0.3">
      <c r="A241" s="1" t="s">
        <v>485</v>
      </c>
      <c r="B241" s="1" t="s">
        <v>486</v>
      </c>
      <c r="C241" s="1" t="s">
        <v>7</v>
      </c>
      <c r="D241" s="1" t="s">
        <v>8</v>
      </c>
      <c r="E241" s="3">
        <v>33.3333333</v>
      </c>
      <c r="F241" s="3">
        <v>33.3333333</v>
      </c>
      <c r="G241" s="3">
        <v>33.3333333</v>
      </c>
      <c r="H241" s="3">
        <v>33.3333333</v>
      </c>
      <c r="I241" s="3">
        <v>33.3333333</v>
      </c>
      <c r="J241" s="3">
        <v>33.3333333</v>
      </c>
      <c r="K241" s="3">
        <v>33.3333333</v>
      </c>
      <c r="L241" s="3">
        <v>33.3333333</v>
      </c>
      <c r="M241" s="3">
        <v>33.3333333</v>
      </c>
      <c r="N241" s="3">
        <v>33.3333333</v>
      </c>
      <c r="O241" s="3">
        <v>33.3333333</v>
      </c>
      <c r="P241" s="3">
        <v>33.3333333</v>
      </c>
      <c r="Q241" s="3">
        <v>33.3333333</v>
      </c>
      <c r="R241" s="3">
        <v>33.3333333</v>
      </c>
      <c r="S241" s="3">
        <v>33.3333333</v>
      </c>
      <c r="T241" s="3">
        <v>33.3333333</v>
      </c>
      <c r="U241" s="3">
        <v>33.3333333</v>
      </c>
      <c r="V241" s="3">
        <v>33.3333333</v>
      </c>
      <c r="W241" s="3">
        <v>33.3333333</v>
      </c>
      <c r="X241" s="3">
        <v>33.3333333</v>
      </c>
      <c r="Y241" s="3">
        <v>33.3333333</v>
      </c>
      <c r="Z241" s="3">
        <v>33.3333333</v>
      </c>
      <c r="AA241" s="3">
        <v>33.3333333</v>
      </c>
      <c r="AB241" s="3">
        <v>33.3333333</v>
      </c>
      <c r="AC241" s="3">
        <v>33.3333333</v>
      </c>
      <c r="AD241" s="3">
        <v>33.3333333</v>
      </c>
      <c r="AE241" s="3">
        <v>33.3333333</v>
      </c>
      <c r="AF241" s="3">
        <v>33.3333333</v>
      </c>
      <c r="AG241" s="3">
        <v>33.3333333</v>
      </c>
      <c r="AH241" s="3">
        <v>33.3333333</v>
      </c>
      <c r="AI241" s="3">
        <v>33.3333333</v>
      </c>
      <c r="AJ241" s="4">
        <f t="shared" si="8"/>
        <v>0</v>
      </c>
    </row>
    <row r="242" spans="1:36" ht="14.4" x14ac:dyDescent="0.3">
      <c r="A242" s="1" t="s">
        <v>487</v>
      </c>
      <c r="B242" s="1" t="s">
        <v>488</v>
      </c>
      <c r="C242" s="1" t="s">
        <v>7</v>
      </c>
      <c r="D242" s="1" t="s">
        <v>8</v>
      </c>
      <c r="E242" s="3">
        <v>64.788902699999994</v>
      </c>
      <c r="F242" s="3">
        <v>64.368943299999998</v>
      </c>
      <c r="G242" s="3">
        <v>63.948984000000003</v>
      </c>
      <c r="H242" s="3">
        <v>63.5290246</v>
      </c>
      <c r="I242" s="3">
        <v>63.109065299999997</v>
      </c>
      <c r="J242" s="3">
        <v>62.689105900000001</v>
      </c>
      <c r="K242" s="3">
        <v>62.269146499999998</v>
      </c>
      <c r="L242" s="3">
        <v>61.849187200000003</v>
      </c>
      <c r="M242" s="3">
        <v>61.4292278</v>
      </c>
      <c r="N242" s="3">
        <v>61.009268499999997</v>
      </c>
      <c r="O242" s="3">
        <v>60.589309100000001</v>
      </c>
      <c r="P242" s="3">
        <v>60.169349699999998</v>
      </c>
      <c r="Q242" s="3">
        <v>59.749390400000003</v>
      </c>
      <c r="R242" s="3">
        <v>59.329431</v>
      </c>
      <c r="S242" s="3">
        <v>58.909471699999997</v>
      </c>
      <c r="T242" s="3">
        <v>58.489512300000001</v>
      </c>
      <c r="U242" s="3">
        <v>58.069552899999998</v>
      </c>
      <c r="V242" s="3">
        <v>57.649593600000003</v>
      </c>
      <c r="W242" s="3">
        <v>57.2296342</v>
      </c>
      <c r="X242" s="3">
        <v>56.809674899999997</v>
      </c>
      <c r="Y242" s="3">
        <v>56.389715500000001</v>
      </c>
      <c r="Z242" s="3">
        <v>55.969753900000001</v>
      </c>
      <c r="AA242" s="3">
        <v>55.5497923</v>
      </c>
      <c r="AB242" s="3">
        <v>55.129830699999999</v>
      </c>
      <c r="AC242" s="3">
        <v>54.709868999999998</v>
      </c>
      <c r="AD242" s="3">
        <v>54.289907399999997</v>
      </c>
      <c r="AE242" s="3">
        <v>53.760442500000003</v>
      </c>
      <c r="AF242" s="3">
        <v>53.230977600000003</v>
      </c>
      <c r="AG242" s="3">
        <v>52.701512800000003</v>
      </c>
      <c r="AH242" s="3">
        <v>52.172047900000003</v>
      </c>
      <c r="AI242" s="3">
        <v>51.642583000000002</v>
      </c>
      <c r="AJ242" s="4">
        <f t="shared" si="8"/>
        <v>-13.146319699999992</v>
      </c>
    </row>
    <row r="243" spans="1:36" ht="14.4" x14ac:dyDescent="0.3">
      <c r="A243" s="1" t="s">
        <v>489</v>
      </c>
      <c r="B243" s="1" t="s">
        <v>490</v>
      </c>
      <c r="C243" s="1" t="s">
        <v>7</v>
      </c>
      <c r="D243" s="1" t="s">
        <v>8</v>
      </c>
      <c r="E243" s="3">
        <v>17.894349600000002</v>
      </c>
      <c r="F243" s="3">
        <v>17.687893500000001</v>
      </c>
      <c r="G243" s="3">
        <v>17.481437400000001</v>
      </c>
      <c r="H243" s="3">
        <v>17.274981199999999</v>
      </c>
      <c r="I243" s="3">
        <v>17.068525099999999</v>
      </c>
      <c r="J243" s="3">
        <v>16.862069000000002</v>
      </c>
      <c r="K243" s="3">
        <v>16.6556128</v>
      </c>
      <c r="L243" s="3">
        <v>16.4491567</v>
      </c>
      <c r="M243" s="3">
        <v>16.242700599999999</v>
      </c>
      <c r="N243" s="3">
        <v>16.036244400000001</v>
      </c>
      <c r="O243" s="3">
        <v>15.829788300000001</v>
      </c>
      <c r="P243" s="3">
        <v>15.6233272</v>
      </c>
      <c r="Q243" s="3">
        <v>15.416866000000001</v>
      </c>
      <c r="R243" s="3">
        <v>15.2104049</v>
      </c>
      <c r="S243" s="3">
        <v>15.003943700000001</v>
      </c>
      <c r="T243" s="3">
        <v>14.7974826</v>
      </c>
      <c r="U243" s="3">
        <v>14.5910215</v>
      </c>
      <c r="V243" s="3">
        <v>14.3845603</v>
      </c>
      <c r="W243" s="3">
        <v>14.1780992</v>
      </c>
      <c r="X243" s="3">
        <v>13.9716381</v>
      </c>
      <c r="Y243" s="3">
        <v>13.716437300000001</v>
      </c>
      <c r="Z243" s="3">
        <v>13.510712099999999</v>
      </c>
      <c r="AA243" s="3">
        <v>13.304987000000001</v>
      </c>
      <c r="AB243" s="3">
        <v>13.0992619</v>
      </c>
      <c r="AC243" s="3">
        <v>12.8935368</v>
      </c>
      <c r="AD243" s="3">
        <v>12.687811699999999</v>
      </c>
      <c r="AE243" s="3">
        <v>12.482096500000001</v>
      </c>
      <c r="AF243" s="3">
        <v>12.2763814</v>
      </c>
      <c r="AG243" s="3">
        <v>12.070666299999999</v>
      </c>
      <c r="AH243" s="3">
        <v>11.8649013</v>
      </c>
      <c r="AI243" s="3">
        <v>11.659186099999999</v>
      </c>
      <c r="AJ243" s="4">
        <f t="shared" si="8"/>
        <v>-6.2351635000000023</v>
      </c>
    </row>
    <row r="244" spans="1:36" ht="14.4" x14ac:dyDescent="0.3">
      <c r="A244" s="1" t="s">
        <v>491</v>
      </c>
      <c r="B244" s="1" t="s">
        <v>492</v>
      </c>
      <c r="C244" s="1" t="s">
        <v>7</v>
      </c>
      <c r="D244" s="1" t="s">
        <v>8</v>
      </c>
      <c r="E244" s="3">
        <v>16.007594699999999</v>
      </c>
      <c r="F244" s="3">
        <v>16.007594699999999</v>
      </c>
      <c r="G244" s="3">
        <v>16.089065300000001</v>
      </c>
      <c r="H244" s="3">
        <v>16.129800599999999</v>
      </c>
      <c r="I244" s="3">
        <v>16.170535900000001</v>
      </c>
      <c r="J244" s="3">
        <v>16.2112713</v>
      </c>
      <c r="K244" s="3">
        <v>16.252006600000001</v>
      </c>
      <c r="L244" s="3">
        <v>16.292741899999999</v>
      </c>
      <c r="M244" s="3">
        <v>16.333477200000001</v>
      </c>
      <c r="N244" s="3">
        <v>16.374212499999999</v>
      </c>
      <c r="O244" s="3">
        <v>16.4149478</v>
      </c>
      <c r="P244" s="3">
        <v>16.421506900000001</v>
      </c>
      <c r="Q244" s="3">
        <v>16.428349499999999</v>
      </c>
      <c r="R244" s="3">
        <v>16.434908700000001</v>
      </c>
      <c r="S244" s="3">
        <v>16.441467899999999</v>
      </c>
      <c r="T244" s="3">
        <v>16.4468915</v>
      </c>
      <c r="U244" s="3">
        <v>16.4540182</v>
      </c>
      <c r="V244" s="3">
        <v>16.461429599999999</v>
      </c>
      <c r="W244" s="3">
        <v>16.468273100000001</v>
      </c>
      <c r="X244" s="3">
        <v>16.474832599999999</v>
      </c>
      <c r="Y244" s="3">
        <v>16.481392</v>
      </c>
      <c r="Z244" s="3">
        <v>16.5190223</v>
      </c>
      <c r="AA244" s="3">
        <v>16.5566526</v>
      </c>
      <c r="AB244" s="3">
        <v>16.594283000000001</v>
      </c>
      <c r="AC244" s="3">
        <v>16.632774600000001</v>
      </c>
      <c r="AD244" s="3">
        <v>16.6704069</v>
      </c>
      <c r="AE244" s="3">
        <v>16.682490600000001</v>
      </c>
      <c r="AF244" s="3">
        <v>16.694286200000001</v>
      </c>
      <c r="AG244" s="3">
        <v>16.703486399999999</v>
      </c>
      <c r="AH244" s="3">
        <v>16.713841899999998</v>
      </c>
      <c r="AI244" s="3">
        <v>16.724197400000001</v>
      </c>
      <c r="AJ244" s="4">
        <f t="shared" si="8"/>
        <v>0.71660270000000281</v>
      </c>
    </row>
    <row r="245" spans="1:36" ht="14.4" x14ac:dyDescent="0.3">
      <c r="A245" s="1" t="s">
        <v>493</v>
      </c>
      <c r="B245" s="1" t="s">
        <v>494</v>
      </c>
      <c r="C245" s="1" t="s">
        <v>7</v>
      </c>
      <c r="D245" s="1" t="s">
        <v>8</v>
      </c>
      <c r="E245" s="3">
        <v>38.484561200000002</v>
      </c>
      <c r="F245" s="3">
        <v>38.426378</v>
      </c>
      <c r="G245" s="3">
        <v>38.364675699999999</v>
      </c>
      <c r="H245" s="3">
        <v>38.308884300000003</v>
      </c>
      <c r="I245" s="3">
        <v>38.253884300000003</v>
      </c>
      <c r="J245" s="3">
        <v>38.197534900000001</v>
      </c>
      <c r="K245" s="3">
        <v>38.139379099999999</v>
      </c>
      <c r="L245" s="3">
        <v>38.080448199999999</v>
      </c>
      <c r="M245" s="3">
        <v>38.040391</v>
      </c>
      <c r="N245" s="3">
        <v>37.977086700000001</v>
      </c>
      <c r="O245" s="3">
        <v>37.923415599999998</v>
      </c>
      <c r="P245" s="3">
        <v>37.8831214</v>
      </c>
      <c r="Q245" s="3">
        <v>37.843428000000003</v>
      </c>
      <c r="R245" s="3">
        <v>37.802108799999999</v>
      </c>
      <c r="S245" s="3">
        <v>37.760657899999998</v>
      </c>
      <c r="T245" s="3">
        <v>37.719378800000001</v>
      </c>
      <c r="U245" s="3">
        <v>37.685480900000002</v>
      </c>
      <c r="V245" s="3">
        <v>37.645310299999998</v>
      </c>
      <c r="W245" s="3">
        <v>37.605528200000002</v>
      </c>
      <c r="X245" s="3">
        <v>37.566889500000002</v>
      </c>
      <c r="Y245" s="3">
        <v>37.526454800000003</v>
      </c>
      <c r="Z245" s="3">
        <v>37.515086799999999</v>
      </c>
      <c r="AA245" s="3">
        <v>37.504355599999997</v>
      </c>
      <c r="AB245" s="3">
        <v>37.4951905</v>
      </c>
      <c r="AC245" s="3">
        <v>37.484421500000003</v>
      </c>
      <c r="AD245" s="3">
        <v>37.473382299999997</v>
      </c>
      <c r="AE245" s="3">
        <v>37.464705500000001</v>
      </c>
      <c r="AF245" s="3">
        <v>37.4434939</v>
      </c>
      <c r="AG245" s="3">
        <v>37.439457400000002</v>
      </c>
      <c r="AH245" s="3">
        <v>37.4311784</v>
      </c>
      <c r="AI245" s="3">
        <v>37.424322600000004</v>
      </c>
      <c r="AJ245" s="4">
        <f t="shared" si="8"/>
        <v>-1.0602385999999981</v>
      </c>
    </row>
    <row r="246" spans="1:36" ht="14.4" x14ac:dyDescent="0.3">
      <c r="A246" s="1" t="s">
        <v>495</v>
      </c>
      <c r="B246" s="1" t="s">
        <v>496</v>
      </c>
      <c r="C246" s="1" t="s">
        <v>7</v>
      </c>
      <c r="D246" s="1" t="s">
        <v>8</v>
      </c>
      <c r="E246" s="3">
        <v>4.5594789200000001</v>
      </c>
      <c r="F246" s="3">
        <v>4.8857273499999998</v>
      </c>
      <c r="G246" s="3">
        <v>5.2119757699999996</v>
      </c>
      <c r="H246" s="3">
        <v>5.5382242000000002</v>
      </c>
      <c r="I246" s="3">
        <v>5.8644726299999999</v>
      </c>
      <c r="J246" s="3">
        <v>6.1907210600000004</v>
      </c>
      <c r="K246" s="3">
        <v>6.5169694900000001</v>
      </c>
      <c r="L246" s="3">
        <v>6.8432179199999998</v>
      </c>
      <c r="M246" s="3">
        <v>7.1694663500000004</v>
      </c>
      <c r="N246" s="3">
        <v>7.4957147800000001</v>
      </c>
      <c r="O246" s="3">
        <v>7.8219631999999999</v>
      </c>
      <c r="P246" s="3">
        <v>8.02896812</v>
      </c>
      <c r="Q246" s="3">
        <v>8.2359730300000003</v>
      </c>
      <c r="R246" s="3">
        <v>8.4429779499999995</v>
      </c>
      <c r="S246" s="3">
        <v>8.6499828599999997</v>
      </c>
      <c r="T246" s="3">
        <v>8.8569877699999999</v>
      </c>
      <c r="U246" s="3">
        <v>9.0639926899999992</v>
      </c>
      <c r="V246" s="3">
        <v>9.2709975999999994</v>
      </c>
      <c r="W246" s="3">
        <v>9.4780025099999996</v>
      </c>
      <c r="X246" s="3">
        <v>9.6850074300000006</v>
      </c>
      <c r="Y246" s="3">
        <v>9.8920123400000008</v>
      </c>
      <c r="Z246" s="3">
        <v>10.107644799999999</v>
      </c>
      <c r="AA246" s="3">
        <v>10.323277300000001</v>
      </c>
      <c r="AB246" s="3">
        <v>10.538909800000001</v>
      </c>
      <c r="AC246" s="3">
        <v>10.754542300000001</v>
      </c>
      <c r="AD246" s="3">
        <v>10.970174800000001</v>
      </c>
      <c r="AE246" s="3">
        <v>11.1244429</v>
      </c>
      <c r="AF246" s="3">
        <v>11.244429200000001</v>
      </c>
      <c r="AG246" s="3">
        <v>11.3644155</v>
      </c>
      <c r="AH246" s="3">
        <v>11.484401800000001</v>
      </c>
      <c r="AI246" s="3">
        <v>11.6043881</v>
      </c>
      <c r="AJ246" s="4">
        <f t="shared" si="8"/>
        <v>7.0449091799999994</v>
      </c>
    </row>
    <row r="247" spans="1:36" ht="14.4" x14ac:dyDescent="0.3">
      <c r="A247" s="1" t="s">
        <v>497</v>
      </c>
      <c r="B247" s="1" t="s">
        <v>498</v>
      </c>
      <c r="C247" s="1" t="s">
        <v>7</v>
      </c>
      <c r="D247" s="1" t="s">
        <v>8</v>
      </c>
      <c r="E247" s="3">
        <v>33.022308199999998</v>
      </c>
      <c r="F247" s="3">
        <v>33.0341655</v>
      </c>
      <c r="G247" s="3">
        <v>33.046022700000002</v>
      </c>
      <c r="H247" s="3">
        <v>33.057879900000003</v>
      </c>
      <c r="I247" s="3">
        <v>33.069737199999999</v>
      </c>
      <c r="J247" s="3">
        <v>33.0815944</v>
      </c>
      <c r="K247" s="3">
        <v>33.093451700000003</v>
      </c>
      <c r="L247" s="3">
        <v>33.105308899999997</v>
      </c>
      <c r="M247" s="3">
        <v>33.117166099999999</v>
      </c>
      <c r="N247" s="3">
        <v>33.129023400000001</v>
      </c>
      <c r="O247" s="3">
        <v>33.130173599999999</v>
      </c>
      <c r="P247" s="3">
        <v>33.186755599999998</v>
      </c>
      <c r="Q247" s="3">
        <v>33.243337599999997</v>
      </c>
      <c r="R247" s="3">
        <v>33.299919699999997</v>
      </c>
      <c r="S247" s="3">
        <v>33.356501700000003</v>
      </c>
      <c r="T247" s="3">
        <v>33.413083700000001</v>
      </c>
      <c r="U247" s="3">
        <v>33.4696657</v>
      </c>
      <c r="V247" s="3">
        <v>33.5262478</v>
      </c>
      <c r="W247" s="3">
        <v>33.636063499999999</v>
      </c>
      <c r="X247" s="3">
        <v>33.692735200000001</v>
      </c>
      <c r="Y247" s="3">
        <v>33.749406899999997</v>
      </c>
      <c r="Z247" s="3">
        <v>33.779470099999998</v>
      </c>
      <c r="AA247" s="3">
        <v>33.809533199999997</v>
      </c>
      <c r="AB247" s="3">
        <v>33.839596299999997</v>
      </c>
      <c r="AC247" s="3">
        <v>33.869659400000003</v>
      </c>
      <c r="AD247" s="3">
        <v>33.899722500000003</v>
      </c>
      <c r="AE247" s="3">
        <v>33.899722500000003</v>
      </c>
      <c r="AF247" s="3">
        <v>33.866926399999997</v>
      </c>
      <c r="AG247" s="3">
        <v>33.866926399999997</v>
      </c>
      <c r="AH247" s="3">
        <v>33.866926399999997</v>
      </c>
      <c r="AI247" s="3">
        <v>33.866926399999997</v>
      </c>
      <c r="AJ247" s="4">
        <f t="shared" si="8"/>
        <v>0.84461819999999932</v>
      </c>
    </row>
    <row r="248" spans="1:36" ht="14.4" x14ac:dyDescent="0.3">
      <c r="A248" s="1" t="s">
        <v>499</v>
      </c>
      <c r="B248" s="1" t="s">
        <v>500</v>
      </c>
      <c r="C248" s="1" t="s">
        <v>7</v>
      </c>
      <c r="D248" s="1" t="s">
        <v>8</v>
      </c>
      <c r="E248" s="3">
        <v>7.1579689699999998</v>
      </c>
      <c r="F248" s="3">
        <v>7.1579689699999998</v>
      </c>
      <c r="G248" s="3">
        <v>6.1866205900000004</v>
      </c>
      <c r="H248" s="3">
        <v>6.2834917700000004</v>
      </c>
      <c r="I248" s="3">
        <v>6.3803631899999997</v>
      </c>
      <c r="J248" s="3">
        <v>6.4772346000000001</v>
      </c>
      <c r="K248" s="3">
        <v>6.5741060200000003</v>
      </c>
      <c r="L248" s="3">
        <v>6.6709774299999998</v>
      </c>
      <c r="M248" s="3">
        <v>6.7678486099999997</v>
      </c>
      <c r="N248" s="3">
        <v>6.86472003</v>
      </c>
      <c r="O248" s="3">
        <v>6.9615914400000003</v>
      </c>
      <c r="P248" s="3">
        <v>7.0528323899999998</v>
      </c>
      <c r="Q248" s="3">
        <v>7.1440733400000003</v>
      </c>
      <c r="R248" s="3">
        <v>7.2353142899999998</v>
      </c>
      <c r="S248" s="3">
        <v>7.3265552400000002</v>
      </c>
      <c r="T248" s="3">
        <v>7.4177961899999998</v>
      </c>
      <c r="U248" s="3">
        <v>7.5090371400000002</v>
      </c>
      <c r="V248" s="3">
        <v>7.6002780899999998</v>
      </c>
      <c r="W248" s="3">
        <v>7.6915190400000002</v>
      </c>
      <c r="X248" s="3">
        <v>7.7827599899999997</v>
      </c>
      <c r="Y248" s="3">
        <v>7.8740009400000002</v>
      </c>
      <c r="Z248" s="3">
        <v>7.9679360600000004</v>
      </c>
      <c r="AA248" s="3">
        <v>8.0618711800000007</v>
      </c>
      <c r="AB248" s="3">
        <v>8.1558063000000001</v>
      </c>
      <c r="AC248" s="3">
        <v>8.2497414199999994</v>
      </c>
      <c r="AD248" s="3">
        <v>8.0559975099999992</v>
      </c>
      <c r="AE248" s="3">
        <v>8.1398040799999993</v>
      </c>
      <c r="AF248" s="3">
        <v>8.1984625100000006</v>
      </c>
      <c r="AG248" s="3">
        <v>8.2577203800000003</v>
      </c>
      <c r="AH248" s="3">
        <v>8.3163736700000008</v>
      </c>
      <c r="AI248" s="3">
        <v>8.3750269500000005</v>
      </c>
      <c r="AJ248" s="4">
        <f t="shared" si="8"/>
        <v>1.2170579800000008</v>
      </c>
    </row>
    <row r="249" spans="1:36" ht="14.4" x14ac:dyDescent="0.3">
      <c r="A249" s="1" t="s">
        <v>501</v>
      </c>
      <c r="B249" s="1" t="s">
        <v>502</v>
      </c>
      <c r="C249" s="1" t="s">
        <v>7</v>
      </c>
      <c r="D249" s="1" t="s">
        <v>8</v>
      </c>
      <c r="E249" s="3">
        <v>70.615384599999999</v>
      </c>
      <c r="F249" s="3">
        <v>70.871794899999998</v>
      </c>
      <c r="G249" s="3">
        <v>71.128205100000002</v>
      </c>
      <c r="H249" s="3">
        <v>71.384615400000001</v>
      </c>
      <c r="I249" s="3">
        <v>71.641025600000006</v>
      </c>
      <c r="J249" s="3">
        <v>71.897435900000005</v>
      </c>
      <c r="K249" s="3">
        <v>72.153846200000004</v>
      </c>
      <c r="L249" s="3">
        <v>72.410256399999994</v>
      </c>
      <c r="M249" s="3">
        <v>72.666666699999993</v>
      </c>
      <c r="N249" s="3">
        <v>72.923076899999998</v>
      </c>
      <c r="O249" s="3">
        <v>73.179487199999997</v>
      </c>
      <c r="P249" s="3">
        <v>73.179487199999997</v>
      </c>
      <c r="Q249" s="3">
        <v>73.179487199999997</v>
      </c>
      <c r="R249" s="3">
        <v>73.179487199999997</v>
      </c>
      <c r="S249" s="3">
        <v>73.179487199999997</v>
      </c>
      <c r="T249" s="3">
        <v>73.179487199999997</v>
      </c>
      <c r="U249" s="3">
        <v>73.179487199999997</v>
      </c>
      <c r="V249" s="3">
        <v>73.179487199999997</v>
      </c>
      <c r="W249" s="3">
        <v>73.179487199999997</v>
      </c>
      <c r="X249" s="3">
        <v>73.179487199999997</v>
      </c>
      <c r="Y249" s="3">
        <v>73.179487199999997</v>
      </c>
      <c r="Z249" s="3">
        <v>73.179487199999997</v>
      </c>
      <c r="AA249" s="3">
        <v>73.179487199999997</v>
      </c>
      <c r="AB249" s="3">
        <v>73.179487199999997</v>
      </c>
      <c r="AC249" s="3">
        <v>73.179487199999997</v>
      </c>
      <c r="AD249" s="3">
        <v>73.179487199999997</v>
      </c>
      <c r="AE249" s="3">
        <v>73.179487199999997</v>
      </c>
      <c r="AF249" s="3">
        <v>73.179487199999997</v>
      </c>
      <c r="AG249" s="3">
        <v>73.179487199999997</v>
      </c>
      <c r="AH249" s="3">
        <v>73.179487199999997</v>
      </c>
      <c r="AI249" s="3">
        <v>73.179487199999997</v>
      </c>
      <c r="AJ249" s="4">
        <f t="shared" si="8"/>
        <v>2.5641025999999982</v>
      </c>
    </row>
    <row r="250" spans="1:36" ht="14.4" x14ac:dyDescent="0.3">
      <c r="A250" s="1" t="s">
        <v>503</v>
      </c>
      <c r="B250" s="1" t="s">
        <v>504</v>
      </c>
      <c r="C250" s="1" t="s">
        <v>7</v>
      </c>
      <c r="D250" s="1" t="s">
        <v>8</v>
      </c>
      <c r="E250" s="3">
        <v>58.983050800000001</v>
      </c>
      <c r="F250" s="3">
        <v>58.657105600000001</v>
      </c>
      <c r="G250" s="3">
        <v>58.331160400000002</v>
      </c>
      <c r="H250" s="3">
        <v>58.005215100000001</v>
      </c>
      <c r="I250" s="3">
        <v>57.679269900000001</v>
      </c>
      <c r="J250" s="3">
        <v>57.353324600000001</v>
      </c>
      <c r="K250" s="3">
        <v>57.027379400000001</v>
      </c>
      <c r="L250" s="3">
        <v>56.701434200000001</v>
      </c>
      <c r="M250" s="3">
        <v>56.375488900000001</v>
      </c>
      <c r="N250" s="3">
        <v>56.049543700000001</v>
      </c>
      <c r="O250" s="3">
        <v>55.7235984</v>
      </c>
      <c r="P250" s="3">
        <v>55.536987699999997</v>
      </c>
      <c r="Q250" s="3">
        <v>55.350377000000002</v>
      </c>
      <c r="R250" s="3">
        <v>55.163766199999998</v>
      </c>
      <c r="S250" s="3">
        <v>54.977155500000002</v>
      </c>
      <c r="T250" s="3">
        <v>54.790544799999999</v>
      </c>
      <c r="U250" s="3">
        <v>54.603934000000002</v>
      </c>
      <c r="V250" s="3">
        <v>54.4173233</v>
      </c>
      <c r="W250" s="3">
        <v>54.230712500000003</v>
      </c>
      <c r="X250" s="3">
        <v>54.0441018</v>
      </c>
      <c r="Y250" s="3">
        <v>53.857491099999997</v>
      </c>
      <c r="Z250" s="3">
        <v>53.6711071</v>
      </c>
      <c r="AA250" s="3">
        <v>53.484723099999997</v>
      </c>
      <c r="AB250" s="3">
        <v>53.2983391</v>
      </c>
      <c r="AC250" s="3">
        <v>53.111955100000003</v>
      </c>
      <c r="AD250" s="3">
        <v>52.925571099999999</v>
      </c>
      <c r="AE250" s="3">
        <v>52.767144700000003</v>
      </c>
      <c r="AF250" s="3">
        <v>52.6366759</v>
      </c>
      <c r="AG250" s="3">
        <v>52.534164699999998</v>
      </c>
      <c r="AH250" s="3">
        <v>52.459611099999996</v>
      </c>
      <c r="AI250" s="3">
        <v>52.413015100000003</v>
      </c>
      <c r="AJ250" s="4">
        <f t="shared" si="8"/>
        <v>-6.5700356999999983</v>
      </c>
    </row>
    <row r="251" spans="1:36" ht="14.4" x14ac:dyDescent="0.3">
      <c r="A251" s="1" t="s">
        <v>505</v>
      </c>
      <c r="B251" s="1" t="s">
        <v>506</v>
      </c>
      <c r="C251" s="1" t="s">
        <v>7</v>
      </c>
      <c r="D251" s="1" t="s">
        <v>8</v>
      </c>
      <c r="E251" s="3">
        <v>24.733333300000002</v>
      </c>
      <c r="F251" s="3">
        <v>24.7066667</v>
      </c>
      <c r="G251" s="3">
        <v>24.68</v>
      </c>
      <c r="H251" s="3">
        <v>24.6533333</v>
      </c>
      <c r="I251" s="3">
        <v>24.626666700000001</v>
      </c>
      <c r="J251" s="3">
        <v>24.6</v>
      </c>
      <c r="K251" s="3">
        <v>24.573333300000002</v>
      </c>
      <c r="L251" s="3">
        <v>24.546666699999999</v>
      </c>
      <c r="M251" s="3">
        <v>24.52</v>
      </c>
      <c r="N251" s="3">
        <v>24.4933333</v>
      </c>
      <c r="O251" s="3">
        <v>24.466666700000001</v>
      </c>
      <c r="P251" s="3">
        <v>24.446666700000002</v>
      </c>
      <c r="Q251" s="3">
        <v>24.426666699999998</v>
      </c>
      <c r="R251" s="3">
        <v>24.406666699999999</v>
      </c>
      <c r="S251" s="3">
        <v>24.386666699999999</v>
      </c>
      <c r="T251" s="3">
        <v>24.3666667</v>
      </c>
      <c r="U251" s="3">
        <v>24.3466667</v>
      </c>
      <c r="V251" s="3">
        <v>24.326666700000001</v>
      </c>
      <c r="W251" s="3">
        <v>24.306666700000001</v>
      </c>
      <c r="X251" s="3">
        <v>24.286666700000001</v>
      </c>
      <c r="Y251" s="3">
        <v>24.266666699999998</v>
      </c>
      <c r="Z251" s="3">
        <v>24.24</v>
      </c>
      <c r="AA251" s="3">
        <v>24.213333299999999</v>
      </c>
      <c r="AB251" s="3">
        <v>24.1866667</v>
      </c>
      <c r="AC251" s="3">
        <v>24.16</v>
      </c>
      <c r="AD251" s="3">
        <v>24.1333333</v>
      </c>
      <c r="AE251" s="3">
        <v>24.1333333</v>
      </c>
      <c r="AF251" s="3">
        <v>24.1333333</v>
      </c>
      <c r="AG251" s="3">
        <v>24.1333333</v>
      </c>
      <c r="AH251" s="3">
        <v>24.1333333</v>
      </c>
      <c r="AI251" s="3">
        <v>24.1333333</v>
      </c>
      <c r="AJ251" s="4">
        <f t="shared" si="8"/>
        <v>-0.60000000000000142</v>
      </c>
    </row>
    <row r="252" spans="1:36" ht="14.4" x14ac:dyDescent="0.3">
      <c r="A252" s="1" t="s">
        <v>507</v>
      </c>
      <c r="B252" s="1" t="s">
        <v>508</v>
      </c>
      <c r="C252" s="1" t="s">
        <v>7</v>
      </c>
      <c r="D252" s="1" t="s">
        <v>8</v>
      </c>
      <c r="E252" s="3">
        <v>70.114285699999996</v>
      </c>
      <c r="F252" s="3">
        <v>68.9514286</v>
      </c>
      <c r="G252" s="3">
        <v>67.788571399999995</v>
      </c>
      <c r="H252" s="3">
        <v>66.625714299999999</v>
      </c>
      <c r="I252" s="3">
        <v>65.462857099999994</v>
      </c>
      <c r="J252" s="3">
        <v>64.3</v>
      </c>
      <c r="K252" s="3">
        <v>63.137142900000001</v>
      </c>
      <c r="L252" s="3">
        <v>61.974285700000003</v>
      </c>
      <c r="M252" s="3">
        <v>60.811428599999999</v>
      </c>
      <c r="N252" s="3">
        <v>59.648571400000002</v>
      </c>
      <c r="O252" s="3">
        <v>58.485714299999998</v>
      </c>
      <c r="P252" s="3">
        <v>57.902857099999999</v>
      </c>
      <c r="Q252" s="3">
        <v>57.32</v>
      </c>
      <c r="R252" s="3">
        <v>56.737142900000002</v>
      </c>
      <c r="S252" s="3">
        <v>56.154285700000003</v>
      </c>
      <c r="T252" s="3">
        <v>55.571428599999997</v>
      </c>
      <c r="U252" s="3">
        <v>54.988571399999998</v>
      </c>
      <c r="V252" s="3">
        <v>54.4057143</v>
      </c>
      <c r="W252" s="3">
        <v>53.8228571</v>
      </c>
      <c r="X252" s="3">
        <v>53.24</v>
      </c>
      <c r="Y252" s="3">
        <v>52.657142899999997</v>
      </c>
      <c r="Z252" s="3">
        <v>53.074285699999997</v>
      </c>
      <c r="AA252" s="3">
        <v>53.491428599999999</v>
      </c>
      <c r="AB252" s="3">
        <v>53.9085714</v>
      </c>
      <c r="AC252" s="3">
        <v>54.325714300000001</v>
      </c>
      <c r="AD252" s="3">
        <v>54.742857100000002</v>
      </c>
      <c r="AE252" s="3">
        <v>55.171428599999999</v>
      </c>
      <c r="AF252" s="3">
        <v>55.6</v>
      </c>
      <c r="AG252" s="3">
        <v>56.028571399999997</v>
      </c>
      <c r="AH252" s="3">
        <v>56.457142900000001</v>
      </c>
      <c r="AI252" s="3">
        <v>56.885714299999997</v>
      </c>
      <c r="AJ252" s="4">
        <f t="shared" si="8"/>
        <v>-13.2285714</v>
      </c>
    </row>
    <row r="253" spans="1:36" ht="14.4" x14ac:dyDescent="0.3">
      <c r="A253" s="1" t="s">
        <v>509</v>
      </c>
      <c r="B253" s="1" t="s">
        <v>510</v>
      </c>
      <c r="C253" s="1" t="s">
        <v>7</v>
      </c>
      <c r="D253" s="1" t="s">
        <v>8</v>
      </c>
      <c r="E253" s="3">
        <v>28.805677599999999</v>
      </c>
      <c r="F253" s="3">
        <v>29.545528300000001</v>
      </c>
      <c r="G253" s="3">
        <v>30.285378999999999</v>
      </c>
      <c r="H253" s="3">
        <v>31.025229700000001</v>
      </c>
      <c r="I253" s="3">
        <v>31.765080300000001</v>
      </c>
      <c r="J253" s="3">
        <v>32.504930999999999</v>
      </c>
      <c r="K253" s="3">
        <v>33.244781699999997</v>
      </c>
      <c r="L253" s="3">
        <v>33.984632400000002</v>
      </c>
      <c r="M253" s="3">
        <v>34.7244831</v>
      </c>
      <c r="N253" s="3">
        <v>35.464333799999999</v>
      </c>
      <c r="O253" s="3">
        <v>37.883687999999999</v>
      </c>
      <c r="P253" s="3">
        <v>38.395628299999998</v>
      </c>
      <c r="Q253" s="3">
        <v>38.978882599999999</v>
      </c>
      <c r="R253" s="3">
        <v>39.556513000000002</v>
      </c>
      <c r="S253" s="3">
        <v>40.073802700000002</v>
      </c>
      <c r="T253" s="3">
        <v>40.5910923</v>
      </c>
      <c r="U253" s="3">
        <v>41.108381999999999</v>
      </c>
      <c r="V253" s="3">
        <v>41.625671599999997</v>
      </c>
      <c r="W253" s="3">
        <v>42.142961300000003</v>
      </c>
      <c r="X253" s="3">
        <v>42.660250900000001</v>
      </c>
      <c r="Y253" s="3">
        <v>43.1775406</v>
      </c>
      <c r="Z253" s="3">
        <v>43.612152100000003</v>
      </c>
      <c r="AA253" s="3">
        <v>44.046763599999998</v>
      </c>
      <c r="AB253" s="3">
        <v>44.481375200000002</v>
      </c>
      <c r="AC253" s="3">
        <v>44.915986699999998</v>
      </c>
      <c r="AD253" s="3">
        <v>45.350598300000001</v>
      </c>
      <c r="AE253" s="3">
        <v>46.369142500000002</v>
      </c>
      <c r="AF253" s="3">
        <v>46.490760199999997</v>
      </c>
      <c r="AG253" s="3">
        <v>46.7355436</v>
      </c>
      <c r="AH253" s="3">
        <v>46.980327000000003</v>
      </c>
      <c r="AI253" s="3">
        <v>47.2251105</v>
      </c>
      <c r="AJ253" s="4">
        <f t="shared" si="8"/>
        <v>18.4194329</v>
      </c>
    </row>
    <row r="254" spans="1:36" ht="14.4" x14ac:dyDescent="0.3">
      <c r="A254" s="1" t="s">
        <v>511</v>
      </c>
      <c r="B254" s="1" t="s">
        <v>512</v>
      </c>
      <c r="C254" s="1" t="s">
        <v>7</v>
      </c>
      <c r="D254" s="1" t="s">
        <v>8</v>
      </c>
      <c r="E254" s="3">
        <v>36.283839200000003</v>
      </c>
      <c r="F254" s="3">
        <v>36.283839200000003</v>
      </c>
      <c r="G254" s="3">
        <v>36.283839200000003</v>
      </c>
      <c r="H254" s="3">
        <v>36.283839200000003</v>
      </c>
      <c r="I254" s="3">
        <v>36.283839200000003</v>
      </c>
      <c r="J254" s="3">
        <v>36.283839200000003</v>
      </c>
      <c r="K254" s="3">
        <v>36.283839200000003</v>
      </c>
      <c r="L254" s="3">
        <v>36.283839200000003</v>
      </c>
      <c r="M254" s="3">
        <v>36.283839200000003</v>
      </c>
      <c r="N254" s="3">
        <v>36.283839200000003</v>
      </c>
      <c r="O254" s="3">
        <v>36.283839200000003</v>
      </c>
      <c r="P254" s="3">
        <v>36.283839200000003</v>
      </c>
      <c r="Q254" s="3">
        <v>36.283839200000003</v>
      </c>
      <c r="R254" s="3">
        <v>36.283839200000003</v>
      </c>
      <c r="S254" s="3">
        <v>36.283839200000003</v>
      </c>
      <c r="T254" s="3">
        <v>36.283839200000003</v>
      </c>
      <c r="U254" s="3">
        <v>36.283839200000003</v>
      </c>
      <c r="V254" s="3">
        <v>36.283839200000003</v>
      </c>
      <c r="W254" s="3">
        <v>36.283839200000003</v>
      </c>
      <c r="X254" s="3">
        <v>36.283839200000003</v>
      </c>
      <c r="Y254" s="3">
        <v>36.283839200000003</v>
      </c>
      <c r="Z254" s="3">
        <v>36.283839200000003</v>
      </c>
      <c r="AA254" s="3">
        <v>36.283839200000003</v>
      </c>
      <c r="AB254" s="3">
        <v>36.283839200000003</v>
      </c>
      <c r="AC254" s="3">
        <v>36.283839200000003</v>
      </c>
      <c r="AD254" s="3">
        <v>36.283839200000003</v>
      </c>
      <c r="AE254" s="3">
        <v>36.283839200000003</v>
      </c>
      <c r="AF254" s="3">
        <v>36.283839200000003</v>
      </c>
      <c r="AG254" s="3">
        <v>36.283839200000003</v>
      </c>
      <c r="AH254" s="3">
        <v>36.283839200000003</v>
      </c>
      <c r="AI254" s="3">
        <v>36.283839200000003</v>
      </c>
      <c r="AJ254" s="4">
        <f t="shared" si="8"/>
        <v>0</v>
      </c>
    </row>
    <row r="255" spans="1:36" ht="14.4" x14ac:dyDescent="0.3">
      <c r="A255" s="1" t="s">
        <v>513</v>
      </c>
      <c r="B255" s="1" t="s">
        <v>514</v>
      </c>
      <c r="C255" s="1" t="s">
        <v>7</v>
      </c>
      <c r="D255" s="1" t="s">
        <v>8</v>
      </c>
      <c r="E255" s="3">
        <v>31.624508599999999</v>
      </c>
      <c r="F255" s="3">
        <v>31.568815300000001</v>
      </c>
      <c r="G255" s="3">
        <v>31.6204672</v>
      </c>
      <c r="H255" s="3">
        <v>31.565508999999999</v>
      </c>
      <c r="I255" s="3">
        <v>31.512495600000001</v>
      </c>
      <c r="J255" s="3">
        <v>31.457343900000001</v>
      </c>
      <c r="K255" s="3">
        <v>31.401586200000001</v>
      </c>
      <c r="L255" s="3">
        <v>31.3290221</v>
      </c>
      <c r="M255" s="3">
        <v>31.279437699999999</v>
      </c>
      <c r="N255" s="3">
        <v>31.221965000000001</v>
      </c>
      <c r="O255" s="3">
        <v>31.170690199999999</v>
      </c>
      <c r="P255" s="3">
        <v>31.1358198</v>
      </c>
      <c r="Q255" s="3">
        <v>31.1012044</v>
      </c>
      <c r="R255" s="3">
        <v>31.066089900000001</v>
      </c>
      <c r="S255" s="3">
        <v>31.031362900000001</v>
      </c>
      <c r="T255" s="3">
        <v>30.996238000000002</v>
      </c>
      <c r="U255" s="3">
        <v>30.971230800000001</v>
      </c>
      <c r="V255" s="3">
        <v>30.9450298</v>
      </c>
      <c r="W255" s="3">
        <v>30.9226052</v>
      </c>
      <c r="X255" s="3">
        <v>30.8967481</v>
      </c>
      <c r="Y255" s="3">
        <v>30.869964100000001</v>
      </c>
      <c r="Z255" s="3">
        <v>30.844389100000001</v>
      </c>
      <c r="AA255" s="3">
        <v>30.819846800000001</v>
      </c>
      <c r="AB255" s="3">
        <v>30.794674000000001</v>
      </c>
      <c r="AC255" s="3">
        <v>30.769568</v>
      </c>
      <c r="AD255" s="3">
        <v>30.744264399999999</v>
      </c>
      <c r="AE255" s="3">
        <v>30.716420899999999</v>
      </c>
      <c r="AF255" s="5"/>
      <c r="AG255" s="5"/>
      <c r="AH255" s="5"/>
      <c r="AI255" s="5"/>
      <c r="AJ255" s="4">
        <f t="shared" si="8"/>
        <v>-31.624508599999999</v>
      </c>
    </row>
    <row r="256" spans="1:36" ht="14.4" x14ac:dyDescent="0.3">
      <c r="A256" s="1" t="s">
        <v>515</v>
      </c>
      <c r="B256" s="1" t="s">
        <v>516</v>
      </c>
      <c r="C256" s="1" t="s">
        <v>7</v>
      </c>
      <c r="D256" s="1" t="s">
        <v>8</v>
      </c>
      <c r="E256" s="3">
        <v>62.236749099999997</v>
      </c>
      <c r="F256" s="3">
        <v>62.066431100000003</v>
      </c>
      <c r="G256" s="3">
        <v>61.896113100000001</v>
      </c>
      <c r="H256" s="3">
        <v>61.725795099999999</v>
      </c>
      <c r="I256" s="3">
        <v>61.555477000000003</v>
      </c>
      <c r="J256" s="3">
        <v>61.385159000000002</v>
      </c>
      <c r="K256" s="3">
        <v>61.214841</v>
      </c>
      <c r="L256" s="3">
        <v>61.044522999999998</v>
      </c>
      <c r="M256" s="3">
        <v>60.874204900000002</v>
      </c>
      <c r="N256" s="3">
        <v>60.703886900000001</v>
      </c>
      <c r="O256" s="3">
        <v>60.533568899999999</v>
      </c>
      <c r="P256" s="3">
        <v>60.363250899999997</v>
      </c>
      <c r="Q256" s="3">
        <v>60.192932900000002</v>
      </c>
      <c r="R256" s="3">
        <v>60.022614799999999</v>
      </c>
      <c r="S256" s="3">
        <v>59.852296799999998</v>
      </c>
      <c r="T256" s="3">
        <v>59.681978800000003</v>
      </c>
      <c r="U256" s="3">
        <v>59.511660800000001</v>
      </c>
      <c r="V256" s="3">
        <v>59.3413428</v>
      </c>
      <c r="W256" s="3">
        <v>59.171024699999997</v>
      </c>
      <c r="X256" s="3">
        <v>59.000706700000002</v>
      </c>
      <c r="Y256" s="3">
        <v>58.8303887</v>
      </c>
      <c r="Z256" s="3">
        <v>58.659363999999997</v>
      </c>
      <c r="AA256" s="3">
        <v>58.488339199999999</v>
      </c>
      <c r="AB256" s="3">
        <v>58.317314500000002</v>
      </c>
      <c r="AC256" s="3">
        <v>58.146289799999998</v>
      </c>
      <c r="AD256" s="3">
        <v>57.975265</v>
      </c>
      <c r="AE256" s="3">
        <v>57.805653700000001</v>
      </c>
      <c r="AF256" s="3">
        <v>57.636042400000001</v>
      </c>
      <c r="AG256" s="3">
        <v>57.466431100000001</v>
      </c>
      <c r="AH256" s="3">
        <v>57.296819800000002</v>
      </c>
      <c r="AI256" s="3">
        <v>57.127208500000002</v>
      </c>
      <c r="AJ256" s="4">
        <f t="shared" si="8"/>
        <v>-5.1095405999999954</v>
      </c>
    </row>
    <row r="257" spans="1:36" ht="14.4" x14ac:dyDescent="0.3">
      <c r="A257" s="1" t="s">
        <v>517</v>
      </c>
      <c r="B257" s="1" t="s">
        <v>518</v>
      </c>
      <c r="C257" s="1" t="s">
        <v>7</v>
      </c>
      <c r="D257" s="1" t="s">
        <v>8</v>
      </c>
      <c r="E257" s="3">
        <v>1.0398318099999999</v>
      </c>
      <c r="F257" s="3">
        <v>1.0398318099999999</v>
      </c>
      <c r="G257" s="3">
        <v>1.0398318099999999</v>
      </c>
      <c r="H257" s="3">
        <v>1.0398318099999999</v>
      </c>
      <c r="I257" s="3">
        <v>1.0398318099999999</v>
      </c>
      <c r="J257" s="3">
        <v>1.0398318099999999</v>
      </c>
      <c r="K257" s="3">
        <v>1.0398318099999999</v>
      </c>
      <c r="L257" s="3">
        <v>1.0398318099999999</v>
      </c>
      <c r="M257" s="3">
        <v>1.0398318099999999</v>
      </c>
      <c r="N257" s="3">
        <v>1.0398318099999999</v>
      </c>
      <c r="O257" s="3">
        <v>1.0398318099999999</v>
      </c>
      <c r="P257" s="3">
        <v>1.0398318099999999</v>
      </c>
      <c r="Q257" s="3">
        <v>1.0398318099999999</v>
      </c>
      <c r="R257" s="3">
        <v>1.0398318099999999</v>
      </c>
      <c r="S257" s="3">
        <v>1.0398318099999999</v>
      </c>
      <c r="T257" s="3">
        <v>1.0398318099999999</v>
      </c>
      <c r="U257" s="3">
        <v>1.0398318099999999</v>
      </c>
      <c r="V257" s="3">
        <v>1.0398318099999999</v>
      </c>
      <c r="W257" s="3">
        <v>1.0398318099999999</v>
      </c>
      <c r="X257" s="3">
        <v>1.0398318099999999</v>
      </c>
      <c r="Y257" s="3">
        <v>1.0398318099999999</v>
      </c>
      <c r="Z257" s="3">
        <v>1.0398318099999999</v>
      </c>
      <c r="AA257" s="3">
        <v>1.0398318099999999</v>
      </c>
      <c r="AB257" s="3">
        <v>1.0398318099999999</v>
      </c>
      <c r="AC257" s="3">
        <v>1.0398318099999999</v>
      </c>
      <c r="AD257" s="3">
        <v>1.0398318099999999</v>
      </c>
      <c r="AE257" s="3">
        <v>1.0398318099999999</v>
      </c>
      <c r="AF257" s="3">
        <v>1.0398318099999999</v>
      </c>
      <c r="AG257" s="3">
        <v>1.0398318099999999</v>
      </c>
      <c r="AH257" s="3">
        <v>1.0398318099999999</v>
      </c>
      <c r="AI257" s="3">
        <v>1.0398318099999999</v>
      </c>
      <c r="AJ257" s="4">
        <f t="shared" si="8"/>
        <v>0</v>
      </c>
    </row>
    <row r="258" spans="1:36" ht="14.4" x14ac:dyDescent="0.3">
      <c r="A258" s="1" t="s">
        <v>519</v>
      </c>
      <c r="B258" s="1" t="s">
        <v>520</v>
      </c>
      <c r="C258" s="1" t="s">
        <v>7</v>
      </c>
      <c r="D258" s="1" t="s">
        <v>8</v>
      </c>
      <c r="E258" s="3">
        <v>14.9552712</v>
      </c>
      <c r="F258" s="3">
        <v>14.9252652</v>
      </c>
      <c r="G258" s="3">
        <v>14.8952592</v>
      </c>
      <c r="H258" s="3">
        <v>14.8652532</v>
      </c>
      <c r="I258" s="3">
        <v>14.8352472</v>
      </c>
      <c r="J258" s="3">
        <v>14.805241199999999</v>
      </c>
      <c r="K258" s="3">
        <v>14.7752351</v>
      </c>
      <c r="L258" s="3">
        <v>14.7452291</v>
      </c>
      <c r="M258" s="3">
        <v>14.715223099999999</v>
      </c>
      <c r="N258" s="3">
        <v>14.685217099999999</v>
      </c>
      <c r="O258" s="3">
        <v>14.655211100000001</v>
      </c>
      <c r="P258" s="3">
        <v>14.625205100000001</v>
      </c>
      <c r="Q258" s="3">
        <v>14.595198999999999</v>
      </c>
      <c r="R258" s="3">
        <v>14.565193000000001</v>
      </c>
      <c r="S258" s="3">
        <v>14.535187000000001</v>
      </c>
      <c r="T258" s="3">
        <v>14.505181</v>
      </c>
      <c r="U258" s="3">
        <v>14.475175</v>
      </c>
      <c r="V258" s="3">
        <v>14.445168900000001</v>
      </c>
      <c r="W258" s="3">
        <v>14.4151629</v>
      </c>
      <c r="X258" s="3">
        <v>14.3851569</v>
      </c>
      <c r="Y258" s="3">
        <v>14.3551509</v>
      </c>
      <c r="Z258" s="3">
        <v>14.3251449</v>
      </c>
      <c r="AA258" s="3">
        <v>14.2951389</v>
      </c>
      <c r="AB258" s="3">
        <v>14.2651328</v>
      </c>
      <c r="AC258" s="3">
        <v>14.2351268</v>
      </c>
      <c r="AD258" s="3">
        <v>14.2051208</v>
      </c>
      <c r="AE258" s="3">
        <v>14.175114799999999</v>
      </c>
      <c r="AF258" s="3">
        <v>14.145108799999999</v>
      </c>
      <c r="AG258" s="3">
        <v>14.115102800000001</v>
      </c>
      <c r="AH258" s="3">
        <v>14.085096699999999</v>
      </c>
      <c r="AI258" s="3">
        <v>14.055090699999999</v>
      </c>
      <c r="AJ258" s="4">
        <f t="shared" si="8"/>
        <v>-0.90018050000000116</v>
      </c>
    </row>
    <row r="259" spans="1:36" ht="14.4" x14ac:dyDescent="0.3">
      <c r="A259" s="1" t="s">
        <v>521</v>
      </c>
      <c r="B259" s="1" t="s">
        <v>522</v>
      </c>
      <c r="C259" s="1" t="s">
        <v>7</v>
      </c>
      <c r="D259" s="1" t="s">
        <v>8</v>
      </c>
      <c r="E259" s="3">
        <v>63.778097600000002</v>
      </c>
      <c r="F259" s="3">
        <v>63.729939899999998</v>
      </c>
      <c r="G259" s="3">
        <v>63.6817821</v>
      </c>
      <c r="H259" s="3">
        <v>63.633624300000001</v>
      </c>
      <c r="I259" s="3">
        <v>63.585466599999997</v>
      </c>
      <c r="J259" s="3">
        <v>63.537308799999998</v>
      </c>
      <c r="K259" s="3">
        <v>63.489151100000001</v>
      </c>
      <c r="L259" s="3">
        <v>63.440993300000002</v>
      </c>
      <c r="M259" s="3">
        <v>63.392835499999997</v>
      </c>
      <c r="N259" s="3">
        <v>63.344677799999999</v>
      </c>
      <c r="O259" s="3">
        <v>63.296520000000001</v>
      </c>
      <c r="P259" s="3">
        <v>63.248362200000003</v>
      </c>
      <c r="Q259" s="3">
        <v>63.200204499999998</v>
      </c>
      <c r="R259" s="3">
        <v>63.1520467</v>
      </c>
      <c r="S259" s="3">
        <v>63.103888900000001</v>
      </c>
      <c r="T259" s="3">
        <v>63.055731199999997</v>
      </c>
      <c r="U259" s="3">
        <v>63.007573399999998</v>
      </c>
      <c r="V259" s="3">
        <v>62.9594156</v>
      </c>
      <c r="W259" s="3">
        <v>62.911257900000003</v>
      </c>
      <c r="X259" s="3">
        <v>62.863100099999997</v>
      </c>
      <c r="Y259" s="3">
        <v>62.8149424</v>
      </c>
      <c r="Z259" s="3">
        <v>62.561804700000003</v>
      </c>
      <c r="AA259" s="3">
        <v>62.308667100000001</v>
      </c>
      <c r="AB259" s="3">
        <v>62.055529399999998</v>
      </c>
      <c r="AC259" s="3">
        <v>61.802391700000001</v>
      </c>
      <c r="AD259" s="3">
        <v>61.549254099999999</v>
      </c>
      <c r="AE259" s="3">
        <v>61.295954999999999</v>
      </c>
      <c r="AF259" s="3">
        <v>61.042884600000001</v>
      </c>
      <c r="AG259" s="3">
        <v>60.789706600000002</v>
      </c>
      <c r="AH259" s="3">
        <v>60.536515199999997</v>
      </c>
      <c r="AI259" s="3">
        <v>60.283337099999997</v>
      </c>
      <c r="AJ259" s="4">
        <f t="shared" si="8"/>
        <v>-3.4947605000000053</v>
      </c>
    </row>
    <row r="260" spans="1:36" ht="14.4" x14ac:dyDescent="0.3">
      <c r="A260" s="1" t="s">
        <v>523</v>
      </c>
      <c r="B260" s="1" t="s">
        <v>524</v>
      </c>
      <c r="C260" s="1" t="s">
        <v>7</v>
      </c>
      <c r="D260" s="1" t="s">
        <v>8</v>
      </c>
      <c r="E260" s="3">
        <v>48.666615</v>
      </c>
      <c r="F260" s="3">
        <v>48.547524899999999</v>
      </c>
      <c r="G260" s="3">
        <v>48.428434799999998</v>
      </c>
      <c r="H260" s="3">
        <v>48.309344699999997</v>
      </c>
      <c r="I260" s="3">
        <v>48.190254600000003</v>
      </c>
      <c r="J260" s="3">
        <v>48.071164500000002</v>
      </c>
      <c r="K260" s="3">
        <v>47.952074400000001</v>
      </c>
      <c r="L260" s="3">
        <v>47.832984400000001</v>
      </c>
      <c r="M260" s="3">
        <v>47.7138943</v>
      </c>
      <c r="N260" s="3">
        <v>47.594804199999999</v>
      </c>
      <c r="O260" s="3">
        <v>47.475714099999998</v>
      </c>
      <c r="P260" s="3">
        <v>47.356623999999996</v>
      </c>
      <c r="Q260" s="3">
        <v>47.237533900000003</v>
      </c>
      <c r="R260" s="3">
        <v>47.118443800000001</v>
      </c>
      <c r="S260" s="3">
        <v>46.999353800000002</v>
      </c>
      <c r="T260" s="3">
        <v>46.8802637</v>
      </c>
      <c r="U260" s="3">
        <v>46.761173599999999</v>
      </c>
      <c r="V260" s="3">
        <v>46.642083499999998</v>
      </c>
      <c r="W260" s="3">
        <v>46.522993399999997</v>
      </c>
      <c r="X260" s="3">
        <v>46.403903300000003</v>
      </c>
      <c r="Y260" s="3">
        <v>46.284813200000002</v>
      </c>
      <c r="Z260" s="3">
        <v>46.165723100000001</v>
      </c>
      <c r="AA260" s="3">
        <v>46.046633100000001</v>
      </c>
      <c r="AB260" s="3">
        <v>45.927543</v>
      </c>
      <c r="AC260" s="3">
        <v>45.808452899999999</v>
      </c>
      <c r="AD260" s="3">
        <v>45.689362799999998</v>
      </c>
      <c r="AE260" s="3">
        <v>45.570272699999997</v>
      </c>
      <c r="AF260" s="3">
        <v>45.451182600000003</v>
      </c>
      <c r="AG260" s="3">
        <v>45.332092500000002</v>
      </c>
      <c r="AH260" s="3">
        <v>45.213002500000002</v>
      </c>
      <c r="AI260" s="3">
        <v>45.093912400000001</v>
      </c>
      <c r="AJ260" s="4">
        <f t="shared" si="8"/>
        <v>-3.5727025999999995</v>
      </c>
    </row>
  </sheetData>
  <customSheetViews>
    <customSheetView guid="{3A85B77D-9C6B-40E9-9F9B-F96032D2154A}" filter="1" showAutoFilter="1">
      <pageMargins left="0.7" right="0.7" top="0.75" bottom="0.75" header="0.3" footer="0.3"/>
      <autoFilter ref="A1:AJ260" xr:uid="{BC53CF56-1C94-4A94-A1EA-BD5534C5B45E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X1000"/>
  <sheetViews>
    <sheetView workbookViewId="0"/>
  </sheetViews>
  <sheetFormatPr defaultColWidth="14.44140625" defaultRowHeight="15.75" customHeight="1" x14ac:dyDescent="0.25"/>
  <sheetData>
    <row r="1" spans="1:76" ht="15.75" customHeight="1" x14ac:dyDescent="0.3">
      <c r="A1" s="6" t="s">
        <v>0</v>
      </c>
      <c r="B1" s="6">
        <v>1990</v>
      </c>
      <c r="C1" s="6">
        <v>1991</v>
      </c>
      <c r="D1" s="6">
        <v>1992</v>
      </c>
      <c r="E1" s="6">
        <v>1993</v>
      </c>
      <c r="F1" s="6">
        <v>1994</v>
      </c>
      <c r="G1" s="6">
        <v>1995</v>
      </c>
      <c r="H1" s="6">
        <v>1996</v>
      </c>
      <c r="I1" s="6">
        <v>1997</v>
      </c>
      <c r="J1" s="6">
        <v>1998</v>
      </c>
      <c r="K1" s="6">
        <v>1999</v>
      </c>
      <c r="L1" s="6">
        <v>2000</v>
      </c>
      <c r="M1" s="6">
        <v>2001</v>
      </c>
      <c r="N1" s="6">
        <v>2002</v>
      </c>
      <c r="O1" s="6">
        <v>2003</v>
      </c>
      <c r="P1" s="6">
        <v>2004</v>
      </c>
      <c r="Q1" s="6">
        <v>2005</v>
      </c>
      <c r="R1" s="6">
        <v>2006</v>
      </c>
      <c r="S1" s="6">
        <v>2007</v>
      </c>
      <c r="T1" s="6">
        <v>2008</v>
      </c>
      <c r="U1" s="6">
        <v>2009</v>
      </c>
      <c r="V1" s="6">
        <v>2010</v>
      </c>
      <c r="W1" s="6">
        <v>2011</v>
      </c>
      <c r="X1" s="6">
        <v>2012</v>
      </c>
      <c r="Y1" s="6">
        <v>2013</v>
      </c>
      <c r="Z1" s="6">
        <v>2014</v>
      </c>
      <c r="AA1" s="6">
        <v>2015</v>
      </c>
      <c r="AB1" s="6">
        <v>2016</v>
      </c>
      <c r="AC1" s="6">
        <v>2017</v>
      </c>
      <c r="AD1" s="6">
        <v>2018</v>
      </c>
      <c r="AE1" s="6">
        <v>2019</v>
      </c>
      <c r="AF1" s="6">
        <v>2020</v>
      </c>
      <c r="AG1" s="6"/>
      <c r="AI1" s="6">
        <v>1990</v>
      </c>
      <c r="AJ1" s="6">
        <v>1991</v>
      </c>
      <c r="AK1" s="6">
        <v>1992</v>
      </c>
      <c r="AL1" s="6">
        <v>1993</v>
      </c>
      <c r="AM1" s="6">
        <v>1994</v>
      </c>
      <c r="AN1" s="6">
        <v>1995</v>
      </c>
      <c r="AO1" s="6">
        <v>1996</v>
      </c>
      <c r="AP1" s="6">
        <v>1997</v>
      </c>
      <c r="AQ1" s="6">
        <v>1998</v>
      </c>
      <c r="AR1" s="6">
        <v>1999</v>
      </c>
      <c r="AS1" s="6">
        <v>2000</v>
      </c>
      <c r="AT1" s="6">
        <v>2001</v>
      </c>
      <c r="AU1" s="6">
        <v>2002</v>
      </c>
      <c r="AV1" s="6">
        <v>2003</v>
      </c>
      <c r="AW1" s="6">
        <v>2004</v>
      </c>
      <c r="AX1" s="6">
        <v>2005</v>
      </c>
      <c r="AY1" s="6">
        <v>2006</v>
      </c>
      <c r="AZ1" s="6">
        <v>2007</v>
      </c>
      <c r="BA1" s="6">
        <v>2008</v>
      </c>
      <c r="BB1" s="6">
        <v>2009</v>
      </c>
      <c r="BC1" s="6">
        <v>2010</v>
      </c>
      <c r="BD1" s="6">
        <v>2011</v>
      </c>
      <c r="BE1" s="6">
        <v>2012</v>
      </c>
      <c r="BF1" s="6">
        <v>2013</v>
      </c>
      <c r="BG1" s="6">
        <v>2014</v>
      </c>
      <c r="BH1" s="6">
        <v>2015</v>
      </c>
      <c r="BI1" s="6">
        <v>2016</v>
      </c>
      <c r="BJ1" s="6">
        <v>2017</v>
      </c>
      <c r="BK1" s="6">
        <v>2018</v>
      </c>
      <c r="BL1" s="6">
        <v>2019</v>
      </c>
      <c r="BM1" s="6">
        <v>2020</v>
      </c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customHeight="1" x14ac:dyDescent="0.45">
      <c r="A2" s="1" t="s">
        <v>381</v>
      </c>
      <c r="B2" s="3">
        <v>36.113866999999999</v>
      </c>
      <c r="C2" s="3">
        <v>37.340699000000001</v>
      </c>
      <c r="D2" s="3">
        <v>38.567531000000002</v>
      </c>
      <c r="E2" s="3">
        <v>39.794362999999997</v>
      </c>
      <c r="F2" s="3">
        <v>41.021194999999999</v>
      </c>
      <c r="G2" s="3">
        <v>42.248027100000002</v>
      </c>
      <c r="H2" s="3">
        <v>43.474859100000003</v>
      </c>
      <c r="I2" s="3">
        <v>44.701691099999998</v>
      </c>
      <c r="J2" s="3">
        <v>45.9285231</v>
      </c>
      <c r="K2" s="3">
        <v>47.155355100000001</v>
      </c>
      <c r="L2" s="3">
        <v>48.382187100000003</v>
      </c>
      <c r="M2" s="3">
        <v>49.084554699999998</v>
      </c>
      <c r="N2" s="3">
        <v>49.786922199999999</v>
      </c>
      <c r="O2" s="3">
        <v>50.4892897</v>
      </c>
      <c r="P2" s="3">
        <v>51.191657300000003</v>
      </c>
      <c r="Q2" s="3">
        <v>51.894024799999997</v>
      </c>
      <c r="R2" s="3">
        <v>52.596392299999998</v>
      </c>
      <c r="S2" s="3">
        <v>53.2987599</v>
      </c>
      <c r="T2" s="3">
        <v>54.001127400000001</v>
      </c>
      <c r="U2" s="3">
        <v>54.703494900000003</v>
      </c>
      <c r="V2" s="3">
        <v>55.405862499999998</v>
      </c>
      <c r="W2" s="3">
        <v>55.460653899999997</v>
      </c>
      <c r="X2" s="3">
        <v>55.515445300000003</v>
      </c>
      <c r="Y2" s="3">
        <v>55.570236800000004</v>
      </c>
      <c r="Z2" s="3">
        <v>55.625028200000003</v>
      </c>
      <c r="AA2" s="3">
        <v>55.679819600000002</v>
      </c>
      <c r="AB2" s="3">
        <v>55.735061999999999</v>
      </c>
      <c r="AC2" s="3">
        <v>55.790304399999997</v>
      </c>
      <c r="AD2" s="3">
        <v>55.845546800000001</v>
      </c>
      <c r="AE2" s="3">
        <v>55.900789199999998</v>
      </c>
      <c r="AF2" s="3">
        <v>55.956031600000003</v>
      </c>
      <c r="AG2" s="7" t="b">
        <f>DASHBOARD!I13</f>
        <v>1</v>
      </c>
      <c r="AH2" s="8" t="str">
        <f ca="1">IFERROR(__xludf.DUMMYFUNCTION("QUERY(A2:AG21,""where AG = TRUE"",0)"),"Puerto Rico")</f>
        <v>Puerto Rico</v>
      </c>
      <c r="AI2" s="8">
        <f ca="1">IFERROR(__xludf.DUMMYFUNCTION("""COMPUTED_VALUE"""),36.113867)</f>
        <v>36.113866999999999</v>
      </c>
      <c r="AJ2" s="8">
        <f ca="1">IFERROR(__xludf.DUMMYFUNCTION("""COMPUTED_VALUE"""),37.340699)</f>
        <v>37.340699000000001</v>
      </c>
      <c r="AK2" s="8">
        <f ca="1">IFERROR(__xludf.DUMMYFUNCTION("""COMPUTED_VALUE"""),38.567531)</f>
        <v>38.567531000000002</v>
      </c>
      <c r="AL2" s="8">
        <f ca="1">IFERROR(__xludf.DUMMYFUNCTION("""COMPUTED_VALUE"""),39.794363)</f>
        <v>39.794362999999997</v>
      </c>
      <c r="AM2" s="8">
        <f ca="1">IFERROR(__xludf.DUMMYFUNCTION("""COMPUTED_VALUE"""),41.021195)</f>
        <v>41.021194999999999</v>
      </c>
      <c r="AN2" s="8">
        <f ca="1">IFERROR(__xludf.DUMMYFUNCTION("""COMPUTED_VALUE"""),42.2480271)</f>
        <v>42.248027100000002</v>
      </c>
      <c r="AO2" s="8">
        <f ca="1">IFERROR(__xludf.DUMMYFUNCTION("""COMPUTED_VALUE"""),43.4748591)</f>
        <v>43.474859100000003</v>
      </c>
      <c r="AP2" s="8">
        <f ca="1">IFERROR(__xludf.DUMMYFUNCTION("""COMPUTED_VALUE"""),44.7016911)</f>
        <v>44.701691099999998</v>
      </c>
      <c r="AQ2" s="8">
        <f ca="1">IFERROR(__xludf.DUMMYFUNCTION("""COMPUTED_VALUE"""),45.9285231)</f>
        <v>45.9285231</v>
      </c>
      <c r="AR2" s="8">
        <f ca="1">IFERROR(__xludf.DUMMYFUNCTION("""COMPUTED_VALUE"""),47.1553551)</f>
        <v>47.155355100000001</v>
      </c>
      <c r="AS2" s="8">
        <f ca="1">IFERROR(__xludf.DUMMYFUNCTION("""COMPUTED_VALUE"""),48.3821871)</f>
        <v>48.382187100000003</v>
      </c>
      <c r="AT2" s="8">
        <f ca="1">IFERROR(__xludf.DUMMYFUNCTION("""COMPUTED_VALUE"""),49.0845547)</f>
        <v>49.084554699999998</v>
      </c>
      <c r="AU2" s="8">
        <f ca="1">IFERROR(__xludf.DUMMYFUNCTION("""COMPUTED_VALUE"""),49.7869222)</f>
        <v>49.786922199999999</v>
      </c>
      <c r="AV2" s="8">
        <f ca="1">IFERROR(__xludf.DUMMYFUNCTION("""COMPUTED_VALUE"""),50.4892897)</f>
        <v>50.4892897</v>
      </c>
      <c r="AW2" s="8">
        <f ca="1">IFERROR(__xludf.DUMMYFUNCTION("""COMPUTED_VALUE"""),51.1916573)</f>
        <v>51.191657300000003</v>
      </c>
      <c r="AX2" s="8">
        <f ca="1">IFERROR(__xludf.DUMMYFUNCTION("""COMPUTED_VALUE"""),51.8940248)</f>
        <v>51.894024799999997</v>
      </c>
      <c r="AY2" s="8">
        <f ca="1">IFERROR(__xludf.DUMMYFUNCTION("""COMPUTED_VALUE"""),52.5963923)</f>
        <v>52.596392299999998</v>
      </c>
      <c r="AZ2" s="8">
        <f ca="1">IFERROR(__xludf.DUMMYFUNCTION("""COMPUTED_VALUE"""),53.2987599)</f>
        <v>53.2987599</v>
      </c>
      <c r="BA2" s="8">
        <f ca="1">IFERROR(__xludf.DUMMYFUNCTION("""COMPUTED_VALUE"""),54.0011274)</f>
        <v>54.001127400000001</v>
      </c>
      <c r="BB2" s="8">
        <f ca="1">IFERROR(__xludf.DUMMYFUNCTION("""COMPUTED_VALUE"""),54.7034949)</f>
        <v>54.703494900000003</v>
      </c>
      <c r="BC2" s="8">
        <f ca="1">IFERROR(__xludf.DUMMYFUNCTION("""COMPUTED_VALUE"""),55.4058625)</f>
        <v>55.405862499999998</v>
      </c>
      <c r="BD2" s="8">
        <f ca="1">IFERROR(__xludf.DUMMYFUNCTION("""COMPUTED_VALUE"""),55.4606539)</f>
        <v>55.460653899999997</v>
      </c>
      <c r="BE2" s="8">
        <f ca="1">IFERROR(__xludf.DUMMYFUNCTION("""COMPUTED_VALUE"""),55.5154453)</f>
        <v>55.515445300000003</v>
      </c>
      <c r="BF2" s="8">
        <f ca="1">IFERROR(__xludf.DUMMYFUNCTION("""COMPUTED_VALUE"""),55.5702368)</f>
        <v>55.570236800000004</v>
      </c>
      <c r="BG2" s="8">
        <f ca="1">IFERROR(__xludf.DUMMYFUNCTION("""COMPUTED_VALUE"""),55.6250282)</f>
        <v>55.625028200000003</v>
      </c>
      <c r="BH2" s="8">
        <f ca="1">IFERROR(__xludf.DUMMYFUNCTION("""COMPUTED_VALUE"""),55.6798196)</f>
        <v>55.679819600000002</v>
      </c>
      <c r="BI2" s="8">
        <f ca="1">IFERROR(__xludf.DUMMYFUNCTION("""COMPUTED_VALUE"""),55.735062)</f>
        <v>55.735061999999999</v>
      </c>
      <c r="BJ2" s="8">
        <f ca="1">IFERROR(__xludf.DUMMYFUNCTION("""COMPUTED_VALUE"""),55.7903044)</f>
        <v>55.790304399999997</v>
      </c>
      <c r="BK2" s="8">
        <f ca="1">IFERROR(__xludf.DUMMYFUNCTION("""COMPUTED_VALUE"""),55.8455468)</f>
        <v>55.845546800000001</v>
      </c>
      <c r="BL2" s="8">
        <f ca="1">IFERROR(__xludf.DUMMYFUNCTION("""COMPUTED_VALUE"""),55.9007892)</f>
        <v>55.900789199999998</v>
      </c>
      <c r="BM2" s="8">
        <f ca="1">IFERROR(__xludf.DUMMYFUNCTION("""COMPUTED_VALUE"""),55.9560316)</f>
        <v>55.956031600000003</v>
      </c>
      <c r="BN2" s="8" t="b">
        <f ca="1">IFERROR(__xludf.DUMMYFUNCTION("""COMPUTED_VALUE"""),TRUE)</f>
        <v>1</v>
      </c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6" ht="15.75" customHeight="1" x14ac:dyDescent="0.3">
      <c r="A3" s="1" t="s">
        <v>509</v>
      </c>
      <c r="B3" s="3">
        <v>28.805677599999999</v>
      </c>
      <c r="C3" s="3">
        <v>29.545528300000001</v>
      </c>
      <c r="D3" s="3">
        <v>30.285378999999999</v>
      </c>
      <c r="E3" s="3">
        <v>31.025229700000001</v>
      </c>
      <c r="F3" s="3">
        <v>31.765080300000001</v>
      </c>
      <c r="G3" s="3">
        <v>32.504930999999999</v>
      </c>
      <c r="H3" s="3">
        <v>33.244781699999997</v>
      </c>
      <c r="I3" s="3">
        <v>33.984632400000002</v>
      </c>
      <c r="J3" s="3">
        <v>34.7244831</v>
      </c>
      <c r="K3" s="3">
        <v>35.464333799999999</v>
      </c>
      <c r="L3" s="3">
        <v>37.883687999999999</v>
      </c>
      <c r="M3" s="3">
        <v>38.395628299999998</v>
      </c>
      <c r="N3" s="3">
        <v>38.978882599999999</v>
      </c>
      <c r="O3" s="3">
        <v>39.556513000000002</v>
      </c>
      <c r="P3" s="3">
        <v>40.073802700000002</v>
      </c>
      <c r="Q3" s="3">
        <v>40.5910923</v>
      </c>
      <c r="R3" s="3">
        <v>41.108381999999999</v>
      </c>
      <c r="S3" s="3">
        <v>41.625671599999997</v>
      </c>
      <c r="T3" s="3">
        <v>42.142961300000003</v>
      </c>
      <c r="U3" s="3">
        <v>42.660250900000001</v>
      </c>
      <c r="V3" s="3">
        <v>43.1775406</v>
      </c>
      <c r="W3" s="3">
        <v>43.612152100000003</v>
      </c>
      <c r="X3" s="3">
        <v>44.046763599999998</v>
      </c>
      <c r="Y3" s="3">
        <v>44.481375200000002</v>
      </c>
      <c r="Z3" s="3">
        <v>44.915986699999998</v>
      </c>
      <c r="AA3" s="3">
        <v>45.350598300000001</v>
      </c>
      <c r="AB3" s="3">
        <v>46.369142500000002</v>
      </c>
      <c r="AC3" s="3">
        <v>46.490760199999997</v>
      </c>
      <c r="AD3" s="3">
        <v>46.7355436</v>
      </c>
      <c r="AE3" s="3">
        <v>46.980327000000003</v>
      </c>
      <c r="AF3" s="3">
        <v>47.2251105</v>
      </c>
      <c r="AG3" s="7" t="b">
        <f>DASHBOARD!I14</f>
        <v>0</v>
      </c>
      <c r="AH3" s="7" t="str">
        <f ca="1">IFERROR(__xludf.DUMMYFUNCTION("""COMPUTED_VALUE"""),"Cuba")</f>
        <v>Cuba</v>
      </c>
      <c r="AI3" s="7">
        <f ca="1">IFERROR(__xludf.DUMMYFUNCTION("""COMPUTED_VALUE"""),19.1620112)</f>
        <v>19.162011199999998</v>
      </c>
      <c r="AJ3" s="7">
        <f ca="1">IFERROR(__xludf.DUMMYFUNCTION("""COMPUTED_VALUE"""),19.5130354)</f>
        <v>19.5130354</v>
      </c>
      <c r="AK3" s="7">
        <f ca="1">IFERROR(__xludf.DUMMYFUNCTION("""COMPUTED_VALUE"""),19.8640596)</f>
        <v>19.864059600000001</v>
      </c>
      <c r="AL3" s="7">
        <f ca="1">IFERROR(__xludf.DUMMYFUNCTION("""COMPUTED_VALUE"""),20.2150838)</f>
        <v>20.215083799999999</v>
      </c>
      <c r="AM3" s="7">
        <f ca="1">IFERROR(__xludf.DUMMYFUNCTION("""COMPUTED_VALUE"""),20.566108)</f>
        <v>20.566108</v>
      </c>
      <c r="AN3" s="7">
        <f ca="1">IFERROR(__xludf.DUMMYFUNCTION("""COMPUTED_VALUE"""),20.9171322)</f>
        <v>20.917132200000001</v>
      </c>
      <c r="AO3" s="7">
        <f ca="1">IFERROR(__xludf.DUMMYFUNCTION("""COMPUTED_VALUE"""),21.2681564)</f>
        <v>21.268156399999999</v>
      </c>
      <c r="AP3" s="7">
        <f ca="1">IFERROR(__xludf.DUMMYFUNCTION("""COMPUTED_VALUE"""),21.6191806)</f>
        <v>21.6191806</v>
      </c>
      <c r="AQ3" s="7">
        <f ca="1">IFERROR(__xludf.DUMMYFUNCTION("""COMPUTED_VALUE"""),21.9702048)</f>
        <v>21.970204800000001</v>
      </c>
      <c r="AR3" s="7">
        <f ca="1">IFERROR(__xludf.DUMMYFUNCTION("""COMPUTED_VALUE"""),22.3212291)</f>
        <v>22.3212291</v>
      </c>
      <c r="AS3" s="7">
        <f ca="1">IFERROR(__xludf.DUMMYFUNCTION("""COMPUTED_VALUE"""),22.6722533)</f>
        <v>22.672253300000001</v>
      </c>
      <c r="AT3" s="7">
        <f ca="1">IFERROR(__xludf.DUMMYFUNCTION("""COMPUTED_VALUE"""),23.1350093)</f>
        <v>23.1350093</v>
      </c>
      <c r="AU3" s="7">
        <f ca="1">IFERROR(__xludf.DUMMYFUNCTION("""COMPUTED_VALUE"""),23.8217878)</f>
        <v>23.821787799999999</v>
      </c>
      <c r="AV3" s="7">
        <f ca="1">IFERROR(__xludf.DUMMYFUNCTION("""COMPUTED_VALUE"""),24.2866541)</f>
        <v>24.2866541</v>
      </c>
      <c r="AW3" s="7">
        <f ca="1">IFERROR(__xludf.DUMMYFUNCTION("""COMPUTED_VALUE"""),24.7514331)</f>
        <v>24.7514331</v>
      </c>
      <c r="AX3" s="7">
        <f ca="1">IFERROR(__xludf.DUMMYFUNCTION("""COMPUTED_VALUE"""),25.2113867)</f>
        <v>25.211386699999998</v>
      </c>
      <c r="AY3" s="7">
        <f ca="1">IFERROR(__xludf.DUMMYFUNCTION("""COMPUTED_VALUE"""),25.6807291)</f>
        <v>25.680729100000001</v>
      </c>
      <c r="AZ3" s="7">
        <f ca="1">IFERROR(__xludf.DUMMYFUNCTION("""COMPUTED_VALUE"""),26.1452461)</f>
        <v>26.145246100000001</v>
      </c>
      <c r="BA3" s="7">
        <f ca="1">IFERROR(__xludf.DUMMYFUNCTION("""COMPUTED_VALUE"""),26.6121759)</f>
        <v>26.6121759</v>
      </c>
      <c r="BB3" s="7">
        <f ca="1">IFERROR(__xludf.DUMMYFUNCTION("""COMPUTED_VALUE"""),27.0791056)</f>
        <v>27.079105599999998</v>
      </c>
      <c r="BC3" s="7">
        <f ca="1">IFERROR(__xludf.DUMMYFUNCTION("""COMPUTED_VALUE"""),27.5460353)</f>
        <v>27.5460353</v>
      </c>
      <c r="BD3" s="7">
        <f ca="1">IFERROR(__xludf.DUMMYFUNCTION("""COMPUTED_VALUE"""),27.9086307)</f>
        <v>27.9086307</v>
      </c>
      <c r="BE3" s="7">
        <f ca="1">IFERROR(__xludf.DUMMYFUNCTION("""COMPUTED_VALUE"""),28.4372099)</f>
        <v>28.437209899999999</v>
      </c>
      <c r="BF3" s="7">
        <f ca="1">IFERROR(__xludf.DUMMYFUNCTION("""COMPUTED_VALUE"""),29.5835732)</f>
        <v>29.5835732</v>
      </c>
      <c r="BG3" s="7">
        <f ca="1">IFERROR(__xludf.DUMMYFUNCTION("""COMPUTED_VALUE"""),30.124976)</f>
        <v>30.124976</v>
      </c>
      <c r="BH3" s="7">
        <f ca="1">IFERROR(__xludf.DUMMYFUNCTION("""COMPUTED_VALUE"""),30.585975)</f>
        <v>30.585975000000001</v>
      </c>
      <c r="BI3" s="7">
        <f ca="1">IFERROR(__xludf.DUMMYFUNCTION("""COMPUTED_VALUE"""),31.1514802)</f>
        <v>31.151480200000002</v>
      </c>
      <c r="BJ3" s="7">
        <f ca="1">IFERROR(__xludf.DUMMYFUNCTION("""COMPUTED_VALUE"""),31.2331407)</f>
        <v>31.2331407</v>
      </c>
      <c r="BK3" s="7">
        <f ca="1">IFERROR(__xludf.DUMMYFUNCTION("""COMPUTED_VALUE"""),31.2331407)</f>
        <v>31.2331407</v>
      </c>
      <c r="BL3" s="7">
        <f ca="1">IFERROR(__xludf.DUMMYFUNCTION("""COMPUTED_VALUE"""),31.2331407)</f>
        <v>31.2331407</v>
      </c>
      <c r="BM3" s="7">
        <f ca="1">IFERROR(__xludf.DUMMYFUNCTION("""COMPUTED_VALUE"""),31.2331407)</f>
        <v>31.2331407</v>
      </c>
      <c r="BN3" s="7" t="b">
        <f ca="1">IFERROR(__xludf.DUMMYFUNCTION("""COMPUTED_VALUE"""),TRUE)</f>
        <v>1</v>
      </c>
      <c r="BO3" s="7"/>
      <c r="BP3" s="7"/>
      <c r="BQ3" s="7"/>
      <c r="BR3" s="7"/>
      <c r="BS3" s="7"/>
      <c r="BT3" s="7"/>
      <c r="BU3" s="7"/>
      <c r="BV3" s="7"/>
      <c r="BW3" s="7"/>
      <c r="BX3" s="7"/>
    </row>
    <row r="4" spans="1:76" ht="15.75" customHeight="1" x14ac:dyDescent="0.3">
      <c r="A4" s="1" t="s">
        <v>71</v>
      </c>
      <c r="B4" s="3">
        <v>53.650664599999999</v>
      </c>
      <c r="C4" s="3">
        <v>53.863150900000001</v>
      </c>
      <c r="D4" s="3">
        <v>54.075637299999997</v>
      </c>
      <c r="E4" s="3">
        <v>54.288123599999999</v>
      </c>
      <c r="F4" s="3">
        <v>63.980703499999997</v>
      </c>
      <c r="G4" s="3">
        <v>64.230150800000004</v>
      </c>
      <c r="H4" s="3">
        <v>64.479597999999996</v>
      </c>
      <c r="I4" s="3">
        <v>64.729045200000002</v>
      </c>
      <c r="J4" s="3">
        <v>64.978492500000002</v>
      </c>
      <c r="K4" s="3">
        <v>65.227939699999993</v>
      </c>
      <c r="L4" s="3">
        <v>65.477386899999999</v>
      </c>
      <c r="M4" s="3">
        <v>65.726859300000001</v>
      </c>
      <c r="N4" s="3">
        <v>65.976331700000003</v>
      </c>
      <c r="O4" s="3">
        <v>66.225803999999997</v>
      </c>
      <c r="P4" s="3">
        <v>69.410394299999993</v>
      </c>
      <c r="Q4" s="3">
        <v>69.670881800000004</v>
      </c>
      <c r="R4" s="3">
        <v>69.931369200000006</v>
      </c>
      <c r="S4" s="3">
        <v>70.191856700000002</v>
      </c>
      <c r="T4" s="3">
        <v>70.452344100000005</v>
      </c>
      <c r="U4" s="3">
        <v>70.712831499999993</v>
      </c>
      <c r="V4" s="3">
        <v>70.973319000000004</v>
      </c>
      <c r="W4" s="3">
        <v>71.025211799999994</v>
      </c>
      <c r="X4" s="3">
        <v>71.077104700000007</v>
      </c>
      <c r="Y4" s="3">
        <v>71.128997600000005</v>
      </c>
      <c r="Z4" s="3">
        <v>71.180890399999996</v>
      </c>
      <c r="AA4" s="3">
        <v>71.232783299999994</v>
      </c>
      <c r="AB4" s="3">
        <v>71.234270100000003</v>
      </c>
      <c r="AC4" s="3">
        <v>71.286178699999994</v>
      </c>
      <c r="AD4" s="3">
        <v>71.345568999999998</v>
      </c>
      <c r="AE4" s="3">
        <v>71.397482999999994</v>
      </c>
      <c r="AF4" s="3">
        <v>71.449397000000005</v>
      </c>
      <c r="AG4" s="7" t="b">
        <f>DASHBOARD!I15</f>
        <v>0</v>
      </c>
      <c r="AH4" s="7" t="str">
        <f ca="1">IFERROR(__xludf.DUMMYFUNCTION("""COMPUTED_VALUE"""),"Dominican Republic")</f>
        <v>Dominican Republic</v>
      </c>
      <c r="AI4" s="7">
        <f ca="1">IFERROR(__xludf.DUMMYFUNCTION("""COMPUTED_VALUE"""),33.0136618)</f>
        <v>33.013661800000001</v>
      </c>
      <c r="AJ4" s="7">
        <f ca="1">IFERROR(__xludf.DUMMYFUNCTION("""COMPUTED_VALUE"""),33.7952391)</f>
        <v>33.795239100000003</v>
      </c>
      <c r="AK4" s="7">
        <f ca="1">IFERROR(__xludf.DUMMYFUNCTION("""COMPUTED_VALUE"""),34.5768164)</f>
        <v>34.576816399999998</v>
      </c>
      <c r="AL4" s="7">
        <f ca="1">IFERROR(__xludf.DUMMYFUNCTION("""COMPUTED_VALUE"""),35.3583937)</f>
        <v>35.358393700000001</v>
      </c>
      <c r="AM4" s="7">
        <f ca="1">IFERROR(__xludf.DUMMYFUNCTION("""COMPUTED_VALUE"""),36.139971)</f>
        <v>36.139971000000003</v>
      </c>
      <c r="AN4" s="7">
        <f ca="1">IFERROR(__xludf.DUMMYFUNCTION("""COMPUTED_VALUE"""),36.9215483)</f>
        <v>36.921548299999998</v>
      </c>
      <c r="AO4" s="7">
        <f ca="1">IFERROR(__xludf.DUMMYFUNCTION("""COMPUTED_VALUE"""),37.7031256)</f>
        <v>37.7031256</v>
      </c>
      <c r="AP4" s="7">
        <f ca="1">IFERROR(__xludf.DUMMYFUNCTION("""COMPUTED_VALUE"""),38.484703)</f>
        <v>38.484703000000003</v>
      </c>
      <c r="AQ4" s="7">
        <f ca="1">IFERROR(__xludf.DUMMYFUNCTION("""COMPUTED_VALUE"""),39.2662803)</f>
        <v>39.266280299999998</v>
      </c>
      <c r="AR4" s="7">
        <f ca="1">IFERROR(__xludf.DUMMYFUNCTION("""COMPUTED_VALUE"""),40.0478576)</f>
        <v>40.0478576</v>
      </c>
      <c r="AS4" s="7">
        <f ca="1">IFERROR(__xludf.DUMMYFUNCTION("""COMPUTED_VALUE"""),40.8294349)</f>
        <v>40.829434900000003</v>
      </c>
      <c r="AT4" s="7">
        <f ca="1">IFERROR(__xludf.DUMMYFUNCTION("""COMPUTED_VALUE"""),41.0377769)</f>
        <v>41.037776899999997</v>
      </c>
      <c r="AU4" s="7">
        <f ca="1">IFERROR(__xludf.DUMMYFUNCTION("""COMPUTED_VALUE"""),41.2461188)</f>
        <v>41.246118799999998</v>
      </c>
      <c r="AV4" s="7">
        <f ca="1">IFERROR(__xludf.DUMMYFUNCTION("""COMPUTED_VALUE"""),41.4544608)</f>
        <v>41.4544608</v>
      </c>
      <c r="AW4" s="7">
        <f ca="1">IFERROR(__xludf.DUMMYFUNCTION("""COMPUTED_VALUE"""),41.6628027)</f>
        <v>41.6628027</v>
      </c>
      <c r="AX4" s="7">
        <f ca="1">IFERROR(__xludf.DUMMYFUNCTION("""COMPUTED_VALUE"""),41.8711447)</f>
        <v>41.871144700000002</v>
      </c>
      <c r="AY4" s="7">
        <f ca="1">IFERROR(__xludf.DUMMYFUNCTION("""COMPUTED_VALUE"""),42.0794866)</f>
        <v>42.079486600000003</v>
      </c>
      <c r="AZ4" s="7">
        <f ca="1">IFERROR(__xludf.DUMMYFUNCTION("""COMPUTED_VALUE"""),42.2878286)</f>
        <v>42.287828599999997</v>
      </c>
      <c r="BA4" s="7">
        <f ca="1">IFERROR(__xludf.DUMMYFUNCTION("""COMPUTED_VALUE"""),42.4961706)</f>
        <v>42.496170599999999</v>
      </c>
      <c r="BB4" s="7">
        <f ca="1">IFERROR(__xludf.DUMMYFUNCTION("""COMPUTED_VALUE"""),42.7045125)</f>
        <v>42.7045125</v>
      </c>
      <c r="BC4" s="7">
        <f ca="1">IFERROR(__xludf.DUMMYFUNCTION("""COMPUTED_VALUE"""),42.9128545)</f>
        <v>42.912854500000002</v>
      </c>
      <c r="BD4" s="7">
        <f ca="1">IFERROR(__xludf.DUMMYFUNCTION("""COMPUTED_VALUE"""),43.0392465)</f>
        <v>43.039246499999997</v>
      </c>
      <c r="BE4" s="7">
        <f ca="1">IFERROR(__xludf.DUMMYFUNCTION("""COMPUTED_VALUE"""),43.1656386)</f>
        <v>43.165638600000001</v>
      </c>
      <c r="BF4" s="7">
        <f ca="1">IFERROR(__xludf.DUMMYFUNCTION("""COMPUTED_VALUE"""),43.2920306)</f>
        <v>43.292030599999997</v>
      </c>
      <c r="BG4" s="7">
        <f ca="1">IFERROR(__xludf.DUMMYFUNCTION("""COMPUTED_VALUE"""),43.4184227)</f>
        <v>43.418422700000001</v>
      </c>
      <c r="BH4" s="7">
        <f ca="1">IFERROR(__xludf.DUMMYFUNCTION("""COMPUTED_VALUE"""),43.5448147)</f>
        <v>43.544814700000003</v>
      </c>
      <c r="BI4" s="7">
        <f ca="1">IFERROR(__xludf.DUMMYFUNCTION("""COMPUTED_VALUE"""),43.7122749)</f>
        <v>43.712274899999997</v>
      </c>
      <c r="BJ4" s="7">
        <f ca="1">IFERROR(__xludf.DUMMYFUNCTION("""COMPUTED_VALUE"""),43.879735)</f>
        <v>43.879734999999997</v>
      </c>
      <c r="BK4" s="7">
        <f ca="1">IFERROR(__xludf.DUMMYFUNCTION("""COMPUTED_VALUE"""),44.0471952)</f>
        <v>44.047195199999997</v>
      </c>
      <c r="BL4" s="7">
        <f ca="1">IFERROR(__xludf.DUMMYFUNCTION("""COMPUTED_VALUE"""),44.2146554)</f>
        <v>44.214655399999998</v>
      </c>
      <c r="BM4" s="7">
        <f ca="1">IFERROR(__xludf.DUMMYFUNCTION("""COMPUTED_VALUE"""),44.3821155)</f>
        <v>44.382115499999998</v>
      </c>
      <c r="BN4" s="7" t="b">
        <f ca="1">IFERROR(__xludf.DUMMYFUNCTION("""COMPUTED_VALUE"""),TRUE)</f>
        <v>1</v>
      </c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6" ht="15.75" customHeight="1" x14ac:dyDescent="0.3">
      <c r="A5" s="1" t="s">
        <v>323</v>
      </c>
      <c r="B5" s="3">
        <v>46.542750900000001</v>
      </c>
      <c r="C5" s="3">
        <v>46.542750900000001</v>
      </c>
      <c r="D5" s="3">
        <v>46.542750900000001</v>
      </c>
      <c r="E5" s="3">
        <v>46.542750900000001</v>
      </c>
      <c r="F5" s="3">
        <v>46.542750900000001</v>
      </c>
      <c r="G5" s="3">
        <v>46.542750900000001</v>
      </c>
      <c r="H5" s="3">
        <v>46.542750900000001</v>
      </c>
      <c r="I5" s="3">
        <v>46.542750900000001</v>
      </c>
      <c r="J5" s="3">
        <v>46.542750900000001</v>
      </c>
      <c r="K5" s="3">
        <v>46.542750900000001</v>
      </c>
      <c r="L5" s="3">
        <v>46.542750900000001</v>
      </c>
      <c r="M5" s="3">
        <v>46.542750900000001</v>
      </c>
      <c r="N5" s="3">
        <v>46.542750900000001</v>
      </c>
      <c r="O5" s="3">
        <v>46.542750900000001</v>
      </c>
      <c r="P5" s="3">
        <v>46.542750900000001</v>
      </c>
      <c r="Q5" s="3">
        <v>46.542750900000001</v>
      </c>
      <c r="R5" s="3">
        <v>55.509293700000001</v>
      </c>
      <c r="S5" s="3">
        <v>57.0037175</v>
      </c>
      <c r="T5" s="3">
        <v>58.4981413</v>
      </c>
      <c r="U5" s="3">
        <v>59.9925651</v>
      </c>
      <c r="V5" s="3">
        <v>61.486988799999999</v>
      </c>
      <c r="W5" s="3">
        <v>61.486988799999999</v>
      </c>
      <c r="X5" s="3">
        <v>61.486988799999999</v>
      </c>
      <c r="Y5" s="3">
        <v>61.486988799999999</v>
      </c>
      <c r="Z5" s="3">
        <v>61.486988799999999</v>
      </c>
      <c r="AA5" s="3">
        <v>61.486988799999999</v>
      </c>
      <c r="AB5" s="3">
        <v>61.486988799999999</v>
      </c>
      <c r="AC5" s="3">
        <v>61.486988799999999</v>
      </c>
      <c r="AD5" s="3">
        <v>61.486988799999999</v>
      </c>
      <c r="AE5" s="3">
        <v>61.486988799999999</v>
      </c>
      <c r="AF5" s="3">
        <v>61.486988799999999</v>
      </c>
      <c r="AG5" s="7" t="b">
        <f>DASHBOARD!I16</f>
        <v>0</v>
      </c>
      <c r="AH5" s="7" t="str">
        <f ca="1">IFERROR(__xludf.DUMMYFUNCTION("""COMPUTED_VALUE"""),"Fiji")</f>
        <v>Fiji</v>
      </c>
      <c r="AI5" s="7">
        <f ca="1">IFERROR(__xludf.DUMMYFUNCTION("""COMPUTED_VALUE"""),51.4334975)</f>
        <v>51.433497500000001</v>
      </c>
      <c r="AJ5" s="7">
        <f ca="1">IFERROR(__xludf.DUMMYFUNCTION("""COMPUTED_VALUE"""),51.7990148)</f>
        <v>51.799014800000002</v>
      </c>
      <c r="AK5" s="7">
        <f ca="1">IFERROR(__xludf.DUMMYFUNCTION("""COMPUTED_VALUE"""),52.164532)</f>
        <v>52.164532000000001</v>
      </c>
      <c r="AL5" s="7">
        <f ca="1">IFERROR(__xludf.DUMMYFUNCTION("""COMPUTED_VALUE"""),52.5300493)</f>
        <v>52.530049300000002</v>
      </c>
      <c r="AM5" s="7">
        <f ca="1">IFERROR(__xludf.DUMMYFUNCTION("""COMPUTED_VALUE"""),52.8955665)</f>
        <v>52.895566500000001</v>
      </c>
      <c r="AN5" s="7">
        <f ca="1">IFERROR(__xludf.DUMMYFUNCTION("""COMPUTED_VALUE"""),53.2610837)</f>
        <v>53.2610837</v>
      </c>
      <c r="AO5" s="7">
        <f ca="1">IFERROR(__xludf.DUMMYFUNCTION("""COMPUTED_VALUE"""),53.626601)</f>
        <v>53.626601000000001</v>
      </c>
      <c r="AP5" s="7">
        <f ca="1">IFERROR(__xludf.DUMMYFUNCTION("""COMPUTED_VALUE"""),53.9921182)</f>
        <v>53.9921182</v>
      </c>
      <c r="AQ5" s="7">
        <f ca="1">IFERROR(__xludf.DUMMYFUNCTION("""COMPUTED_VALUE"""),54.3576355)</f>
        <v>54.357635500000001</v>
      </c>
      <c r="AR5" s="7">
        <f ca="1">IFERROR(__xludf.DUMMYFUNCTION("""COMPUTED_VALUE"""),54.7231527)</f>
        <v>54.7231527</v>
      </c>
      <c r="AS5" s="7">
        <f ca="1">IFERROR(__xludf.DUMMYFUNCTION("""COMPUTED_VALUE"""),55.08867)</f>
        <v>55.08867</v>
      </c>
      <c r="AT5" s="7">
        <f ca="1">IFERROR(__xludf.DUMMYFUNCTION("""COMPUTED_VALUE"""),55.4541325)</f>
        <v>55.4541325</v>
      </c>
      <c r="AU5" s="7">
        <f ca="1">IFERROR(__xludf.DUMMYFUNCTION("""COMPUTED_VALUE"""),55.819595)</f>
        <v>55.819595</v>
      </c>
      <c r="AV5" s="7">
        <f ca="1">IFERROR(__xludf.DUMMYFUNCTION("""COMPUTED_VALUE"""),56.1850575)</f>
        <v>56.185057499999999</v>
      </c>
      <c r="AW5" s="7">
        <f ca="1">IFERROR(__xludf.DUMMYFUNCTION("""COMPUTED_VALUE"""),56.55052)</f>
        <v>56.550519999999999</v>
      </c>
      <c r="AX5" s="7">
        <f ca="1">IFERROR(__xludf.DUMMYFUNCTION("""COMPUTED_VALUE"""),56.9159825)</f>
        <v>56.915982499999998</v>
      </c>
      <c r="AY5" s="7">
        <f ca="1">IFERROR(__xludf.DUMMYFUNCTION("""COMPUTED_VALUE"""),57.281445)</f>
        <v>57.281444999999998</v>
      </c>
      <c r="AZ5" s="7">
        <f ca="1">IFERROR(__xludf.DUMMYFUNCTION("""COMPUTED_VALUE"""),57.6469075)</f>
        <v>57.646907499999998</v>
      </c>
      <c r="BA5" s="7">
        <f ca="1">IFERROR(__xludf.DUMMYFUNCTION("""COMPUTED_VALUE"""),58.01237)</f>
        <v>58.012369999999997</v>
      </c>
      <c r="BB5" s="7">
        <f ca="1">IFERROR(__xludf.DUMMYFUNCTION("""COMPUTED_VALUE"""),58.3778325)</f>
        <v>58.377832499999997</v>
      </c>
      <c r="BC5" s="7">
        <f ca="1">IFERROR(__xludf.DUMMYFUNCTION("""COMPUTED_VALUE"""),58.743295)</f>
        <v>58.743295000000003</v>
      </c>
      <c r="BD5" s="7">
        <f ca="1">IFERROR(__xludf.DUMMYFUNCTION("""COMPUTED_VALUE"""),59.1087028)</f>
        <v>59.108702800000003</v>
      </c>
      <c r="BE5" s="7">
        <f ca="1">IFERROR(__xludf.DUMMYFUNCTION("""COMPUTED_VALUE"""),59.4741106)</f>
        <v>59.474110600000003</v>
      </c>
      <c r="BF5" s="7">
        <f ca="1">IFERROR(__xludf.DUMMYFUNCTION("""COMPUTED_VALUE"""),59.8395183)</f>
        <v>59.839518300000002</v>
      </c>
      <c r="BG5" s="7">
        <f ca="1">IFERROR(__xludf.DUMMYFUNCTION("""COMPUTED_VALUE"""),60.2049261)</f>
        <v>60.204926100000002</v>
      </c>
      <c r="BH5" s="7">
        <f ca="1">IFERROR(__xludf.DUMMYFUNCTION("""COMPUTED_VALUE"""),60.5703339)</f>
        <v>60.570333900000001</v>
      </c>
      <c r="BI5" s="7">
        <f ca="1">IFERROR(__xludf.DUMMYFUNCTION("""COMPUTED_VALUE"""),60.9359606)</f>
        <v>60.935960600000001</v>
      </c>
      <c r="BJ5" s="7">
        <f ca="1">IFERROR(__xludf.DUMMYFUNCTION("""COMPUTED_VALUE"""),61.3015873)</f>
        <v>61.301587300000001</v>
      </c>
      <c r="BK5" s="7">
        <f ca="1">IFERROR(__xludf.DUMMYFUNCTION("""COMPUTED_VALUE"""),61.667214)</f>
        <v>61.667214000000001</v>
      </c>
      <c r="BL5" s="7">
        <f ca="1">IFERROR(__xludf.DUMMYFUNCTION("""COMPUTED_VALUE"""),62.0328407)</f>
        <v>62.032840700000001</v>
      </c>
      <c r="BM5" s="7">
        <f ca="1">IFERROR(__xludf.DUMMYFUNCTION("""COMPUTED_VALUE"""),62.3984674)</f>
        <v>62.398467400000001</v>
      </c>
      <c r="BN5" s="7" t="b">
        <f ca="1">IFERROR(__xludf.DUMMYFUNCTION("""COMPUTED_VALUE"""),TRUE)</f>
        <v>1</v>
      </c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6" ht="15.75" customHeight="1" x14ac:dyDescent="0.3">
      <c r="A6" s="1" t="s">
        <v>107</v>
      </c>
      <c r="B6" s="3">
        <v>19.162011199999998</v>
      </c>
      <c r="C6" s="3">
        <v>19.5130354</v>
      </c>
      <c r="D6" s="3">
        <v>19.864059600000001</v>
      </c>
      <c r="E6" s="3">
        <v>20.215083799999999</v>
      </c>
      <c r="F6" s="3">
        <v>20.566108</v>
      </c>
      <c r="G6" s="3">
        <v>20.917132200000001</v>
      </c>
      <c r="H6" s="3">
        <v>21.268156399999999</v>
      </c>
      <c r="I6" s="3">
        <v>21.6191806</v>
      </c>
      <c r="J6" s="3">
        <v>21.970204800000001</v>
      </c>
      <c r="K6" s="3">
        <v>22.3212291</v>
      </c>
      <c r="L6" s="3">
        <v>22.672253300000001</v>
      </c>
      <c r="M6" s="3">
        <v>23.1350093</v>
      </c>
      <c r="N6" s="3">
        <v>23.821787799999999</v>
      </c>
      <c r="O6" s="3">
        <v>24.2866541</v>
      </c>
      <c r="P6" s="3">
        <v>24.7514331</v>
      </c>
      <c r="Q6" s="3">
        <v>25.211386699999998</v>
      </c>
      <c r="R6" s="3">
        <v>25.680729100000001</v>
      </c>
      <c r="S6" s="3">
        <v>26.145246100000001</v>
      </c>
      <c r="T6" s="3">
        <v>26.6121759</v>
      </c>
      <c r="U6" s="3">
        <v>27.079105599999998</v>
      </c>
      <c r="V6" s="3">
        <v>27.5460353</v>
      </c>
      <c r="W6" s="3">
        <v>27.9086307</v>
      </c>
      <c r="X6" s="3">
        <v>28.437209899999999</v>
      </c>
      <c r="Y6" s="3">
        <v>29.5835732</v>
      </c>
      <c r="Z6" s="3">
        <v>30.124976</v>
      </c>
      <c r="AA6" s="3">
        <v>30.585975000000001</v>
      </c>
      <c r="AB6" s="3">
        <v>31.151480200000002</v>
      </c>
      <c r="AC6" s="3">
        <v>31.2331407</v>
      </c>
      <c r="AD6" s="3">
        <v>31.2331407</v>
      </c>
      <c r="AE6" s="3">
        <v>31.2331407</v>
      </c>
      <c r="AF6" s="3">
        <v>31.2331407</v>
      </c>
      <c r="AG6" s="7" t="b">
        <f>DASHBOARD!I17</f>
        <v>1</v>
      </c>
      <c r="AH6" s="7" t="str">
        <f ca="1">IFERROR(__xludf.DUMMYFUNCTION("""COMPUTED_VALUE"""),"Cabo Verde")</f>
        <v>Cabo Verde</v>
      </c>
      <c r="AI6" s="7">
        <f ca="1">IFERROR(__xludf.DUMMYFUNCTION("""COMPUTED_VALUE"""),3.81637717)</f>
        <v>3.81637717</v>
      </c>
      <c r="AJ6" s="7">
        <f ca="1">IFERROR(__xludf.DUMMYFUNCTION("""COMPUTED_VALUE"""),4.42034739)</f>
        <v>4.4203473899999999</v>
      </c>
      <c r="AK6" s="7">
        <f ca="1">IFERROR(__xludf.DUMMYFUNCTION("""COMPUTED_VALUE"""),5.02431762)</f>
        <v>5.0243176199999997</v>
      </c>
      <c r="AL6" s="7">
        <f ca="1">IFERROR(__xludf.DUMMYFUNCTION("""COMPUTED_VALUE"""),5.62828784)</f>
        <v>5.6282878399999996</v>
      </c>
      <c r="AM6" s="7">
        <f ca="1">IFERROR(__xludf.DUMMYFUNCTION("""COMPUTED_VALUE"""),6.23225806)</f>
        <v>6.2322580600000004</v>
      </c>
      <c r="AN6" s="7">
        <f ca="1">IFERROR(__xludf.DUMMYFUNCTION("""COMPUTED_VALUE"""),6.83622829)</f>
        <v>6.8362282900000002</v>
      </c>
      <c r="AO6" s="7">
        <f ca="1">IFERROR(__xludf.DUMMYFUNCTION("""COMPUTED_VALUE"""),7.44019851)</f>
        <v>7.4401985100000001</v>
      </c>
      <c r="AP6" s="7">
        <f ca="1">IFERROR(__xludf.DUMMYFUNCTION("""COMPUTED_VALUE"""),8.04416873)</f>
        <v>8.0441687300000009</v>
      </c>
      <c r="AQ6" s="7">
        <f ca="1">IFERROR(__xludf.DUMMYFUNCTION("""COMPUTED_VALUE"""),8.64813896)</f>
        <v>8.6481389600000007</v>
      </c>
      <c r="AR6" s="7">
        <f ca="1">IFERROR(__xludf.DUMMYFUNCTION("""COMPUTED_VALUE"""),9.25210918)</f>
        <v>9.2521091799999997</v>
      </c>
      <c r="AS6" s="7">
        <f ca="1">IFERROR(__xludf.DUMMYFUNCTION("""COMPUTED_VALUE"""),9.8560794)</f>
        <v>9.8560794000000005</v>
      </c>
      <c r="AT6" s="7">
        <f ca="1">IFERROR(__xludf.DUMMYFUNCTION("""COMPUTED_VALUE"""),9.93052109)</f>
        <v>9.9305210899999992</v>
      </c>
      <c r="AU6" s="7">
        <f ca="1">IFERROR(__xludf.DUMMYFUNCTION("""COMPUTED_VALUE"""),10.0049628)</f>
        <v>10.004962799999999</v>
      </c>
      <c r="AV6" s="7">
        <f ca="1">IFERROR(__xludf.DUMMYFUNCTION("""COMPUTED_VALUE"""),10.0794045)</f>
        <v>10.079404500000001</v>
      </c>
      <c r="AW6" s="7">
        <f ca="1">IFERROR(__xludf.DUMMYFUNCTION("""COMPUTED_VALUE"""),10.1538462)</f>
        <v>10.1538462</v>
      </c>
      <c r="AX6" s="7">
        <f ca="1">IFERROR(__xludf.DUMMYFUNCTION("""COMPUTED_VALUE"""),10.2282878)</f>
        <v>10.2282878</v>
      </c>
      <c r="AY6" s="7">
        <f ca="1">IFERROR(__xludf.DUMMYFUNCTION("""COMPUTED_VALUE"""),10.3027295)</f>
        <v>10.3027295</v>
      </c>
      <c r="AZ6" s="7">
        <f ca="1">IFERROR(__xludf.DUMMYFUNCTION("""COMPUTED_VALUE"""),10.3771712)</f>
        <v>10.377171199999999</v>
      </c>
      <c r="BA6" s="7">
        <f ca="1">IFERROR(__xludf.DUMMYFUNCTION("""COMPUTED_VALUE"""),10.4516129)</f>
        <v>10.451612900000001</v>
      </c>
      <c r="BB6" s="7">
        <f ca="1">IFERROR(__xludf.DUMMYFUNCTION("""COMPUTED_VALUE"""),10.5260546)</f>
        <v>10.5260546</v>
      </c>
      <c r="BC6" s="7">
        <f ca="1">IFERROR(__xludf.DUMMYFUNCTION("""COMPUTED_VALUE"""),10.6004963)</f>
        <v>10.6004963</v>
      </c>
      <c r="BD6" s="7">
        <f ca="1">IFERROR(__xludf.DUMMYFUNCTION("""COMPUTED_VALUE"""),10.674938)</f>
        <v>10.674937999999999</v>
      </c>
      <c r="BE6" s="7">
        <f ca="1">IFERROR(__xludf.DUMMYFUNCTION("""COMPUTED_VALUE"""),10.7493797)</f>
        <v>10.7493797</v>
      </c>
      <c r="BF6" s="7">
        <f ca="1">IFERROR(__xludf.DUMMYFUNCTION("""COMPUTED_VALUE"""),10.8238213)</f>
        <v>10.823821300000001</v>
      </c>
      <c r="BG6" s="7">
        <f ca="1">IFERROR(__xludf.DUMMYFUNCTION("""COMPUTED_VALUE"""),10.898263)</f>
        <v>10.898263</v>
      </c>
      <c r="BH6" s="7">
        <f ca="1">IFERROR(__xludf.DUMMYFUNCTION("""COMPUTED_VALUE"""),10.9727047)</f>
        <v>10.9727047</v>
      </c>
      <c r="BI6" s="7">
        <f ca="1">IFERROR(__xludf.DUMMYFUNCTION("""COMPUTED_VALUE"""),11.0471464)</f>
        <v>11.047146400000001</v>
      </c>
      <c r="BJ6" s="7">
        <f ca="1">IFERROR(__xludf.DUMMYFUNCTION("""COMPUTED_VALUE"""),11.1215881)</f>
        <v>11.1215881</v>
      </c>
      <c r="BK6" s="7">
        <f ca="1">IFERROR(__xludf.DUMMYFUNCTION("""COMPUTED_VALUE"""),11.1960298)</f>
        <v>11.1960298</v>
      </c>
      <c r="BL6" s="7">
        <f ca="1">IFERROR(__xludf.DUMMYFUNCTION("""COMPUTED_VALUE"""),11.2704715)</f>
        <v>11.270471499999999</v>
      </c>
      <c r="BM6" s="7">
        <f ca="1">IFERROR(__xludf.DUMMYFUNCTION("""COMPUTED_VALUE"""),11.3449132)</f>
        <v>11.344913200000001</v>
      </c>
      <c r="BN6" s="7" t="b">
        <f ca="1">IFERROR(__xludf.DUMMYFUNCTION("""COMPUTED_VALUE"""),TRUE)</f>
        <v>1</v>
      </c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6" ht="15.75" customHeight="1" x14ac:dyDescent="0.3">
      <c r="A7" s="1" t="s">
        <v>125</v>
      </c>
      <c r="B7" s="3">
        <v>33.013661800000001</v>
      </c>
      <c r="C7" s="3">
        <v>33.795239100000003</v>
      </c>
      <c r="D7" s="3">
        <v>34.576816399999998</v>
      </c>
      <c r="E7" s="3">
        <v>35.358393700000001</v>
      </c>
      <c r="F7" s="3">
        <v>36.139971000000003</v>
      </c>
      <c r="G7" s="3">
        <v>36.921548299999998</v>
      </c>
      <c r="H7" s="3">
        <v>37.7031256</v>
      </c>
      <c r="I7" s="3">
        <v>38.484703000000003</v>
      </c>
      <c r="J7" s="3">
        <v>39.266280299999998</v>
      </c>
      <c r="K7" s="3">
        <v>40.0478576</v>
      </c>
      <c r="L7" s="3">
        <v>40.829434900000003</v>
      </c>
      <c r="M7" s="3">
        <v>41.037776899999997</v>
      </c>
      <c r="N7" s="3">
        <v>41.246118799999998</v>
      </c>
      <c r="O7" s="3">
        <v>41.4544608</v>
      </c>
      <c r="P7" s="3">
        <v>41.6628027</v>
      </c>
      <c r="Q7" s="3">
        <v>41.871144700000002</v>
      </c>
      <c r="R7" s="3">
        <v>42.079486600000003</v>
      </c>
      <c r="S7" s="3">
        <v>42.287828599999997</v>
      </c>
      <c r="T7" s="3">
        <v>42.496170599999999</v>
      </c>
      <c r="U7" s="3">
        <v>42.7045125</v>
      </c>
      <c r="V7" s="3">
        <v>42.912854500000002</v>
      </c>
      <c r="W7" s="3">
        <v>43.039246499999997</v>
      </c>
      <c r="X7" s="3">
        <v>43.165638600000001</v>
      </c>
      <c r="Y7" s="3">
        <v>43.292030599999997</v>
      </c>
      <c r="Z7" s="3">
        <v>43.418422700000001</v>
      </c>
      <c r="AA7" s="3">
        <v>43.544814700000003</v>
      </c>
      <c r="AB7" s="3">
        <v>43.712274899999997</v>
      </c>
      <c r="AC7" s="3">
        <v>43.879734999999997</v>
      </c>
      <c r="AD7" s="3">
        <v>44.047195199999997</v>
      </c>
      <c r="AE7" s="3">
        <v>44.214655399999998</v>
      </c>
      <c r="AF7" s="3">
        <v>44.382115499999998</v>
      </c>
      <c r="AG7" s="7" t="b">
        <f>DASHBOARD!I18</f>
        <v>1</v>
      </c>
      <c r="AH7" s="7" t="str">
        <f ca="1">IFERROR(__xludf.DUMMYFUNCTION("""COMPUTED_VALUE"""),"Guam")</f>
        <v>Guam</v>
      </c>
      <c r="AI7" s="7">
        <f ca="1">IFERROR(__xludf.DUMMYFUNCTION("""COMPUTED_VALUE"""),44.4444444)</f>
        <v>44.444444400000002</v>
      </c>
      <c r="AJ7" s="7">
        <f ca="1">IFERROR(__xludf.DUMMYFUNCTION("""COMPUTED_VALUE"""),44.4444444)</f>
        <v>44.444444400000002</v>
      </c>
      <c r="AK7" s="7">
        <f ca="1">IFERROR(__xludf.DUMMYFUNCTION("""COMPUTED_VALUE"""),44.4444444)</f>
        <v>44.444444400000002</v>
      </c>
      <c r="AL7" s="7">
        <f ca="1">IFERROR(__xludf.DUMMYFUNCTION("""COMPUTED_VALUE"""),44.4444444)</f>
        <v>44.444444400000002</v>
      </c>
      <c r="AM7" s="7">
        <f ca="1">IFERROR(__xludf.DUMMYFUNCTION("""COMPUTED_VALUE"""),44.4444444)</f>
        <v>44.444444400000002</v>
      </c>
      <c r="AN7" s="7">
        <f ca="1">IFERROR(__xludf.DUMMYFUNCTION("""COMPUTED_VALUE"""),44.4444444)</f>
        <v>44.444444400000002</v>
      </c>
      <c r="AO7" s="7">
        <f ca="1">IFERROR(__xludf.DUMMYFUNCTION("""COMPUTED_VALUE"""),44.4444444)</f>
        <v>44.444444400000002</v>
      </c>
      <c r="AP7" s="7">
        <f ca="1">IFERROR(__xludf.DUMMYFUNCTION("""COMPUTED_VALUE"""),44.4444444)</f>
        <v>44.444444400000002</v>
      </c>
      <c r="AQ7" s="7">
        <f ca="1">IFERROR(__xludf.DUMMYFUNCTION("""COMPUTED_VALUE"""),44.4444444)</f>
        <v>44.444444400000002</v>
      </c>
      <c r="AR7" s="7">
        <f ca="1">IFERROR(__xludf.DUMMYFUNCTION("""COMPUTED_VALUE"""),44.4444444)</f>
        <v>44.444444400000002</v>
      </c>
      <c r="AS7" s="7">
        <f ca="1">IFERROR(__xludf.DUMMYFUNCTION("""COMPUTED_VALUE"""),44.4444444)</f>
        <v>44.444444400000002</v>
      </c>
      <c r="AT7" s="7">
        <f ca="1">IFERROR(__xludf.DUMMYFUNCTION("""COMPUTED_VALUE"""),44.4444444)</f>
        <v>44.444444400000002</v>
      </c>
      <c r="AU7" s="7">
        <f ca="1">IFERROR(__xludf.DUMMYFUNCTION("""COMPUTED_VALUE"""),44.4444444)</f>
        <v>44.444444400000002</v>
      </c>
      <c r="AV7" s="7">
        <f ca="1">IFERROR(__xludf.DUMMYFUNCTION("""COMPUTED_VALUE"""),44.4444444)</f>
        <v>44.444444400000002</v>
      </c>
      <c r="AW7" s="7">
        <f ca="1">IFERROR(__xludf.DUMMYFUNCTION("""COMPUTED_VALUE"""),44.4444444)</f>
        <v>44.444444400000002</v>
      </c>
      <c r="AX7" s="7">
        <f ca="1">IFERROR(__xludf.DUMMYFUNCTION("""COMPUTED_VALUE"""),44.4444444)</f>
        <v>44.444444400000002</v>
      </c>
      <c r="AY7" s="7">
        <f ca="1">IFERROR(__xludf.DUMMYFUNCTION("""COMPUTED_VALUE"""),44.4444444)</f>
        <v>44.444444400000002</v>
      </c>
      <c r="AZ7" s="7">
        <f ca="1">IFERROR(__xludf.DUMMYFUNCTION("""COMPUTED_VALUE"""),44.4444444)</f>
        <v>44.444444400000002</v>
      </c>
      <c r="BA7" s="7">
        <f ca="1">IFERROR(__xludf.DUMMYFUNCTION("""COMPUTED_VALUE"""),44.4444444)</f>
        <v>44.444444400000002</v>
      </c>
      <c r="BB7" s="7">
        <f ca="1">IFERROR(__xludf.DUMMYFUNCTION("""COMPUTED_VALUE"""),44.4444444)</f>
        <v>44.444444400000002</v>
      </c>
      <c r="BC7" s="7">
        <f ca="1">IFERROR(__xludf.DUMMYFUNCTION("""COMPUTED_VALUE"""),44.4444444)</f>
        <v>44.444444400000002</v>
      </c>
      <c r="BD7" s="7">
        <f ca="1">IFERROR(__xludf.DUMMYFUNCTION("""COMPUTED_VALUE"""),44.8148148)</f>
        <v>44.814814800000001</v>
      </c>
      <c r="BE7" s="7">
        <f ca="1">IFERROR(__xludf.DUMMYFUNCTION("""COMPUTED_VALUE"""),45.1851852)</f>
        <v>45.185185199999999</v>
      </c>
      <c r="BF7" s="7">
        <f ca="1">IFERROR(__xludf.DUMMYFUNCTION("""COMPUTED_VALUE"""),45.5555556)</f>
        <v>45.555555599999998</v>
      </c>
      <c r="BG7" s="7">
        <f ca="1">IFERROR(__xludf.DUMMYFUNCTION("""COMPUTED_VALUE"""),45.9259259)</f>
        <v>45.925925900000003</v>
      </c>
      <c r="BH7" s="7">
        <f ca="1">IFERROR(__xludf.DUMMYFUNCTION("""COMPUTED_VALUE"""),46.2962963)</f>
        <v>46.296296300000002</v>
      </c>
      <c r="BI7" s="7">
        <f ca="1">IFERROR(__xludf.DUMMYFUNCTION("""COMPUTED_VALUE"""),51.8518519)</f>
        <v>51.8518519</v>
      </c>
      <c r="BJ7" s="7">
        <f ca="1">IFERROR(__xludf.DUMMYFUNCTION("""COMPUTED_VALUE"""),51.8518519)</f>
        <v>51.8518519</v>
      </c>
      <c r="BK7" s="7">
        <f ca="1">IFERROR(__xludf.DUMMYFUNCTION("""COMPUTED_VALUE"""),51.8518519)</f>
        <v>51.8518519</v>
      </c>
      <c r="BL7" s="7">
        <f ca="1">IFERROR(__xludf.DUMMYFUNCTION("""COMPUTED_VALUE"""),51.8518519)</f>
        <v>51.8518519</v>
      </c>
      <c r="BM7" s="7">
        <f ca="1">IFERROR(__xludf.DUMMYFUNCTION("""COMPUTED_VALUE"""),51.8518519)</f>
        <v>51.8518519</v>
      </c>
      <c r="BN7" s="7" t="b">
        <f ca="1">IFERROR(__xludf.DUMMYFUNCTION("""COMPUTED_VALUE"""),TRUE)</f>
        <v>1</v>
      </c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6" ht="15.75" customHeight="1" x14ac:dyDescent="0.3">
      <c r="A8" s="1" t="s">
        <v>159</v>
      </c>
      <c r="B8" s="3">
        <v>51.433497500000001</v>
      </c>
      <c r="C8" s="3">
        <v>51.799014800000002</v>
      </c>
      <c r="D8" s="3">
        <v>52.164532000000001</v>
      </c>
      <c r="E8" s="3">
        <v>52.530049300000002</v>
      </c>
      <c r="F8" s="3">
        <v>52.895566500000001</v>
      </c>
      <c r="G8" s="3">
        <v>53.2610837</v>
      </c>
      <c r="H8" s="3">
        <v>53.626601000000001</v>
      </c>
      <c r="I8" s="3">
        <v>53.9921182</v>
      </c>
      <c r="J8" s="3">
        <v>54.357635500000001</v>
      </c>
      <c r="K8" s="3">
        <v>54.7231527</v>
      </c>
      <c r="L8" s="3">
        <v>55.08867</v>
      </c>
      <c r="M8" s="3">
        <v>55.4541325</v>
      </c>
      <c r="N8" s="3">
        <v>55.819595</v>
      </c>
      <c r="O8" s="3">
        <v>56.185057499999999</v>
      </c>
      <c r="P8" s="3">
        <v>56.550519999999999</v>
      </c>
      <c r="Q8" s="3">
        <v>56.915982499999998</v>
      </c>
      <c r="R8" s="3">
        <v>57.281444999999998</v>
      </c>
      <c r="S8" s="3">
        <v>57.646907499999998</v>
      </c>
      <c r="T8" s="3">
        <v>58.012369999999997</v>
      </c>
      <c r="U8" s="3">
        <v>58.377832499999997</v>
      </c>
      <c r="V8" s="3">
        <v>58.743295000000003</v>
      </c>
      <c r="W8" s="3">
        <v>59.108702800000003</v>
      </c>
      <c r="X8" s="3">
        <v>59.474110600000003</v>
      </c>
      <c r="Y8" s="3">
        <v>59.839518300000002</v>
      </c>
      <c r="Z8" s="3">
        <v>60.204926100000002</v>
      </c>
      <c r="AA8" s="3">
        <v>60.570333900000001</v>
      </c>
      <c r="AB8" s="3">
        <v>60.935960600000001</v>
      </c>
      <c r="AC8" s="3">
        <v>61.301587300000001</v>
      </c>
      <c r="AD8" s="3">
        <v>61.667214000000001</v>
      </c>
      <c r="AE8" s="3">
        <v>62.032840700000001</v>
      </c>
      <c r="AF8" s="3">
        <v>62.398467400000001</v>
      </c>
      <c r="AG8" s="7" t="b">
        <f>DASHBOARD!I19</f>
        <v>1</v>
      </c>
      <c r="AH8" s="7" t="str">
        <f ca="1">IFERROR(__xludf.DUMMYFUNCTION("""COMPUTED_VALUE"""),"Uruguay")</f>
        <v>Uruguay</v>
      </c>
      <c r="AI8" s="7">
        <f ca="1">IFERROR(__xludf.DUMMYFUNCTION("""COMPUTED_VALUE"""),4.55947892)</f>
        <v>4.5594789200000001</v>
      </c>
      <c r="AJ8" s="7">
        <f ca="1">IFERROR(__xludf.DUMMYFUNCTION("""COMPUTED_VALUE"""),4.88572735)</f>
        <v>4.8857273499999998</v>
      </c>
      <c r="AK8" s="7">
        <f ca="1">IFERROR(__xludf.DUMMYFUNCTION("""COMPUTED_VALUE"""),5.21197577)</f>
        <v>5.2119757699999996</v>
      </c>
      <c r="AL8" s="7">
        <f ca="1">IFERROR(__xludf.DUMMYFUNCTION("""COMPUTED_VALUE"""),5.5382242)</f>
        <v>5.5382242000000002</v>
      </c>
      <c r="AM8" s="7">
        <f ca="1">IFERROR(__xludf.DUMMYFUNCTION("""COMPUTED_VALUE"""),5.86447263)</f>
        <v>5.8644726299999999</v>
      </c>
      <c r="AN8" s="7">
        <f ca="1">IFERROR(__xludf.DUMMYFUNCTION("""COMPUTED_VALUE"""),6.19072106)</f>
        <v>6.1907210600000004</v>
      </c>
      <c r="AO8" s="7">
        <f ca="1">IFERROR(__xludf.DUMMYFUNCTION("""COMPUTED_VALUE"""),6.51696949)</f>
        <v>6.5169694900000001</v>
      </c>
      <c r="AP8" s="7">
        <f ca="1">IFERROR(__xludf.DUMMYFUNCTION("""COMPUTED_VALUE"""),6.84321792)</f>
        <v>6.8432179199999998</v>
      </c>
      <c r="AQ8" s="7">
        <f ca="1">IFERROR(__xludf.DUMMYFUNCTION("""COMPUTED_VALUE"""),7.16946635)</f>
        <v>7.1694663500000004</v>
      </c>
      <c r="AR8" s="7">
        <f ca="1">IFERROR(__xludf.DUMMYFUNCTION("""COMPUTED_VALUE"""),7.49571478)</f>
        <v>7.4957147800000001</v>
      </c>
      <c r="AS8" s="7">
        <f ca="1">IFERROR(__xludf.DUMMYFUNCTION("""COMPUTED_VALUE"""),7.8219632)</f>
        <v>7.8219631999999999</v>
      </c>
      <c r="AT8" s="7">
        <f ca="1">IFERROR(__xludf.DUMMYFUNCTION("""COMPUTED_VALUE"""),8.02896812)</f>
        <v>8.02896812</v>
      </c>
      <c r="AU8" s="7">
        <f ca="1">IFERROR(__xludf.DUMMYFUNCTION("""COMPUTED_VALUE"""),8.23597303)</f>
        <v>8.2359730300000003</v>
      </c>
      <c r="AV8" s="7">
        <f ca="1">IFERROR(__xludf.DUMMYFUNCTION("""COMPUTED_VALUE"""),8.44297795)</f>
        <v>8.4429779499999995</v>
      </c>
      <c r="AW8" s="7">
        <f ca="1">IFERROR(__xludf.DUMMYFUNCTION("""COMPUTED_VALUE"""),8.64998286)</f>
        <v>8.6499828599999997</v>
      </c>
      <c r="AX8" s="7">
        <f ca="1">IFERROR(__xludf.DUMMYFUNCTION("""COMPUTED_VALUE"""),8.85698777)</f>
        <v>8.8569877699999999</v>
      </c>
      <c r="AY8" s="7">
        <f ca="1">IFERROR(__xludf.DUMMYFUNCTION("""COMPUTED_VALUE"""),9.06399269)</f>
        <v>9.0639926899999992</v>
      </c>
      <c r="AZ8" s="7">
        <f ca="1">IFERROR(__xludf.DUMMYFUNCTION("""COMPUTED_VALUE"""),9.2709976)</f>
        <v>9.2709975999999994</v>
      </c>
      <c r="BA8" s="7">
        <f ca="1">IFERROR(__xludf.DUMMYFUNCTION("""COMPUTED_VALUE"""),9.47800251)</f>
        <v>9.4780025099999996</v>
      </c>
      <c r="BB8" s="7">
        <f ca="1">IFERROR(__xludf.DUMMYFUNCTION("""COMPUTED_VALUE"""),9.68500743)</f>
        <v>9.6850074300000006</v>
      </c>
      <c r="BC8" s="7">
        <f ca="1">IFERROR(__xludf.DUMMYFUNCTION("""COMPUTED_VALUE"""),9.89201234)</f>
        <v>9.8920123400000008</v>
      </c>
      <c r="BD8" s="7">
        <f ca="1">IFERROR(__xludf.DUMMYFUNCTION("""COMPUTED_VALUE"""),10.1076448)</f>
        <v>10.107644799999999</v>
      </c>
      <c r="BE8" s="7">
        <f ca="1">IFERROR(__xludf.DUMMYFUNCTION("""COMPUTED_VALUE"""),10.3232773)</f>
        <v>10.323277300000001</v>
      </c>
      <c r="BF8" s="7">
        <f ca="1">IFERROR(__xludf.DUMMYFUNCTION("""COMPUTED_VALUE"""),10.5389098)</f>
        <v>10.538909800000001</v>
      </c>
      <c r="BG8" s="7">
        <f ca="1">IFERROR(__xludf.DUMMYFUNCTION("""COMPUTED_VALUE"""),10.7545423)</f>
        <v>10.754542300000001</v>
      </c>
      <c r="BH8" s="7">
        <f ca="1">IFERROR(__xludf.DUMMYFUNCTION("""COMPUTED_VALUE"""),10.9701748)</f>
        <v>10.970174800000001</v>
      </c>
      <c r="BI8" s="7">
        <f ca="1">IFERROR(__xludf.DUMMYFUNCTION("""COMPUTED_VALUE"""),11.1244429)</f>
        <v>11.1244429</v>
      </c>
      <c r="BJ8" s="7">
        <f ca="1">IFERROR(__xludf.DUMMYFUNCTION("""COMPUTED_VALUE"""),11.2444292)</f>
        <v>11.244429200000001</v>
      </c>
      <c r="BK8" s="7">
        <f ca="1">IFERROR(__xludf.DUMMYFUNCTION("""COMPUTED_VALUE"""),11.3644155)</f>
        <v>11.3644155</v>
      </c>
      <c r="BL8" s="7">
        <f ca="1">IFERROR(__xludf.DUMMYFUNCTION("""COMPUTED_VALUE"""),11.4844018)</f>
        <v>11.484401800000001</v>
      </c>
      <c r="BM8" s="7">
        <f ca="1">IFERROR(__xludf.DUMMYFUNCTION("""COMPUTED_VALUE"""),11.6043881)</f>
        <v>11.6043881</v>
      </c>
      <c r="BN8" s="7" t="b">
        <f ca="1">IFERROR(__xludf.DUMMYFUNCTION("""COMPUTED_VALUE"""),TRUE)</f>
        <v>1</v>
      </c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6" ht="15.75" customHeight="1" x14ac:dyDescent="0.3">
      <c r="A9" s="1" t="s">
        <v>147</v>
      </c>
      <c r="B9" s="3">
        <v>27.840501400000001</v>
      </c>
      <c r="C9" s="3">
        <v>28.4790706</v>
      </c>
      <c r="D9" s="3">
        <v>29.117639799999999</v>
      </c>
      <c r="E9" s="3">
        <v>29.756208999999998</v>
      </c>
      <c r="F9" s="3">
        <v>30.394778200000001</v>
      </c>
      <c r="G9" s="3">
        <v>31.033347299999999</v>
      </c>
      <c r="H9" s="3">
        <v>31.671916499999998</v>
      </c>
      <c r="I9" s="3">
        <v>32.310485700000001</v>
      </c>
      <c r="J9" s="3">
        <v>32.9490549</v>
      </c>
      <c r="K9" s="3">
        <v>33.587624099999999</v>
      </c>
      <c r="L9" s="3">
        <v>34.2563727</v>
      </c>
      <c r="M9" s="3">
        <v>34.580500299999997</v>
      </c>
      <c r="N9" s="3">
        <v>34.835307800000002</v>
      </c>
      <c r="O9" s="3">
        <v>35.114186400000001</v>
      </c>
      <c r="P9" s="3">
        <v>35.4070556</v>
      </c>
      <c r="Q9" s="3">
        <v>35.7042517</v>
      </c>
      <c r="R9" s="3">
        <v>36.002998099999999</v>
      </c>
      <c r="S9" s="3">
        <v>36.284420300000001</v>
      </c>
      <c r="T9" s="3">
        <v>36.597951100000003</v>
      </c>
      <c r="U9" s="3">
        <v>36.8992881</v>
      </c>
      <c r="V9" s="3">
        <v>37.089938199999999</v>
      </c>
      <c r="W9" s="3">
        <v>37.101920499999999</v>
      </c>
      <c r="X9" s="3">
        <v>37.079778500000003</v>
      </c>
      <c r="Y9" s="3">
        <v>37.082113499999998</v>
      </c>
      <c r="Z9" s="3">
        <v>37.084448500000001</v>
      </c>
      <c r="AA9" s="3">
        <v>37.127532500000001</v>
      </c>
      <c r="AB9" s="3">
        <v>37.1428686</v>
      </c>
      <c r="AC9" s="3">
        <v>37.152233899999999</v>
      </c>
      <c r="AD9" s="3">
        <v>37.156646799999997</v>
      </c>
      <c r="AE9" s="3">
        <v>37.165233600000001</v>
      </c>
      <c r="AF9" s="3">
        <v>37.173820399999997</v>
      </c>
      <c r="AG9" s="7" t="b">
        <f>DASHBOARD!I20</f>
        <v>0</v>
      </c>
      <c r="AH9" s="7" t="str">
        <f ca="1">IFERROR(__xludf.DUMMYFUNCTION("""COMPUTED_VALUE"""),"St. Martin (French part)")</f>
        <v>St. Martin (French part)</v>
      </c>
      <c r="AI9" s="7">
        <f ca="1">IFERROR(__xludf.DUMMYFUNCTION("""COMPUTED_VALUE"""),18.3823529)</f>
        <v>18.382352900000001</v>
      </c>
      <c r="AJ9" s="7">
        <f ca="1">IFERROR(__xludf.DUMMYFUNCTION("""COMPUTED_VALUE"""),18.3823529)</f>
        <v>18.382352900000001</v>
      </c>
      <c r="AK9" s="7">
        <f ca="1">IFERROR(__xludf.DUMMYFUNCTION("""COMPUTED_VALUE"""),18.3823529)</f>
        <v>18.382352900000001</v>
      </c>
      <c r="AL9" s="7">
        <f ca="1">IFERROR(__xludf.DUMMYFUNCTION("""COMPUTED_VALUE"""),18.3823529)</f>
        <v>18.382352900000001</v>
      </c>
      <c r="AM9" s="7">
        <f ca="1">IFERROR(__xludf.DUMMYFUNCTION("""COMPUTED_VALUE"""),18.3823529)</f>
        <v>18.382352900000001</v>
      </c>
      <c r="AN9" s="7">
        <f ca="1">IFERROR(__xludf.DUMMYFUNCTION("""COMPUTED_VALUE"""),18.3823529)</f>
        <v>18.382352900000001</v>
      </c>
      <c r="AO9" s="7">
        <f ca="1">IFERROR(__xludf.DUMMYFUNCTION("""COMPUTED_VALUE"""),18.3823529)</f>
        <v>18.382352900000001</v>
      </c>
      <c r="AP9" s="7">
        <f ca="1">IFERROR(__xludf.DUMMYFUNCTION("""COMPUTED_VALUE"""),18.3823529)</f>
        <v>18.382352900000001</v>
      </c>
      <c r="AQ9" s="7">
        <f ca="1">IFERROR(__xludf.DUMMYFUNCTION("""COMPUTED_VALUE"""),18.3823529)</f>
        <v>18.382352900000001</v>
      </c>
      <c r="AR9" s="7">
        <f ca="1">IFERROR(__xludf.DUMMYFUNCTION("""COMPUTED_VALUE"""),18.3823529)</f>
        <v>18.382352900000001</v>
      </c>
      <c r="AS9" s="7">
        <f ca="1">IFERROR(__xludf.DUMMYFUNCTION("""COMPUTED_VALUE"""),22.7941176)</f>
        <v>22.7941176</v>
      </c>
      <c r="AT9" s="7">
        <f ca="1">IFERROR(__xludf.DUMMYFUNCTION("""COMPUTED_VALUE"""),18.3823529)</f>
        <v>18.382352900000001</v>
      </c>
      <c r="AU9" s="7">
        <f ca="1">IFERROR(__xludf.DUMMYFUNCTION("""COMPUTED_VALUE"""),18.3823529)</f>
        <v>18.382352900000001</v>
      </c>
      <c r="AV9" s="7">
        <f ca="1">IFERROR(__xludf.DUMMYFUNCTION("""COMPUTED_VALUE"""),18.3823529)</f>
        <v>18.382352900000001</v>
      </c>
      <c r="AW9" s="7">
        <f ca="1">IFERROR(__xludf.DUMMYFUNCTION("""COMPUTED_VALUE"""),18.3823529)</f>
        <v>18.382352900000001</v>
      </c>
      <c r="AX9" s="7">
        <f ca="1">IFERROR(__xludf.DUMMYFUNCTION("""COMPUTED_VALUE"""),18.3823529)</f>
        <v>18.382352900000001</v>
      </c>
      <c r="AY9" s="7">
        <f ca="1">IFERROR(__xludf.DUMMYFUNCTION("""COMPUTED_VALUE"""),18.3823529)</f>
        <v>18.382352900000001</v>
      </c>
      <c r="AZ9" s="7">
        <f ca="1">IFERROR(__xludf.DUMMYFUNCTION("""COMPUTED_VALUE"""),18.3823529)</f>
        <v>18.382352900000001</v>
      </c>
      <c r="BA9" s="7">
        <f ca="1">IFERROR(__xludf.DUMMYFUNCTION("""COMPUTED_VALUE"""),18.3823529)</f>
        <v>18.382352900000001</v>
      </c>
      <c r="BB9" s="7">
        <f ca="1">IFERROR(__xludf.DUMMYFUNCTION("""COMPUTED_VALUE"""),18.3823529)</f>
        <v>18.382352900000001</v>
      </c>
      <c r="BC9" s="7">
        <f ca="1">IFERROR(__xludf.DUMMYFUNCTION("""COMPUTED_VALUE"""),22.7941176)</f>
        <v>22.7941176</v>
      </c>
      <c r="BD9" s="7">
        <f ca="1">IFERROR(__xludf.DUMMYFUNCTION("""COMPUTED_VALUE"""),24.8)</f>
        <v>24.8</v>
      </c>
      <c r="BE9" s="7">
        <f ca="1">IFERROR(__xludf.DUMMYFUNCTION("""COMPUTED_VALUE"""),24.8)</f>
        <v>24.8</v>
      </c>
      <c r="BF9" s="7">
        <f ca="1">IFERROR(__xludf.DUMMYFUNCTION("""COMPUTED_VALUE"""),24.8)</f>
        <v>24.8</v>
      </c>
      <c r="BG9" s="7">
        <f ca="1">IFERROR(__xludf.DUMMYFUNCTION("""COMPUTED_VALUE"""),24.8)</f>
        <v>24.8</v>
      </c>
      <c r="BH9" s="7">
        <f ca="1">IFERROR(__xludf.DUMMYFUNCTION("""COMPUTED_VALUE"""),24.8)</f>
        <v>24.8</v>
      </c>
      <c r="BI9" s="7">
        <f ca="1">IFERROR(__xludf.DUMMYFUNCTION("""COMPUTED_VALUE"""),24.8)</f>
        <v>24.8</v>
      </c>
      <c r="BJ9" s="7">
        <f ca="1">IFERROR(__xludf.DUMMYFUNCTION("""COMPUTED_VALUE"""),24.8)</f>
        <v>24.8</v>
      </c>
      <c r="BK9" s="7">
        <f ca="1">IFERROR(__xludf.DUMMYFUNCTION("""COMPUTED_VALUE"""),24.8)</f>
        <v>24.8</v>
      </c>
      <c r="BL9" s="7">
        <f ca="1">IFERROR(__xludf.DUMMYFUNCTION("""COMPUTED_VALUE"""),24.8)</f>
        <v>24.8</v>
      </c>
      <c r="BM9" s="7">
        <f ca="1">IFERROR(__xludf.DUMMYFUNCTION("""COMPUTED_VALUE"""),24.8)</f>
        <v>24.8</v>
      </c>
      <c r="BN9" s="7" t="b">
        <f ca="1">IFERROR(__xludf.DUMMYFUNCTION("""COMPUTED_VALUE"""),TRUE)</f>
        <v>1</v>
      </c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6" ht="15.75" customHeight="1" x14ac:dyDescent="0.3">
      <c r="A10" s="1" t="s">
        <v>101</v>
      </c>
      <c r="B10" s="3">
        <v>3.81637717</v>
      </c>
      <c r="C10" s="3">
        <v>4.4203473899999999</v>
      </c>
      <c r="D10" s="3">
        <v>5.0243176199999997</v>
      </c>
      <c r="E10" s="3">
        <v>5.6282878399999996</v>
      </c>
      <c r="F10" s="3">
        <v>6.2322580600000004</v>
      </c>
      <c r="G10" s="3">
        <v>6.8362282900000002</v>
      </c>
      <c r="H10" s="3">
        <v>7.4401985100000001</v>
      </c>
      <c r="I10" s="3">
        <v>8.0441687300000009</v>
      </c>
      <c r="J10" s="3">
        <v>8.6481389600000007</v>
      </c>
      <c r="K10" s="3">
        <v>9.2521091799999997</v>
      </c>
      <c r="L10" s="3">
        <v>9.8560794000000005</v>
      </c>
      <c r="M10" s="3">
        <v>9.9305210899999992</v>
      </c>
      <c r="N10" s="3">
        <v>10.004962799999999</v>
      </c>
      <c r="O10" s="3">
        <v>10.079404500000001</v>
      </c>
      <c r="P10" s="3">
        <v>10.1538462</v>
      </c>
      <c r="Q10" s="3">
        <v>10.2282878</v>
      </c>
      <c r="R10" s="3">
        <v>10.3027295</v>
      </c>
      <c r="S10" s="3">
        <v>10.377171199999999</v>
      </c>
      <c r="T10" s="3">
        <v>10.451612900000001</v>
      </c>
      <c r="U10" s="3">
        <v>10.5260546</v>
      </c>
      <c r="V10" s="3">
        <v>10.6004963</v>
      </c>
      <c r="W10" s="3">
        <v>10.674937999999999</v>
      </c>
      <c r="X10" s="3">
        <v>10.7493797</v>
      </c>
      <c r="Y10" s="3">
        <v>10.823821300000001</v>
      </c>
      <c r="Z10" s="3">
        <v>10.898263</v>
      </c>
      <c r="AA10" s="3">
        <v>10.9727047</v>
      </c>
      <c r="AB10" s="3">
        <v>11.047146400000001</v>
      </c>
      <c r="AC10" s="3">
        <v>11.1215881</v>
      </c>
      <c r="AD10" s="3">
        <v>11.1960298</v>
      </c>
      <c r="AE10" s="3">
        <v>11.270471499999999</v>
      </c>
      <c r="AF10" s="3">
        <v>11.344913200000001</v>
      </c>
      <c r="AG10" s="7" t="b">
        <f>DASHBOARD!I21</f>
        <v>1</v>
      </c>
      <c r="AH10" s="7" t="str">
        <f ca="1">IFERROR(__xludf.DUMMYFUNCTION("""COMPUTED_VALUE"""),"Belarus")</f>
        <v>Belarus</v>
      </c>
      <c r="AI10" s="7">
        <f ca="1">IFERROR(__xludf.DUMMYFUNCTION("""COMPUTED_VALUE"""),38.355354)</f>
        <v>38.355353999999998</v>
      </c>
      <c r="AJ10" s="7">
        <f ca="1">IFERROR(__xludf.DUMMYFUNCTION("""COMPUTED_VALUE"""),38.8414514)</f>
        <v>38.841451399999997</v>
      </c>
      <c r="AK10" s="7">
        <f ca="1">IFERROR(__xludf.DUMMYFUNCTION("""COMPUTED_VALUE"""),38.8414514)</f>
        <v>38.841451399999997</v>
      </c>
      <c r="AL10" s="7">
        <f ca="1">IFERROR(__xludf.DUMMYFUNCTION("""COMPUTED_VALUE"""),39.0845001)</f>
        <v>39.0845001</v>
      </c>
      <c r="AM10" s="7">
        <f ca="1">IFERROR(__xludf.DUMMYFUNCTION("""COMPUTED_VALUE"""),39.3275488)</f>
        <v>39.327548800000002</v>
      </c>
      <c r="AN10" s="7">
        <f ca="1">IFERROR(__xludf.DUMMYFUNCTION("""COMPUTED_VALUE"""),39.5705975)</f>
        <v>39.570597499999998</v>
      </c>
      <c r="AO10" s="7">
        <f ca="1">IFERROR(__xludf.DUMMYFUNCTION("""COMPUTED_VALUE"""),39.8136462)</f>
        <v>39.813646200000001</v>
      </c>
      <c r="AP10" s="7">
        <f ca="1">IFERROR(__xludf.DUMMYFUNCTION("""COMPUTED_VALUE"""),40.0566949)</f>
        <v>40.056694899999997</v>
      </c>
      <c r="AQ10" s="7">
        <f ca="1">IFERROR(__xludf.DUMMYFUNCTION("""COMPUTED_VALUE"""),40.2997436)</f>
        <v>40.299743599999999</v>
      </c>
      <c r="AR10" s="7">
        <f ca="1">IFERROR(__xludf.DUMMYFUNCTION("""COMPUTED_VALUE"""),40.5427923)</f>
        <v>40.542792300000002</v>
      </c>
      <c r="AS10" s="7">
        <f ca="1">IFERROR(__xludf.DUMMYFUNCTION("""COMPUTED_VALUE"""),40.7858411)</f>
        <v>40.785841099999999</v>
      </c>
      <c r="AT10" s="7">
        <f ca="1">IFERROR(__xludf.DUMMYFUNCTION("""COMPUTED_VALUE"""),40.9618418)</f>
        <v>40.961841800000002</v>
      </c>
      <c r="AU10" s="7">
        <f ca="1">IFERROR(__xludf.DUMMYFUNCTION("""COMPUTED_VALUE"""),41.1398708)</f>
        <v>41.139870799999997</v>
      </c>
      <c r="AV10" s="7">
        <f ca="1">IFERROR(__xludf.DUMMYFUNCTION("""COMPUTED_VALUE"""),41.3158803)</f>
        <v>41.315880300000003</v>
      </c>
      <c r="AW10" s="7">
        <f ca="1">IFERROR(__xludf.DUMMYFUNCTION("""COMPUTED_VALUE"""),41.4959815)</f>
        <v>41.495981499999999</v>
      </c>
      <c r="AX10" s="7">
        <f ca="1">IFERROR(__xludf.DUMMYFUNCTION("""COMPUTED_VALUE"""),41.6678992)</f>
        <v>41.667899200000001</v>
      </c>
      <c r="AY10" s="7">
        <f ca="1">IFERROR(__xludf.DUMMYFUNCTION("""COMPUTED_VALUE"""),41.8294726)</f>
        <v>41.829472600000003</v>
      </c>
      <c r="AZ10" s="7">
        <f ca="1">IFERROR(__xludf.DUMMYFUNCTION("""COMPUTED_VALUE"""),42.0054214)</f>
        <v>42.005421400000003</v>
      </c>
      <c r="BA10" s="7">
        <f ca="1">IFERROR(__xludf.DUMMYFUNCTION("""COMPUTED_VALUE"""),42.1813701)</f>
        <v>42.181370100000002</v>
      </c>
      <c r="BB10" s="7">
        <f ca="1">IFERROR(__xludf.DUMMYFUNCTION("""COMPUTED_VALUE"""),42.3740262)</f>
        <v>42.374026200000003</v>
      </c>
      <c r="BC10" s="7">
        <f ca="1">IFERROR(__xludf.DUMMYFUNCTION("""COMPUTED_VALUE"""),42.5332676)</f>
        <v>42.533267600000002</v>
      </c>
      <c r="BD10" s="7">
        <f ca="1">IFERROR(__xludf.DUMMYFUNCTION("""COMPUTED_VALUE"""),42.5346213)</f>
        <v>42.534621299999998</v>
      </c>
      <c r="BE10" s="7">
        <f ca="1">IFERROR(__xludf.DUMMYFUNCTION("""COMPUTED_VALUE"""),42.5380711)</f>
        <v>42.538071100000003</v>
      </c>
      <c r="BF10" s="7">
        <f ca="1">IFERROR(__xludf.DUMMYFUNCTION("""COMPUTED_VALUE"""),42.5419402)</f>
        <v>42.541940199999999</v>
      </c>
      <c r="BG10" s="7">
        <f ca="1">IFERROR(__xludf.DUMMYFUNCTION("""COMPUTED_VALUE"""),42.5317653)</f>
        <v>42.531765300000004</v>
      </c>
      <c r="BH10" s="7">
        <f ca="1">IFERROR(__xludf.DUMMYFUNCTION("""COMPUTED_VALUE"""),42.5341663)</f>
        <v>42.534166300000003</v>
      </c>
      <c r="BI10" s="7">
        <f ca="1">IFERROR(__xludf.DUMMYFUNCTION("""COMPUTED_VALUE"""),42.9069699)</f>
        <v>42.9069699</v>
      </c>
      <c r="BJ10" s="7">
        <f ca="1">IFERROR(__xludf.DUMMYFUNCTION("""COMPUTED_VALUE"""),42.9779792)</f>
        <v>42.9779792</v>
      </c>
      <c r="BK10" s="7">
        <f ca="1">IFERROR(__xludf.DUMMYFUNCTION("""COMPUTED_VALUE"""),43.0515322)</f>
        <v>43.051532199999997</v>
      </c>
      <c r="BL10" s="7">
        <f ca="1">IFERROR(__xludf.DUMMYFUNCTION("""COMPUTED_VALUE"""),43.1229678)</f>
        <v>43.122967799999998</v>
      </c>
      <c r="BM10" s="7">
        <f ca="1">IFERROR(__xludf.DUMMYFUNCTION("""COMPUTED_VALUE"""),43.1944034)</f>
        <v>43.194403399999999</v>
      </c>
      <c r="BN10" s="7" t="b">
        <f ca="1">IFERROR(__xludf.DUMMYFUNCTION("""COMPUTED_VALUE"""),TRUE)</f>
        <v>1</v>
      </c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6" ht="15.75" customHeight="1" x14ac:dyDescent="0.3">
      <c r="A11" s="1" t="s">
        <v>193</v>
      </c>
      <c r="B11" s="3">
        <v>44.444444400000002</v>
      </c>
      <c r="C11" s="3">
        <v>44.444444400000002</v>
      </c>
      <c r="D11" s="3">
        <v>44.444444400000002</v>
      </c>
      <c r="E11" s="3">
        <v>44.444444400000002</v>
      </c>
      <c r="F11" s="3">
        <v>44.444444400000002</v>
      </c>
      <c r="G11" s="3">
        <v>44.444444400000002</v>
      </c>
      <c r="H11" s="3">
        <v>44.444444400000002</v>
      </c>
      <c r="I11" s="3">
        <v>44.444444400000002</v>
      </c>
      <c r="J11" s="3">
        <v>44.444444400000002</v>
      </c>
      <c r="K11" s="3">
        <v>44.444444400000002</v>
      </c>
      <c r="L11" s="3">
        <v>44.444444400000002</v>
      </c>
      <c r="M11" s="3">
        <v>44.444444400000002</v>
      </c>
      <c r="N11" s="3">
        <v>44.444444400000002</v>
      </c>
      <c r="O11" s="3">
        <v>44.444444400000002</v>
      </c>
      <c r="P11" s="3">
        <v>44.444444400000002</v>
      </c>
      <c r="Q11" s="3">
        <v>44.444444400000002</v>
      </c>
      <c r="R11" s="3">
        <v>44.444444400000002</v>
      </c>
      <c r="S11" s="3">
        <v>44.444444400000002</v>
      </c>
      <c r="T11" s="3">
        <v>44.444444400000002</v>
      </c>
      <c r="U11" s="3">
        <v>44.444444400000002</v>
      </c>
      <c r="V11" s="3">
        <v>44.444444400000002</v>
      </c>
      <c r="W11" s="3">
        <v>44.814814800000001</v>
      </c>
      <c r="X11" s="3">
        <v>45.185185199999999</v>
      </c>
      <c r="Y11" s="3">
        <v>45.555555599999998</v>
      </c>
      <c r="Z11" s="3">
        <v>45.925925900000003</v>
      </c>
      <c r="AA11" s="3">
        <v>46.296296300000002</v>
      </c>
      <c r="AB11" s="3">
        <v>51.8518519</v>
      </c>
      <c r="AC11" s="3">
        <v>51.8518519</v>
      </c>
      <c r="AD11" s="3">
        <v>51.8518519</v>
      </c>
      <c r="AE11" s="3">
        <v>51.8518519</v>
      </c>
      <c r="AF11" s="3">
        <v>51.8518519</v>
      </c>
      <c r="AG11" s="7" t="b">
        <f>DASHBOARD!I22</f>
        <v>1</v>
      </c>
      <c r="AH11" s="7" t="str">
        <f ca="1">IFERROR(__xludf.DUMMYFUNCTION("""COMPUTED_VALUE"""),"Greece")</f>
        <v>Greece</v>
      </c>
      <c r="AI11" s="7">
        <f ca="1">IFERROR(__xludf.DUMMYFUNCTION("""COMPUTED_VALUE"""),25.59)</f>
        <v>25.59</v>
      </c>
      <c r="AJ11" s="7">
        <f ca="1">IFERROR(__xludf.DUMMYFUNCTION("""COMPUTED_VALUE"""),25.8240411)</f>
        <v>25.824041099999999</v>
      </c>
      <c r="AK11" s="7">
        <f ca="1">IFERROR(__xludf.DUMMYFUNCTION("""COMPUTED_VALUE"""),26.0580815)</f>
        <v>26.0580815</v>
      </c>
      <c r="AL11" s="7">
        <f ca="1">IFERROR(__xludf.DUMMYFUNCTION("""COMPUTED_VALUE"""),26.2921226)</f>
        <v>26.292122599999999</v>
      </c>
      <c r="AM11" s="7">
        <f ca="1">IFERROR(__xludf.DUMMYFUNCTION("""COMPUTED_VALUE"""),26.5261629)</f>
        <v>26.526162899999999</v>
      </c>
      <c r="AN11" s="7">
        <f ca="1">IFERROR(__xludf.DUMMYFUNCTION("""COMPUTED_VALUE"""),26.760204)</f>
        <v>26.760204000000002</v>
      </c>
      <c r="AO11" s="7">
        <f ca="1">IFERROR(__xludf.DUMMYFUNCTION("""COMPUTED_VALUE"""),26.9942452)</f>
        <v>26.994245200000002</v>
      </c>
      <c r="AP11" s="7">
        <f ca="1">IFERROR(__xludf.DUMMYFUNCTION("""COMPUTED_VALUE"""),27.2282855)</f>
        <v>27.228285499999998</v>
      </c>
      <c r="AQ11" s="7">
        <f ca="1">IFERROR(__xludf.DUMMYFUNCTION("""COMPUTED_VALUE"""),27.4623266)</f>
        <v>27.462326600000001</v>
      </c>
      <c r="AR11" s="7">
        <f ca="1">IFERROR(__xludf.DUMMYFUNCTION("""COMPUTED_VALUE"""),27.696367)</f>
        <v>27.696366999999999</v>
      </c>
      <c r="AS11" s="7">
        <f ca="1">IFERROR(__xludf.DUMMYFUNCTION("""COMPUTED_VALUE"""),27.9304081)</f>
        <v>27.930408100000001</v>
      </c>
      <c r="AT11" s="7">
        <f ca="1">IFERROR(__xludf.DUMMYFUNCTION("""COMPUTED_VALUE"""),28.164367)</f>
        <v>28.164366999999999</v>
      </c>
      <c r="AU11" s="7">
        <f ca="1">IFERROR(__xludf.DUMMYFUNCTION("""COMPUTED_VALUE"""),28.3983266)</f>
        <v>28.398326600000001</v>
      </c>
      <c r="AV11" s="7">
        <f ca="1">IFERROR(__xludf.DUMMYFUNCTION("""COMPUTED_VALUE"""),28.6322855)</f>
        <v>28.632285499999998</v>
      </c>
      <c r="AW11" s="7">
        <f ca="1">IFERROR(__xludf.DUMMYFUNCTION("""COMPUTED_VALUE"""),28.8662452)</f>
        <v>28.866245200000002</v>
      </c>
      <c r="AX11" s="7">
        <f ca="1">IFERROR(__xludf.DUMMYFUNCTION("""COMPUTED_VALUE"""),29.100204)</f>
        <v>29.100204000000002</v>
      </c>
      <c r="AY11" s="7">
        <f ca="1">IFERROR(__xludf.DUMMYFUNCTION("""COMPUTED_VALUE"""),29.3341629)</f>
        <v>29.334162899999999</v>
      </c>
      <c r="AZ11" s="7">
        <f ca="1">IFERROR(__xludf.DUMMYFUNCTION("""COMPUTED_VALUE"""),29.5681226)</f>
        <v>29.568122599999999</v>
      </c>
      <c r="BA11" s="7">
        <f ca="1">IFERROR(__xludf.DUMMYFUNCTION("""COMPUTED_VALUE"""),29.8020815)</f>
        <v>29.8020815</v>
      </c>
      <c r="BB11" s="7">
        <f ca="1">IFERROR(__xludf.DUMMYFUNCTION("""COMPUTED_VALUE"""),30.0360411)</f>
        <v>30.036041099999998</v>
      </c>
      <c r="BC11" s="7">
        <f ca="1">IFERROR(__xludf.DUMMYFUNCTION("""COMPUTED_VALUE"""),30.27)</f>
        <v>30.27</v>
      </c>
      <c r="BD11" s="7">
        <f ca="1">IFERROR(__xludf.DUMMYFUNCTION("""COMPUTED_VALUE"""),30.27)</f>
        <v>30.27</v>
      </c>
      <c r="BE11" s="7">
        <f ca="1">IFERROR(__xludf.DUMMYFUNCTION("""COMPUTED_VALUE"""),30.27)</f>
        <v>30.27</v>
      </c>
      <c r="BF11" s="7">
        <f ca="1">IFERROR(__xludf.DUMMYFUNCTION("""COMPUTED_VALUE"""),30.27)</f>
        <v>30.27</v>
      </c>
      <c r="BG11" s="7">
        <f ca="1">IFERROR(__xludf.DUMMYFUNCTION("""COMPUTED_VALUE"""),30.27)</f>
        <v>30.27</v>
      </c>
      <c r="BH11" s="7">
        <f ca="1">IFERROR(__xludf.DUMMYFUNCTION("""COMPUTED_VALUE"""),30.27)</f>
        <v>30.27</v>
      </c>
      <c r="BI11" s="7">
        <f ca="1">IFERROR(__xludf.DUMMYFUNCTION("""COMPUTED_VALUE"""),30.2699767)</f>
        <v>30.269976700000001</v>
      </c>
      <c r="BJ11" s="7">
        <f ca="1">IFERROR(__xludf.DUMMYFUNCTION("""COMPUTED_VALUE"""),30.2699767)</f>
        <v>30.269976700000001</v>
      </c>
      <c r="BK11" s="7">
        <f ca="1">IFERROR(__xludf.DUMMYFUNCTION("""COMPUTED_VALUE"""),30.2699767)</f>
        <v>30.269976700000001</v>
      </c>
      <c r="BL11" s="7">
        <f ca="1">IFERROR(__xludf.DUMMYFUNCTION("""COMPUTED_VALUE"""),30.2699767)</f>
        <v>30.269976700000001</v>
      </c>
      <c r="BM11" s="7">
        <f ca="1">IFERROR(__xludf.DUMMYFUNCTION("""COMPUTED_VALUE"""),30.2699767)</f>
        <v>30.269976700000001</v>
      </c>
      <c r="BN11" s="7" t="b">
        <f ca="1">IFERROR(__xludf.DUMMYFUNCTION("""COMPUTED_VALUE"""),TRUE)</f>
        <v>1</v>
      </c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6" ht="15.75" customHeight="1" x14ac:dyDescent="0.3">
      <c r="A12" s="1" t="s">
        <v>495</v>
      </c>
      <c r="B12" s="3">
        <v>4.5594789200000001</v>
      </c>
      <c r="C12" s="3">
        <v>4.8857273499999998</v>
      </c>
      <c r="D12" s="3">
        <v>5.2119757699999996</v>
      </c>
      <c r="E12" s="3">
        <v>5.5382242000000002</v>
      </c>
      <c r="F12" s="3">
        <v>5.8644726299999999</v>
      </c>
      <c r="G12" s="3">
        <v>6.1907210600000004</v>
      </c>
      <c r="H12" s="3">
        <v>6.5169694900000001</v>
      </c>
      <c r="I12" s="3">
        <v>6.8432179199999998</v>
      </c>
      <c r="J12" s="3">
        <v>7.1694663500000004</v>
      </c>
      <c r="K12" s="3">
        <v>7.4957147800000001</v>
      </c>
      <c r="L12" s="3">
        <v>7.8219631999999999</v>
      </c>
      <c r="M12" s="3">
        <v>8.02896812</v>
      </c>
      <c r="N12" s="3">
        <v>8.2359730300000003</v>
      </c>
      <c r="O12" s="3">
        <v>8.4429779499999995</v>
      </c>
      <c r="P12" s="3">
        <v>8.6499828599999997</v>
      </c>
      <c r="Q12" s="3">
        <v>8.8569877699999999</v>
      </c>
      <c r="R12" s="3">
        <v>9.0639926899999992</v>
      </c>
      <c r="S12" s="3">
        <v>9.2709975999999994</v>
      </c>
      <c r="T12" s="3">
        <v>9.4780025099999996</v>
      </c>
      <c r="U12" s="3">
        <v>9.6850074300000006</v>
      </c>
      <c r="V12" s="3">
        <v>9.8920123400000008</v>
      </c>
      <c r="W12" s="3">
        <v>10.107644799999999</v>
      </c>
      <c r="X12" s="3">
        <v>10.323277300000001</v>
      </c>
      <c r="Y12" s="3">
        <v>10.538909800000001</v>
      </c>
      <c r="Z12" s="3">
        <v>10.754542300000001</v>
      </c>
      <c r="AA12" s="3">
        <v>10.970174800000001</v>
      </c>
      <c r="AB12" s="3">
        <v>11.1244429</v>
      </c>
      <c r="AC12" s="3">
        <v>11.244429200000001</v>
      </c>
      <c r="AD12" s="3">
        <v>11.3644155</v>
      </c>
      <c r="AE12" s="3">
        <v>11.484401800000001</v>
      </c>
      <c r="AF12" s="3">
        <v>11.6043881</v>
      </c>
      <c r="AG12" s="7" t="b">
        <f>DASHBOARD!I23</f>
        <v>1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6" ht="15.75" customHeight="1" x14ac:dyDescent="0.3">
      <c r="A13" s="1" t="s">
        <v>237</v>
      </c>
      <c r="B13" s="3">
        <v>48.132964000000001</v>
      </c>
      <c r="C13" s="3">
        <v>48.1303786</v>
      </c>
      <c r="D13" s="3">
        <v>48.127793199999999</v>
      </c>
      <c r="E13" s="3">
        <v>48.125207799999998</v>
      </c>
      <c r="F13" s="3">
        <v>48.122622300000003</v>
      </c>
      <c r="G13" s="3">
        <v>48.120036900000002</v>
      </c>
      <c r="H13" s="3">
        <v>48.117451500000001</v>
      </c>
      <c r="I13" s="3">
        <v>48.1148661</v>
      </c>
      <c r="J13" s="3">
        <v>48.112280699999999</v>
      </c>
      <c r="K13" s="3">
        <v>48.109695299999998</v>
      </c>
      <c r="L13" s="3">
        <v>48.107109899999998</v>
      </c>
      <c r="M13" s="3">
        <v>48.452908600000001</v>
      </c>
      <c r="N13" s="3">
        <v>48.798707299999997</v>
      </c>
      <c r="O13" s="3">
        <v>49.144506</v>
      </c>
      <c r="P13" s="3">
        <v>49.490304700000003</v>
      </c>
      <c r="Q13" s="3">
        <v>49.836103399999999</v>
      </c>
      <c r="R13" s="3">
        <v>50.181902100000002</v>
      </c>
      <c r="S13" s="3">
        <v>50.527700799999998</v>
      </c>
      <c r="T13" s="3">
        <v>50.873499500000001</v>
      </c>
      <c r="U13" s="3">
        <v>51.219298199999997</v>
      </c>
      <c r="V13" s="3">
        <v>51.565097000000002</v>
      </c>
      <c r="W13" s="3">
        <v>51.916158799999998</v>
      </c>
      <c r="X13" s="3">
        <v>52.267220700000003</v>
      </c>
      <c r="Y13" s="3">
        <v>52.618282499999999</v>
      </c>
      <c r="Z13" s="3">
        <v>52.969344399999997</v>
      </c>
      <c r="AA13" s="3">
        <v>53.320406300000002</v>
      </c>
      <c r="AB13" s="3">
        <v>53.678670400000001</v>
      </c>
      <c r="AC13" s="3">
        <v>54.037857799999998</v>
      </c>
      <c r="AD13" s="3">
        <v>54.397045200000001</v>
      </c>
      <c r="AE13" s="3">
        <v>54.7553093</v>
      </c>
      <c r="AF13" s="3">
        <v>55.114496799999998</v>
      </c>
      <c r="AG13" s="7" t="b">
        <f>DASHBOARD!I24</f>
        <v>0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6" ht="15.75" customHeight="1" x14ac:dyDescent="0.3">
      <c r="A14" s="1" t="s">
        <v>373</v>
      </c>
      <c r="B14" s="5"/>
      <c r="C14" s="3">
        <v>83.245652199999995</v>
      </c>
      <c r="D14" s="3">
        <v>83.556521700000005</v>
      </c>
      <c r="E14" s="3">
        <v>83.867391299999994</v>
      </c>
      <c r="F14" s="3">
        <v>84.178260899999998</v>
      </c>
      <c r="G14" s="3">
        <v>84.489130399999993</v>
      </c>
      <c r="H14" s="3">
        <v>84.8</v>
      </c>
      <c r="I14" s="3">
        <v>85.110869600000001</v>
      </c>
      <c r="J14" s="3">
        <v>85.421739099999996</v>
      </c>
      <c r="K14" s="3">
        <v>85.7326087</v>
      </c>
      <c r="L14" s="3">
        <v>86.043478300000004</v>
      </c>
      <c r="M14" s="3">
        <v>86.256521699999993</v>
      </c>
      <c r="N14" s="3">
        <v>86.469565200000005</v>
      </c>
      <c r="O14" s="3">
        <v>86.682608700000003</v>
      </c>
      <c r="P14" s="3">
        <v>86.895652200000001</v>
      </c>
      <c r="Q14" s="3">
        <v>87.108695699999998</v>
      </c>
      <c r="R14" s="3">
        <v>87.321739100000002</v>
      </c>
      <c r="S14" s="3">
        <v>87.5347826</v>
      </c>
      <c r="T14" s="3">
        <v>87.747826099999997</v>
      </c>
      <c r="U14" s="3">
        <v>87.960869599999995</v>
      </c>
      <c r="V14" s="3">
        <v>88.173912999999999</v>
      </c>
      <c r="W14" s="3">
        <v>88.360869600000001</v>
      </c>
      <c r="X14" s="3">
        <v>88.547826099999995</v>
      </c>
      <c r="Y14" s="3">
        <v>88.734782600000003</v>
      </c>
      <c r="Z14" s="3">
        <v>88.921739099999996</v>
      </c>
      <c r="AA14" s="3">
        <v>89.108695699999998</v>
      </c>
      <c r="AB14" s="3">
        <v>89.304347800000002</v>
      </c>
      <c r="AC14" s="3">
        <v>89.478260899999995</v>
      </c>
      <c r="AD14" s="3">
        <v>89.673912999999999</v>
      </c>
      <c r="AE14" s="3">
        <v>89.847826100000006</v>
      </c>
      <c r="AF14" s="3">
        <v>90.021739100000005</v>
      </c>
      <c r="AG14" s="7" t="b">
        <f>DASHBOARD!I25</f>
        <v>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6" ht="15.75" customHeight="1" x14ac:dyDescent="0.3">
      <c r="A15" s="1" t="s">
        <v>87</v>
      </c>
      <c r="B15" s="3">
        <v>16.6733254</v>
      </c>
      <c r="C15" s="3">
        <v>16.8840486</v>
      </c>
      <c r="D15" s="3">
        <v>17.094771699999999</v>
      </c>
      <c r="E15" s="3">
        <v>17.305494800000002</v>
      </c>
      <c r="F15" s="3">
        <v>17.516217999999999</v>
      </c>
      <c r="G15" s="3">
        <v>17.726847100000001</v>
      </c>
      <c r="H15" s="3">
        <v>17.937588099999999</v>
      </c>
      <c r="I15" s="3">
        <v>18.148310299999999</v>
      </c>
      <c r="J15" s="3">
        <v>18.359032599999999</v>
      </c>
      <c r="K15" s="3">
        <v>18.569754799999998</v>
      </c>
      <c r="L15" s="3">
        <v>18.780497</v>
      </c>
      <c r="M15" s="3">
        <v>19.031006699999999</v>
      </c>
      <c r="N15" s="3">
        <v>19.2815169</v>
      </c>
      <c r="O15" s="3">
        <v>19.532028100000002</v>
      </c>
      <c r="P15" s="3">
        <v>19.782536499999999</v>
      </c>
      <c r="Q15" s="3">
        <v>20.0330482</v>
      </c>
      <c r="R15" s="3">
        <v>20.283557900000002</v>
      </c>
      <c r="S15" s="3">
        <v>20.534068000000001</v>
      </c>
      <c r="T15" s="3">
        <v>20.784578199999999</v>
      </c>
      <c r="U15" s="3">
        <v>21.0350872</v>
      </c>
      <c r="V15" s="3">
        <v>21.285596900000002</v>
      </c>
      <c r="W15" s="3">
        <v>21.491096200000001</v>
      </c>
      <c r="X15" s="3">
        <v>21.696596</v>
      </c>
      <c r="Y15" s="3">
        <v>21.902094900000002</v>
      </c>
      <c r="Z15" s="3">
        <v>22.107594599999999</v>
      </c>
      <c r="AA15" s="3">
        <v>22.313094199999998</v>
      </c>
      <c r="AB15" s="3">
        <v>22.542877300000001</v>
      </c>
      <c r="AC15" s="3">
        <v>22.7423103</v>
      </c>
      <c r="AD15" s="3">
        <v>22.941735399999999</v>
      </c>
      <c r="AE15" s="3">
        <v>23.1411655</v>
      </c>
      <c r="AF15" s="3">
        <v>23.340595700000002</v>
      </c>
      <c r="AG15" s="7" t="b">
        <f>DASHBOARD!I26</f>
        <v>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6" ht="15.75" customHeight="1" x14ac:dyDescent="0.3">
      <c r="A16" s="1" t="s">
        <v>295</v>
      </c>
      <c r="B16" s="3">
        <v>18.382352900000001</v>
      </c>
      <c r="C16" s="3">
        <v>18.382352900000001</v>
      </c>
      <c r="D16" s="3">
        <v>18.382352900000001</v>
      </c>
      <c r="E16" s="3">
        <v>18.382352900000001</v>
      </c>
      <c r="F16" s="3">
        <v>18.382352900000001</v>
      </c>
      <c r="G16" s="3">
        <v>18.382352900000001</v>
      </c>
      <c r="H16" s="3">
        <v>18.382352900000001</v>
      </c>
      <c r="I16" s="3">
        <v>18.382352900000001</v>
      </c>
      <c r="J16" s="3">
        <v>18.382352900000001</v>
      </c>
      <c r="K16" s="3">
        <v>18.382352900000001</v>
      </c>
      <c r="L16" s="3">
        <v>22.7941176</v>
      </c>
      <c r="M16" s="3">
        <v>18.382352900000001</v>
      </c>
      <c r="N16" s="3">
        <v>18.382352900000001</v>
      </c>
      <c r="O16" s="3">
        <v>18.382352900000001</v>
      </c>
      <c r="P16" s="3">
        <v>18.382352900000001</v>
      </c>
      <c r="Q16" s="3">
        <v>18.382352900000001</v>
      </c>
      <c r="R16" s="3">
        <v>18.382352900000001</v>
      </c>
      <c r="S16" s="3">
        <v>18.382352900000001</v>
      </c>
      <c r="T16" s="3">
        <v>18.382352900000001</v>
      </c>
      <c r="U16" s="3">
        <v>18.382352900000001</v>
      </c>
      <c r="V16" s="3">
        <v>22.7941176</v>
      </c>
      <c r="W16" s="3">
        <v>24.8</v>
      </c>
      <c r="X16" s="3">
        <v>24.8</v>
      </c>
      <c r="Y16" s="3">
        <v>24.8</v>
      </c>
      <c r="Z16" s="3">
        <v>24.8</v>
      </c>
      <c r="AA16" s="3">
        <v>24.8</v>
      </c>
      <c r="AB16" s="3">
        <v>24.8</v>
      </c>
      <c r="AC16" s="3">
        <v>24.8</v>
      </c>
      <c r="AD16" s="3">
        <v>24.8</v>
      </c>
      <c r="AE16" s="3">
        <v>24.8</v>
      </c>
      <c r="AF16" s="3">
        <v>24.8</v>
      </c>
      <c r="AG16" s="7" t="b">
        <f>DASHBOARD!I27</f>
        <v>1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15.75" customHeight="1" x14ac:dyDescent="0.3">
      <c r="A17" s="1" t="s">
        <v>235</v>
      </c>
      <c r="B17" s="3">
        <v>25.805821000000002</v>
      </c>
      <c r="C17" s="3">
        <v>26.070857799999999</v>
      </c>
      <c r="D17" s="3">
        <v>26.335894700000001</v>
      </c>
      <c r="E17" s="3">
        <v>26.600931599999999</v>
      </c>
      <c r="F17" s="3">
        <v>26.865968500000001</v>
      </c>
      <c r="G17" s="3">
        <v>27.131005399999999</v>
      </c>
      <c r="H17" s="3">
        <v>27.396042300000001</v>
      </c>
      <c r="I17" s="3">
        <v>27.6610792</v>
      </c>
      <c r="J17" s="3">
        <v>27.926116100000002</v>
      </c>
      <c r="K17" s="3">
        <v>28.191153</v>
      </c>
      <c r="L17" s="3">
        <v>28.456189899999998</v>
      </c>
      <c r="M17" s="3">
        <v>28.680184300000001</v>
      </c>
      <c r="N17" s="3">
        <v>28.904178699999999</v>
      </c>
      <c r="O17" s="3">
        <v>29.125202300000002</v>
      </c>
      <c r="P17" s="3">
        <v>29.3491739</v>
      </c>
      <c r="Q17" s="3">
        <v>29.573145400000001</v>
      </c>
      <c r="R17" s="3">
        <v>29.797117</v>
      </c>
      <c r="S17" s="3">
        <v>30.021088599999999</v>
      </c>
      <c r="T17" s="3">
        <v>30.245060200000001</v>
      </c>
      <c r="U17" s="3">
        <v>30.4690318</v>
      </c>
      <c r="V17" s="3">
        <v>30.693003300000001</v>
      </c>
      <c r="W17" s="3">
        <v>30.875936599999999</v>
      </c>
      <c r="X17" s="3">
        <v>31.058869900000001</v>
      </c>
      <c r="Y17" s="3">
        <v>31.2418032</v>
      </c>
      <c r="Z17" s="3">
        <v>31.424736500000002</v>
      </c>
      <c r="AA17" s="3">
        <v>31.6076698</v>
      </c>
      <c r="AB17" s="3">
        <v>31.7906099</v>
      </c>
      <c r="AC17" s="3">
        <v>31.973549999999999</v>
      </c>
      <c r="AD17" s="3">
        <v>31.768750199999999</v>
      </c>
      <c r="AE17" s="3">
        <v>31.949484399999999</v>
      </c>
      <c r="AF17" s="3">
        <v>32.1302187</v>
      </c>
      <c r="AG17" s="7" t="b">
        <f>DASHBOARD!I28</f>
        <v>0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15.75" customHeight="1" x14ac:dyDescent="0.3">
      <c r="A18" s="1" t="s">
        <v>49</v>
      </c>
      <c r="B18" s="3">
        <v>30.073217</v>
      </c>
      <c r="C18" s="3">
        <v>30.116604899999999</v>
      </c>
      <c r="D18" s="3">
        <v>30.159992800000001</v>
      </c>
      <c r="E18" s="3">
        <v>30.203380599999999</v>
      </c>
      <c r="F18" s="3">
        <v>30.246768500000002</v>
      </c>
      <c r="G18" s="3">
        <v>30.290156400000001</v>
      </c>
      <c r="H18" s="3">
        <v>30.333544199999999</v>
      </c>
      <c r="I18" s="3">
        <v>30.376932100000001</v>
      </c>
      <c r="J18" s="3">
        <v>30.42032</v>
      </c>
      <c r="K18" s="3">
        <v>30.463707899999999</v>
      </c>
      <c r="L18" s="3">
        <v>30.507095700000001</v>
      </c>
      <c r="M18" s="3">
        <v>30.834312600000001</v>
      </c>
      <c r="N18" s="3">
        <v>31.685661799999998</v>
      </c>
      <c r="O18" s="3">
        <v>32.027213400000001</v>
      </c>
      <c r="P18" s="3">
        <v>32.363001099999998</v>
      </c>
      <c r="Q18" s="3">
        <v>32.731958800000001</v>
      </c>
      <c r="R18" s="3">
        <v>33.068213200000002</v>
      </c>
      <c r="S18" s="3">
        <v>33.407605199999999</v>
      </c>
      <c r="T18" s="3">
        <v>33.740907800000002</v>
      </c>
      <c r="U18" s="3">
        <v>34.089904199999999</v>
      </c>
      <c r="V18" s="3">
        <v>34.4233604</v>
      </c>
      <c r="W18" s="3">
        <v>34.600221099999999</v>
      </c>
      <c r="X18" s="3">
        <v>34.777081799999998</v>
      </c>
      <c r="Y18" s="3">
        <v>34.953942499999997</v>
      </c>
      <c r="Z18" s="3">
        <v>35.130803200000003</v>
      </c>
      <c r="AA18" s="3">
        <v>35.307664000000003</v>
      </c>
      <c r="AB18" s="3">
        <v>35.381355900000003</v>
      </c>
      <c r="AC18" s="3">
        <v>35.5011054</v>
      </c>
      <c r="AD18" s="3">
        <v>35.620854799999996</v>
      </c>
      <c r="AE18" s="3">
        <v>35.740604300000001</v>
      </c>
      <c r="AF18" s="3">
        <v>35.860353699999997</v>
      </c>
      <c r="AG18" s="7" t="b">
        <f>DASHBOARD!I29</f>
        <v>0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15.75" customHeight="1" x14ac:dyDescent="0.3">
      <c r="A19" s="1" t="s">
        <v>161</v>
      </c>
      <c r="B19" s="3">
        <v>26.3639452</v>
      </c>
      <c r="C19" s="3">
        <v>26.5195428</v>
      </c>
      <c r="D19" s="3">
        <v>26.675140500000001</v>
      </c>
      <c r="E19" s="3">
        <v>26.830738199999999</v>
      </c>
      <c r="F19" s="3">
        <v>26.9863359</v>
      </c>
      <c r="G19" s="3">
        <v>27.141933600000002</v>
      </c>
      <c r="H19" s="3">
        <v>27.297531299999999</v>
      </c>
      <c r="I19" s="3">
        <v>27.453128899999999</v>
      </c>
      <c r="J19" s="3">
        <v>27.608726600000001</v>
      </c>
      <c r="K19" s="3">
        <v>27.764324299999998</v>
      </c>
      <c r="L19" s="3">
        <v>27.919871000000001</v>
      </c>
      <c r="M19" s="3">
        <v>28.126421100000002</v>
      </c>
      <c r="N19" s="3">
        <v>28.332971100000002</v>
      </c>
      <c r="O19" s="3">
        <v>28.523893600000001</v>
      </c>
      <c r="P19" s="3">
        <v>28.746071300000001</v>
      </c>
      <c r="Q19" s="3">
        <v>28.953150099999998</v>
      </c>
      <c r="R19" s="3">
        <v>29.1597039</v>
      </c>
      <c r="S19" s="3">
        <v>29.3662578</v>
      </c>
      <c r="T19" s="3">
        <v>29.572811600000001</v>
      </c>
      <c r="U19" s="3">
        <v>29.7793654</v>
      </c>
      <c r="V19" s="3">
        <v>29.985919299999999</v>
      </c>
      <c r="W19" s="3">
        <v>30.138232200000001</v>
      </c>
      <c r="X19" s="3">
        <v>30.290545099999999</v>
      </c>
      <c r="Y19" s="3">
        <v>30.442858000000001</v>
      </c>
      <c r="Z19" s="3">
        <v>30.595170899999999</v>
      </c>
      <c r="AA19" s="3">
        <v>30.747483800000001</v>
      </c>
      <c r="AB19" s="3">
        <v>30.8997967</v>
      </c>
      <c r="AC19" s="3">
        <v>31.052109600000001</v>
      </c>
      <c r="AD19" s="3">
        <v>31.204422600000001</v>
      </c>
      <c r="AE19" s="3">
        <v>31.356735499999999</v>
      </c>
      <c r="AF19" s="3">
        <v>31.509048400000001</v>
      </c>
      <c r="AG19" s="7" t="b">
        <f>DASHBOARD!I30</f>
        <v>0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ht="15.75" customHeight="1" x14ac:dyDescent="0.3">
      <c r="A20" s="1" t="s">
        <v>57</v>
      </c>
      <c r="B20" s="3">
        <v>38.355353999999998</v>
      </c>
      <c r="C20" s="3">
        <v>38.841451399999997</v>
      </c>
      <c r="D20" s="3">
        <v>38.841451399999997</v>
      </c>
      <c r="E20" s="3">
        <v>39.0845001</v>
      </c>
      <c r="F20" s="3">
        <v>39.327548800000002</v>
      </c>
      <c r="G20" s="3">
        <v>39.570597499999998</v>
      </c>
      <c r="H20" s="3">
        <v>39.813646200000001</v>
      </c>
      <c r="I20" s="3">
        <v>40.056694899999997</v>
      </c>
      <c r="J20" s="3">
        <v>40.299743599999999</v>
      </c>
      <c r="K20" s="3">
        <v>40.542792300000002</v>
      </c>
      <c r="L20" s="3">
        <v>40.785841099999999</v>
      </c>
      <c r="M20" s="3">
        <v>40.961841800000002</v>
      </c>
      <c r="N20" s="3">
        <v>41.139870799999997</v>
      </c>
      <c r="O20" s="3">
        <v>41.315880300000003</v>
      </c>
      <c r="P20" s="3">
        <v>41.495981499999999</v>
      </c>
      <c r="Q20" s="3">
        <v>41.667899200000001</v>
      </c>
      <c r="R20" s="3">
        <v>41.829472600000003</v>
      </c>
      <c r="S20" s="3">
        <v>42.005421400000003</v>
      </c>
      <c r="T20" s="3">
        <v>42.181370100000002</v>
      </c>
      <c r="U20" s="3">
        <v>42.374026200000003</v>
      </c>
      <c r="V20" s="3">
        <v>42.533267600000002</v>
      </c>
      <c r="W20" s="3">
        <v>42.534621299999998</v>
      </c>
      <c r="X20" s="3">
        <v>42.538071100000003</v>
      </c>
      <c r="Y20" s="3">
        <v>42.541940199999999</v>
      </c>
      <c r="Z20" s="3">
        <v>42.531765300000004</v>
      </c>
      <c r="AA20" s="3">
        <v>42.534166300000003</v>
      </c>
      <c r="AB20" s="3">
        <v>42.9069699</v>
      </c>
      <c r="AC20" s="3">
        <v>42.9779792</v>
      </c>
      <c r="AD20" s="3">
        <v>43.051532199999997</v>
      </c>
      <c r="AE20" s="3">
        <v>43.122967799999998</v>
      </c>
      <c r="AF20" s="3">
        <v>43.194403399999999</v>
      </c>
      <c r="AG20" s="7" t="b">
        <f>DASHBOARD!I31</f>
        <v>1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ht="15.75" customHeight="1" x14ac:dyDescent="0.3">
      <c r="A21" s="1" t="s">
        <v>185</v>
      </c>
      <c r="B21" s="3">
        <v>25.59</v>
      </c>
      <c r="C21" s="3">
        <v>25.824041099999999</v>
      </c>
      <c r="D21" s="3">
        <v>26.0580815</v>
      </c>
      <c r="E21" s="3">
        <v>26.292122599999999</v>
      </c>
      <c r="F21" s="3">
        <v>26.526162899999999</v>
      </c>
      <c r="G21" s="3">
        <v>26.760204000000002</v>
      </c>
      <c r="H21" s="3">
        <v>26.994245200000002</v>
      </c>
      <c r="I21" s="3">
        <v>27.228285499999998</v>
      </c>
      <c r="J21" s="3">
        <v>27.462326600000001</v>
      </c>
      <c r="K21" s="3">
        <v>27.696366999999999</v>
      </c>
      <c r="L21" s="3">
        <v>27.930408100000001</v>
      </c>
      <c r="M21" s="3">
        <v>28.164366999999999</v>
      </c>
      <c r="N21" s="3">
        <v>28.398326600000001</v>
      </c>
      <c r="O21" s="3">
        <v>28.632285499999998</v>
      </c>
      <c r="P21" s="3">
        <v>28.866245200000002</v>
      </c>
      <c r="Q21" s="3">
        <v>29.100204000000002</v>
      </c>
      <c r="R21" s="3">
        <v>29.334162899999999</v>
      </c>
      <c r="S21" s="3">
        <v>29.568122599999999</v>
      </c>
      <c r="T21" s="3">
        <v>29.8020815</v>
      </c>
      <c r="U21" s="3">
        <v>30.036041099999998</v>
      </c>
      <c r="V21" s="3">
        <v>30.27</v>
      </c>
      <c r="W21" s="3">
        <v>30.27</v>
      </c>
      <c r="X21" s="3">
        <v>30.27</v>
      </c>
      <c r="Y21" s="3">
        <v>30.27</v>
      </c>
      <c r="Z21" s="3">
        <v>30.27</v>
      </c>
      <c r="AA21" s="3">
        <v>30.27</v>
      </c>
      <c r="AB21" s="3">
        <v>30.269976700000001</v>
      </c>
      <c r="AC21" s="3">
        <v>30.269976700000001</v>
      </c>
      <c r="AD21" s="3">
        <v>30.269976700000001</v>
      </c>
      <c r="AE21" s="3">
        <v>30.269976700000001</v>
      </c>
      <c r="AF21" s="3">
        <v>30.269976700000001</v>
      </c>
      <c r="AG21" s="7" t="b">
        <f>DASHBOARD!I32</f>
        <v>1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ht="15.75" customHeight="1" x14ac:dyDescent="0.3"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76" ht="15.75" customHeight="1" x14ac:dyDescent="0.3"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76" ht="15.75" customHeight="1" x14ac:dyDescent="0.3"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1000" spans="33:76" ht="14.4" x14ac:dyDescent="0.3">
      <c r="AG1000" s="3" t="b">
        <v>0</v>
      </c>
      <c r="AH1000" s="3" t="b">
        <v>0</v>
      </c>
      <c r="AI1000" s="3" t="b">
        <v>0</v>
      </c>
      <c r="AJ1000" s="3" t="b">
        <v>0</v>
      </c>
      <c r="AK1000" s="3" t="b">
        <v>0</v>
      </c>
      <c r="AL1000" s="3" t="b">
        <v>0</v>
      </c>
      <c r="AM1000" s="3" t="b">
        <v>0</v>
      </c>
      <c r="AN1000" s="3" t="b">
        <v>0</v>
      </c>
      <c r="AO1000" s="3" t="b">
        <v>0</v>
      </c>
      <c r="AP1000" s="3" t="b">
        <v>0</v>
      </c>
      <c r="AQ1000" s="3" t="b">
        <v>0</v>
      </c>
      <c r="AR1000" s="3" t="b">
        <v>0</v>
      </c>
      <c r="AS1000" s="3" t="b">
        <v>0</v>
      </c>
      <c r="AT1000" s="3" t="b">
        <v>0</v>
      </c>
      <c r="AU1000" s="3" t="b">
        <v>0</v>
      </c>
      <c r="AV1000" s="3" t="b">
        <v>0</v>
      </c>
      <c r="AW1000" s="3" t="b">
        <v>0</v>
      </c>
      <c r="AX1000" s="3" t="b">
        <v>0</v>
      </c>
      <c r="AY1000" s="3" t="b">
        <v>0</v>
      </c>
      <c r="AZ1000" s="3" t="b">
        <v>0</v>
      </c>
      <c r="BA1000" s="3" t="b">
        <v>0</v>
      </c>
      <c r="BB1000" s="3" t="b">
        <v>0</v>
      </c>
      <c r="BC1000" s="3" t="b">
        <v>0</v>
      </c>
      <c r="BD1000" s="3" t="b">
        <v>0</v>
      </c>
      <c r="BE1000" s="3" t="b">
        <v>0</v>
      </c>
      <c r="BF1000" s="3" t="b">
        <v>0</v>
      </c>
      <c r="BG1000" s="3" t="b">
        <v>0</v>
      </c>
      <c r="BH1000" s="3" t="b">
        <v>0</v>
      </c>
      <c r="BI1000" s="3" t="b">
        <v>0</v>
      </c>
      <c r="BJ1000" s="3" t="b">
        <v>0</v>
      </c>
      <c r="BK1000" s="3" t="b">
        <v>0</v>
      </c>
      <c r="BL1000" s="3" t="b">
        <v>0</v>
      </c>
      <c r="BM1000" s="3" t="b">
        <v>0</v>
      </c>
      <c r="BN1000" s="3" t="b">
        <v>0</v>
      </c>
      <c r="BO1000" s="3" t="b">
        <v>0</v>
      </c>
      <c r="BP1000" s="3" t="b">
        <v>0</v>
      </c>
      <c r="BQ1000" s="3" t="b">
        <v>0</v>
      </c>
      <c r="BR1000" s="3" t="b">
        <v>0</v>
      </c>
      <c r="BS1000" s="3" t="b">
        <v>0</v>
      </c>
      <c r="BT1000" s="3" t="b">
        <v>0</v>
      </c>
      <c r="BU1000" s="3" t="b">
        <v>0</v>
      </c>
      <c r="BV1000" s="3" t="b">
        <v>0</v>
      </c>
      <c r="BW1000" s="3" t="b">
        <v>0</v>
      </c>
      <c r="BX1000" s="3" t="b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22"/>
  <sheetViews>
    <sheetView workbookViewId="0"/>
  </sheetViews>
  <sheetFormatPr defaultColWidth="14.44140625" defaultRowHeight="15.75" customHeight="1" x14ac:dyDescent="0.25"/>
  <sheetData>
    <row r="1" spans="1:47" x14ac:dyDescent="0.25">
      <c r="A1" s="2" t="s">
        <v>532</v>
      </c>
      <c r="D1" s="2" t="s">
        <v>527</v>
      </c>
    </row>
    <row r="2" spans="1:47" ht="15.75" customHeight="1" x14ac:dyDescent="0.3">
      <c r="A2" s="4" t="str">
        <f ca="1">IFERROR(__xludf.DUMMYFUNCTION("unique('Data to work with'!A2:A1000)"),"Puerto Rico")</f>
        <v>Puerto Rico</v>
      </c>
      <c r="E2" s="6">
        <v>1990</v>
      </c>
      <c r="F2" s="6">
        <v>1991</v>
      </c>
      <c r="G2" s="6">
        <v>1992</v>
      </c>
      <c r="H2" s="6">
        <v>1993</v>
      </c>
      <c r="I2" s="6">
        <v>1994</v>
      </c>
      <c r="J2" s="6">
        <v>1995</v>
      </c>
      <c r="K2" s="6">
        <v>1996</v>
      </c>
      <c r="L2" s="6">
        <v>1997</v>
      </c>
      <c r="M2" s="6">
        <v>1998</v>
      </c>
      <c r="N2" s="6">
        <v>1999</v>
      </c>
      <c r="O2" s="6">
        <v>2000</v>
      </c>
      <c r="P2" s="6">
        <v>2001</v>
      </c>
      <c r="Q2" s="6">
        <v>2002</v>
      </c>
      <c r="R2" s="6">
        <v>2003</v>
      </c>
      <c r="S2" s="6">
        <v>2004</v>
      </c>
      <c r="T2" s="6">
        <v>2005</v>
      </c>
      <c r="U2" s="6">
        <v>2006</v>
      </c>
      <c r="V2" s="6">
        <v>2007</v>
      </c>
      <c r="W2" s="6">
        <v>2008</v>
      </c>
      <c r="X2" s="6">
        <v>2009</v>
      </c>
      <c r="Y2" s="6">
        <v>2010</v>
      </c>
      <c r="Z2" s="6">
        <v>2011</v>
      </c>
      <c r="AA2" s="6">
        <v>2012</v>
      </c>
      <c r="AB2" s="6">
        <v>2013</v>
      </c>
      <c r="AC2" s="6">
        <v>2014</v>
      </c>
      <c r="AD2" s="6">
        <v>2015</v>
      </c>
      <c r="AE2" s="6">
        <v>2016</v>
      </c>
      <c r="AF2" s="6">
        <v>2017</v>
      </c>
      <c r="AG2" s="6">
        <v>2018</v>
      </c>
      <c r="AH2" s="6">
        <v>2019</v>
      </c>
      <c r="AI2" s="6">
        <v>2020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x14ac:dyDescent="0.25">
      <c r="A3" s="4" t="str">
        <f ca="1">IFERROR(__xludf.DUMMYFUNCTION("""COMPUTED_VALUE"""),"Vietnam")</f>
        <v>Vietnam</v>
      </c>
      <c r="D3" s="4" t="str">
        <f>DASHBOARD!C11</f>
        <v>Vietnam</v>
      </c>
      <c r="E3" s="4">
        <f>VLOOKUP($D$3,'Data to work with'!$A$1:$AF$21,2,FALSE)</f>
        <v>28.805677599999999</v>
      </c>
      <c r="F3" s="4">
        <f>VLOOKUP($D$3,'Data to work with'!$A$1:$AF$21,3,FALSE)</f>
        <v>29.545528300000001</v>
      </c>
      <c r="G3" s="4">
        <f>VLOOKUP($D$3,'Data to work with'!$A$1:$AF$21,4,FALSE)</f>
        <v>30.285378999999999</v>
      </c>
      <c r="H3" s="4">
        <f>VLOOKUP($D$3,'Data to work with'!$A$1:$AF$21,5,FALSE)</f>
        <v>31.025229700000001</v>
      </c>
      <c r="I3" s="4">
        <f>VLOOKUP($D$3,'Data to work with'!$A$1:$AF$21,6,FALSE)</f>
        <v>31.765080300000001</v>
      </c>
      <c r="J3" s="4">
        <f>VLOOKUP($D$3,'Data to work with'!$A$1:$AF$21,7,FALSE)</f>
        <v>32.504930999999999</v>
      </c>
      <c r="K3" s="4">
        <f>VLOOKUP($D$3,'Data to work with'!$A$1:$AF$21,8,FALSE)</f>
        <v>33.244781699999997</v>
      </c>
      <c r="L3" s="4">
        <f>VLOOKUP($D$3,'Data to work with'!$A$1:$AF$21,9,FALSE)</f>
        <v>33.984632400000002</v>
      </c>
      <c r="M3" s="4">
        <f>VLOOKUP($D$3,'Data to work with'!$A$1:$AF$21,10,FALSE)</f>
        <v>34.7244831</v>
      </c>
      <c r="N3" s="4">
        <f>VLOOKUP($D$3,'Data to work with'!$A$1:$AF$21,11,FALSE)</f>
        <v>35.464333799999999</v>
      </c>
      <c r="O3" s="4">
        <f>VLOOKUP($D$3,'Data to work with'!$A$1:$AF$21,12,FALSE)</f>
        <v>37.883687999999999</v>
      </c>
      <c r="P3" s="4">
        <f>VLOOKUP($D$3,'Data to work with'!$A$1:$AF$21,13,FALSE)</f>
        <v>38.395628299999998</v>
      </c>
      <c r="Q3" s="4">
        <f>VLOOKUP($D$3,'Data to work with'!$A$1:$AF$21,14,FALSE)</f>
        <v>38.978882599999999</v>
      </c>
      <c r="R3" s="4">
        <f>VLOOKUP($D$3,'Data to work with'!$A$1:$AF$21,15,FALSE)</f>
        <v>39.556513000000002</v>
      </c>
      <c r="S3" s="4">
        <f>VLOOKUP($D$3,'Data to work with'!$A$1:$AF$21,16,FALSE)</f>
        <v>40.073802700000002</v>
      </c>
      <c r="T3" s="4">
        <f>VLOOKUP($D$3,'Data to work with'!$A$1:$AF$21,17,FALSE)</f>
        <v>40.5910923</v>
      </c>
      <c r="U3" s="4">
        <f>VLOOKUP($D$3,'Data to work with'!$A$1:$AF$21,18,FALSE)</f>
        <v>41.108381999999999</v>
      </c>
      <c r="V3" s="4">
        <f>VLOOKUP($D$3,'Data to work with'!$A$1:$AF$21,19,FALSE)</f>
        <v>41.625671599999997</v>
      </c>
      <c r="W3" s="4">
        <f>VLOOKUP($D$3,'Data to work with'!$A$1:$AF$21,20,FALSE)</f>
        <v>42.142961300000003</v>
      </c>
      <c r="X3" s="4">
        <f>VLOOKUP($D$3,'Data to work with'!$A$1:$AF$21,21,FALSE)</f>
        <v>42.660250900000001</v>
      </c>
      <c r="Y3" s="4">
        <f>VLOOKUP($D$3,'Data to work with'!$A$1:$AF$21,22,FALSE)</f>
        <v>43.1775406</v>
      </c>
      <c r="Z3" s="4">
        <f>VLOOKUP($D$3,'Data to work with'!$A$1:$AF$21,23,FALSE)</f>
        <v>43.612152100000003</v>
      </c>
      <c r="AA3" s="4">
        <f>VLOOKUP($D$3,'Data to work with'!$A$1:$AF$21,24,FALSE)</f>
        <v>44.046763599999998</v>
      </c>
      <c r="AB3" s="4">
        <f>VLOOKUP($D$3,'Data to work with'!$A$1:$AF$21,25,FALSE)</f>
        <v>44.481375200000002</v>
      </c>
      <c r="AC3" s="4">
        <f>VLOOKUP($D$3,'Data to work with'!$A$1:$AF$21,26,FALSE)</f>
        <v>44.915986699999998</v>
      </c>
      <c r="AD3" s="4">
        <f>VLOOKUP($D$3,'Data to work with'!$A$1:$AF$21,27,FALSE)</f>
        <v>45.350598300000001</v>
      </c>
      <c r="AE3" s="4">
        <f>VLOOKUP($D$3,'Data to work with'!$A$1:$AF$21,28,FALSE)</f>
        <v>46.369142500000002</v>
      </c>
      <c r="AF3" s="4">
        <f>VLOOKUP($D$3,'Data to work with'!$A$1:$AF$21,29,FALSE)</f>
        <v>46.490760199999997</v>
      </c>
      <c r="AG3" s="4">
        <f>VLOOKUP($D$3,'Data to work with'!$A$1:$AF$21,30,FALSE)</f>
        <v>46.7355436</v>
      </c>
      <c r="AH3" s="4">
        <f>VLOOKUP($D$3,'Data to work with'!$A$1:$AF$21,31,FALSE)</f>
        <v>46.980327000000003</v>
      </c>
      <c r="AI3" s="4">
        <f>VLOOKUP($D$3,'Data to work with'!$A$1:$AF$21,32,FALSE)</f>
        <v>47.2251105</v>
      </c>
    </row>
    <row r="4" spans="1:47" x14ac:dyDescent="0.25">
      <c r="A4" s="4" t="str">
        <f ca="1">IFERROR(__xludf.DUMMYFUNCTION("""COMPUTED_VALUE"""),"Bhutan")</f>
        <v>Bhutan</v>
      </c>
    </row>
    <row r="5" spans="1:47" x14ac:dyDescent="0.25">
      <c r="A5" s="4" t="str">
        <f ca="1">IFERROR(__xludf.DUMMYFUNCTION("""COMPUTED_VALUE"""),"Montenegro")</f>
        <v>Montenegro</v>
      </c>
    </row>
    <row r="6" spans="1:47" x14ac:dyDescent="0.25">
      <c r="A6" s="4" t="str">
        <f ca="1">IFERROR(__xludf.DUMMYFUNCTION("""COMPUTED_VALUE"""),"Cuba")</f>
        <v>Cuba</v>
      </c>
    </row>
    <row r="7" spans="1:47" x14ac:dyDescent="0.25">
      <c r="A7" s="4" t="str">
        <f ca="1">IFERROR(__xludf.DUMMYFUNCTION("""COMPUTED_VALUE"""),"Dominican Republic")</f>
        <v>Dominican Republic</v>
      </c>
    </row>
    <row r="8" spans="1:47" x14ac:dyDescent="0.25">
      <c r="A8" s="4" t="str">
        <f ca="1">IFERROR(__xludf.DUMMYFUNCTION("""COMPUTED_VALUE"""),"Fiji")</f>
        <v>Fiji</v>
      </c>
    </row>
    <row r="9" spans="1:47" x14ac:dyDescent="0.25">
      <c r="A9" s="4" t="str">
        <f ca="1">IFERROR(__xludf.DUMMYFUNCTION("""COMPUTED_VALUE"""),"Spain")</f>
        <v>Spain</v>
      </c>
    </row>
    <row r="10" spans="1:47" x14ac:dyDescent="0.25">
      <c r="A10" s="4" t="str">
        <f ca="1">IFERROR(__xludf.DUMMYFUNCTION("""COMPUTED_VALUE"""),"Cabo Verde")</f>
        <v>Cabo Verde</v>
      </c>
    </row>
    <row r="11" spans="1:47" x14ac:dyDescent="0.25">
      <c r="A11" s="4" t="str">
        <f ca="1">IFERROR(__xludf.DUMMYFUNCTION("""COMPUTED_VALUE"""),"Guam")</f>
        <v>Guam</v>
      </c>
    </row>
    <row r="12" spans="1:47" x14ac:dyDescent="0.25">
      <c r="A12" s="4" t="str">
        <f ca="1">IFERROR(__xludf.DUMMYFUNCTION("""COMPUTED_VALUE"""),"Uruguay")</f>
        <v>Uruguay</v>
      </c>
    </row>
    <row r="13" spans="1:47" x14ac:dyDescent="0.25">
      <c r="A13" s="4" t="str">
        <f ca="1">IFERROR(__xludf.DUMMYFUNCTION("""COMPUTED_VALUE"""),"Jamaica")</f>
        <v>Jamaica</v>
      </c>
    </row>
    <row r="14" spans="1:47" x14ac:dyDescent="0.25">
      <c r="A14" s="4" t="str">
        <f ca="1">IFERROR(__xludf.DUMMYFUNCTION("""COMPUTED_VALUE"""),"Palau")</f>
        <v>Palau</v>
      </c>
    </row>
    <row r="15" spans="1:47" x14ac:dyDescent="0.25">
      <c r="A15" s="4" t="str">
        <f ca="1">IFERROR(__xludf.DUMMYFUNCTION("""COMPUTED_VALUE"""),"China")</f>
        <v>China</v>
      </c>
    </row>
    <row r="16" spans="1:47" x14ac:dyDescent="0.25">
      <c r="A16" s="4" t="str">
        <f ca="1">IFERROR(__xludf.DUMMYFUNCTION("""COMPUTED_VALUE"""),"St. Martin (French part)")</f>
        <v>St. Martin (French part)</v>
      </c>
    </row>
    <row r="17" spans="1:1" x14ac:dyDescent="0.25">
      <c r="A17" s="4" t="str">
        <f ca="1">IFERROR(__xludf.DUMMYFUNCTION("""COMPUTED_VALUE"""),"Italy")</f>
        <v>Italy</v>
      </c>
    </row>
    <row r="18" spans="1:1" x14ac:dyDescent="0.25">
      <c r="A18" s="4" t="str">
        <f ca="1">IFERROR(__xludf.DUMMYFUNCTION("""COMPUTED_VALUE"""),"Bulgaria")</f>
        <v>Bulgaria</v>
      </c>
    </row>
    <row r="19" spans="1:1" x14ac:dyDescent="0.25">
      <c r="A19" s="4" t="str">
        <f ca="1">IFERROR(__xludf.DUMMYFUNCTION("""COMPUTED_VALUE"""),"France")</f>
        <v>France</v>
      </c>
    </row>
    <row r="20" spans="1:1" x14ac:dyDescent="0.25">
      <c r="A20" s="4" t="str">
        <f ca="1">IFERROR(__xludf.DUMMYFUNCTION("""COMPUTED_VALUE"""),"Belarus")</f>
        <v>Belarus</v>
      </c>
    </row>
    <row r="21" spans="1:1" x14ac:dyDescent="0.25">
      <c r="A21" s="4" t="str">
        <f ca="1">IFERROR(__xludf.DUMMYFUNCTION("""COMPUTED_VALUE"""),"Greece")</f>
        <v>Greece</v>
      </c>
    </row>
    <row r="22" spans="1:1" x14ac:dyDescent="0.25">
      <c r="A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</vt:lpstr>
      <vt:lpstr>Data to work with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</cp:lastModifiedBy>
  <dcterms:modified xsi:type="dcterms:W3CDTF">2022-02-07T09:28:53Z</dcterms:modified>
</cp:coreProperties>
</file>