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Questa_cartella_di_lavoro" defaultThemeVersion="124226"/>
  <bookViews>
    <workbookView xWindow="0" yWindow="108" windowWidth="9600" windowHeight="3648"/>
  </bookViews>
  <sheets>
    <sheet name="Interface" sheetId="1" r:id="rId1"/>
    <sheet name="Decadi E12" sheetId="2" r:id="rId2"/>
    <sheet name="Diodi" sheetId="3" r:id="rId3"/>
  </sheets>
  <definedNames>
    <definedName name="_xlnm._FilterDatabase" localSheetId="1" hidden="1">'Decadi E12'!$F$3</definedName>
  </definedNames>
  <calcPr calcId="145621"/>
</workbook>
</file>

<file path=xl/calcChain.xml><?xml version="1.0" encoding="utf-8"?>
<calcChain xmlns="http://schemas.openxmlformats.org/spreadsheetml/2006/main">
  <c r="J13" i="1" l="1"/>
  <c r="F10" i="1" l="1"/>
  <c r="D15" i="3" l="1"/>
  <c r="D13" i="3"/>
  <c r="D12" i="3"/>
  <c r="D11" i="3"/>
  <c r="D10" i="3"/>
  <c r="D8" i="3"/>
  <c r="D7" i="3"/>
  <c r="D6" i="3"/>
  <c r="D3" i="3"/>
  <c r="D2" i="3"/>
  <c r="D1" i="3"/>
  <c r="E1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4" i="3"/>
  <c r="D9" i="3"/>
  <c r="D5" i="3"/>
  <c r="D4" i="3"/>
  <c r="C8" i="2"/>
  <c r="G15" i="3" l="1"/>
  <c r="G13" i="3"/>
  <c r="G14" i="3"/>
  <c r="G5" i="3"/>
  <c r="G6" i="3"/>
  <c r="G9" i="3"/>
  <c r="G3" i="3"/>
  <c r="G11" i="3"/>
  <c r="G4" i="3"/>
  <c r="G12" i="3"/>
  <c r="G8" i="3"/>
  <c r="G1" i="3"/>
  <c r="G2" i="3"/>
  <c r="G10" i="3"/>
  <c r="D8" i="2"/>
  <c r="G8" i="2" s="1"/>
  <c r="I8" i="3" l="1"/>
  <c r="H9" i="1" s="1"/>
  <c r="F8" i="2"/>
  <c r="E8" i="2"/>
  <c r="B10" i="1" l="1"/>
  <c r="B8" i="2"/>
  <c r="B5" i="2" l="1"/>
  <c r="B46" i="2"/>
  <c r="B21" i="2"/>
  <c r="B6" i="2"/>
  <c r="B38" i="2"/>
  <c r="B37" i="2"/>
  <c r="B30" i="2"/>
  <c r="B22" i="2"/>
  <c r="B36" i="2"/>
  <c r="B20" i="2"/>
  <c r="B4" i="2"/>
  <c r="B47" i="2"/>
  <c r="B31" i="2"/>
  <c r="B15" i="2"/>
  <c r="B14" i="2"/>
  <c r="B45" i="2"/>
  <c r="B29" i="2"/>
  <c r="B13" i="2"/>
  <c r="B44" i="2"/>
  <c r="B28" i="2"/>
  <c r="B12" i="2"/>
  <c r="B39" i="2"/>
  <c r="B23" i="2"/>
  <c r="B7" i="2"/>
  <c r="B34" i="2"/>
  <c r="B18" i="2"/>
  <c r="B2" i="2"/>
  <c r="B1" i="2"/>
  <c r="B41" i="2"/>
  <c r="B33" i="2"/>
  <c r="B25" i="2"/>
  <c r="B17" i="2"/>
  <c r="B9" i="2"/>
  <c r="B43" i="2"/>
  <c r="B35" i="2"/>
  <c r="B27" i="2"/>
  <c r="B19" i="2"/>
  <c r="B11" i="2"/>
  <c r="B3" i="2"/>
  <c r="B42" i="2"/>
  <c r="B26" i="2"/>
  <c r="B10" i="2"/>
  <c r="B48" i="2"/>
  <c r="B40" i="2"/>
  <c r="B32" i="2"/>
  <c r="B24" i="2"/>
  <c r="B16" i="2"/>
  <c r="D3" i="2" l="1"/>
  <c r="C10" i="1" s="1"/>
  <c r="H10" i="1" s="1"/>
  <c r="E14" i="2" l="1"/>
  <c r="D13" i="2"/>
  <c r="D10" i="1" s="1"/>
  <c r="E10" i="1" l="1"/>
</calcChain>
</file>

<file path=xl/sharedStrings.xml><?xml version="1.0" encoding="utf-8"?>
<sst xmlns="http://schemas.openxmlformats.org/spreadsheetml/2006/main" count="42" uniqueCount="42">
  <si>
    <t>INPUT DATA</t>
  </si>
  <si>
    <t>OUTPUT DATA</t>
  </si>
  <si>
    <r>
      <rPr>
        <sz val="15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typ            [V]</t>
    </r>
  </si>
  <si>
    <r>
      <rPr>
        <sz val="15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MAXnom-D  [V]</t>
    </r>
  </si>
  <si>
    <r>
      <rPr>
        <sz val="15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MAX         [V]</t>
    </r>
  </si>
  <si>
    <r>
      <rPr>
        <sz val="15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ambiente  [°C]</t>
    </r>
  </si>
  <si>
    <r>
      <rPr>
        <sz val="15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min         [V]</t>
    </r>
  </si>
  <si>
    <t>R=</t>
  </si>
  <si>
    <r>
      <rPr>
        <sz val="15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L               [</t>
    </r>
    <r>
      <rPr>
        <sz val="11"/>
        <color theme="1"/>
        <rFont val="Symbol"/>
        <family val="1"/>
        <charset val="2"/>
      </rPr>
      <t>W]</t>
    </r>
  </si>
  <si>
    <r>
      <rPr>
        <sz val="15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z               [</t>
    </r>
    <r>
      <rPr>
        <sz val="11"/>
        <color theme="1"/>
        <rFont val="Symbol"/>
        <family val="1"/>
        <charset val="2"/>
      </rPr>
      <t>W]</t>
    </r>
  </si>
  <si>
    <t>PSRR%</t>
  </si>
  <si>
    <t>I</t>
  </si>
  <si>
    <t>V</t>
  </si>
  <si>
    <t>I [A]=</t>
  </si>
  <si>
    <t>zener</t>
  </si>
  <si>
    <t>1N5333B</t>
  </si>
  <si>
    <t>1N5334B</t>
  </si>
  <si>
    <t>1N5335B</t>
  </si>
  <si>
    <t>1N5336B</t>
  </si>
  <si>
    <t>1N5337B</t>
  </si>
  <si>
    <t>1N5338B</t>
  </si>
  <si>
    <t>1N5339B</t>
  </si>
  <si>
    <t>1N5340B</t>
  </si>
  <si>
    <t>1N5341B</t>
  </si>
  <si>
    <t>1N5342B</t>
  </si>
  <si>
    <t>1N5343B</t>
  </si>
  <si>
    <t>1N5344B</t>
  </si>
  <si>
    <t>1N5345B</t>
  </si>
  <si>
    <t>1N5346B</t>
  </si>
  <si>
    <t>1N5347B</t>
  </si>
  <si>
    <t>Mouser  Electronics</t>
  </si>
  <si>
    <t>Uscita:</t>
  </si>
  <si>
    <t>Somma:</t>
  </si>
  <si>
    <t>Pr:</t>
  </si>
  <si>
    <r>
      <rPr>
        <sz val="15"/>
        <color theme="1"/>
        <rFont val="Calibri"/>
        <family val="2"/>
        <scheme val="minor"/>
      </rPr>
      <t>I</t>
    </r>
    <r>
      <rPr>
        <vertAlign val="subscript"/>
        <sz val="15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
[mA]</t>
    </r>
  </si>
  <si>
    <r>
      <rPr>
        <sz val="15"/>
        <color theme="1"/>
        <rFont val="Calibri"/>
        <family val="2"/>
        <scheme val="minor"/>
      </rPr>
      <t xml:space="preserve">R            </t>
    </r>
    <r>
      <rPr>
        <sz val="11"/>
        <color theme="1"/>
        <rFont val="Calibri"/>
        <family val="2"/>
        <scheme val="minor"/>
      </rPr>
      <t>[</t>
    </r>
    <r>
      <rPr>
        <sz val="11"/>
        <color theme="1"/>
        <rFont val="Symbol"/>
        <family val="1"/>
        <charset val="2"/>
      </rPr>
      <t>W]</t>
    </r>
  </si>
  <si>
    <t>Tolerance
[%]</t>
  </si>
  <si>
    <t xml:space="preserve"> </t>
  </si>
  <si>
    <r>
      <t>T</t>
    </r>
    <r>
      <rPr>
        <vertAlign val="subscript"/>
        <sz val="16"/>
        <color theme="1"/>
        <rFont val="Calibri"/>
        <family val="2"/>
        <scheme val="minor"/>
      </rPr>
      <t>L</t>
    </r>
    <r>
      <rPr>
        <sz val="16"/>
        <color theme="1"/>
        <rFont val="Calibri"/>
        <family val="2"/>
        <scheme val="minor"/>
      </rPr>
      <t xml:space="preserve">       </t>
    </r>
    <r>
      <rPr>
        <sz val="10"/>
        <color theme="1"/>
        <rFont val="Calibri"/>
        <family val="2"/>
        <scheme val="minor"/>
      </rPr>
      <t>[°C]</t>
    </r>
  </si>
  <si>
    <r>
      <rPr>
        <sz val="15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z         </t>
    </r>
    <r>
      <rPr>
        <sz val="15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family val="2"/>
        <scheme val="minor"/>
      </rPr>
      <t>[W]</t>
    </r>
  </si>
  <si>
    <r>
      <rPr>
        <sz val="15"/>
        <color theme="1"/>
        <rFont val="Calibri"/>
        <family val="2"/>
        <scheme val="minor"/>
      </rPr>
      <t>V</t>
    </r>
    <r>
      <rPr>
        <vertAlign val="subscript"/>
        <sz val="15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
[V]</t>
    </r>
  </si>
  <si>
    <r>
      <rPr>
        <sz val="15"/>
        <color theme="1"/>
        <rFont val="Calibri"/>
        <family val="2"/>
        <scheme val="minor"/>
      </rPr>
      <t>V</t>
    </r>
    <r>
      <rPr>
        <vertAlign val="subscript"/>
        <sz val="15"/>
        <color theme="1"/>
        <rFont val="Calibri"/>
        <family val="2"/>
        <scheme val="minor"/>
      </rPr>
      <t>IN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[V]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</si>
</sst>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5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9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0" fontId="0" fillId="0" borderId="0" xfId="0" applyFill="1"/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3" fontId="0" fillId="4" borderId="14" xfId="1" applyFont="1" applyFill="1" applyBorder="1"/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20" xfId="0" applyBorder="1"/>
    <xf numFmtId="0" fontId="0" fillId="0" borderId="5" xfId="0" applyBorder="1"/>
    <xf numFmtId="0" fontId="0" fillId="0" borderId="21" xfId="0" applyBorder="1"/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left" vertical="top"/>
    </xf>
    <xf numFmtId="0" fontId="0" fillId="3" borderId="25" xfId="0" applyFill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165" fontId="0" fillId="0" borderId="0" xfId="0" applyNumberFormat="1"/>
    <xf numFmtId="0" fontId="0" fillId="0" borderId="6" xfId="0" applyFill="1" applyBorder="1"/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29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/>
    </xf>
    <xf numFmtId="0" fontId="4" fillId="0" borderId="0" xfId="2" applyFill="1" applyAlignment="1">
      <alignment vertical="center"/>
    </xf>
    <xf numFmtId="0" fontId="0" fillId="0" borderId="0" xfId="0" applyFill="1" applyBorder="1" applyAlignment="1"/>
    <xf numFmtId="1" fontId="0" fillId="0" borderId="0" xfId="0" applyNumberFormat="1" applyFill="1" applyAlignment="1">
      <alignment horizontal="center"/>
    </xf>
    <xf numFmtId="43" fontId="0" fillId="0" borderId="0" xfId="1" applyFont="1" applyFill="1" applyBorder="1" applyAlignment="1">
      <alignment horizontal="center" vertical="center"/>
    </xf>
    <xf numFmtId="43" fontId="0" fillId="0" borderId="0" xfId="0" applyNumberFormat="1" applyFill="1" applyBorder="1"/>
    <xf numFmtId="0" fontId="0" fillId="0" borderId="0" xfId="0" applyFill="1" applyBorder="1" applyAlignment="1">
      <alignment horizontal="center" wrapText="1"/>
    </xf>
    <xf numFmtId="2" fontId="0" fillId="0" borderId="29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3">
    <cellStyle name="Collegamento ipertestuale" xfId="2" builtinId="8"/>
    <cellStyle name="Migliaia" xfId="1" builtinId="3"/>
    <cellStyle name="Normale" xfId="0" builtinId="0"/>
  </cellStyles>
  <dxfs count="7">
    <dxf>
      <font>
        <b val="0"/>
        <i val="0"/>
        <strike val="0"/>
        <color rgb="FFFF0000"/>
      </font>
      <fill>
        <patternFill>
          <bgColor theme="0" tint="-0.2499465926084170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lor rgb="FFFF0000"/>
      </font>
      <fill>
        <patternFill>
          <bgColor theme="0" tint="-0.1499679555650502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rgb="FFF8A208"/>
      </font>
      <fill>
        <patternFill patternType="solid">
          <fgColor auto="1"/>
          <bgColor rgb="FFFFDD71"/>
        </patternFill>
      </fill>
    </dxf>
  </dxfs>
  <tableStyles count="0" defaultTableStyle="TableStyleMedium2" defaultPivotStyle="PivotStyleLight16"/>
  <colors>
    <mruColors>
      <color rgb="FFCCFF99"/>
      <color rgb="FFF8A208"/>
      <color rgb="FFFEC200"/>
      <color rgb="FFFFDD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21637685914260718"/>
                  <c:y val="9.753536016331292E-2"/>
                </c:manualLayout>
              </c:layout>
              <c:numFmt formatCode="General" sourceLinked="0"/>
            </c:trendlineLbl>
          </c:trendline>
          <c:xVal>
            <c:numRef>
              <c:f>'Decadi E12'!$I$6:$I$14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'Decadi E12'!$J$6:$J$14</c:f>
              <c:numCache>
                <c:formatCode>General</c:formatCode>
                <c:ptCount val="9"/>
                <c:pt idx="0">
                  <c:v>5.04</c:v>
                </c:pt>
                <c:pt idx="1">
                  <c:v>5.09</c:v>
                </c:pt>
                <c:pt idx="2">
                  <c:v>5.0940000000000003</c:v>
                </c:pt>
                <c:pt idx="3">
                  <c:v>5.13</c:v>
                </c:pt>
                <c:pt idx="4">
                  <c:v>5.15</c:v>
                </c:pt>
                <c:pt idx="5">
                  <c:v>5.18</c:v>
                </c:pt>
                <c:pt idx="6">
                  <c:v>5.21</c:v>
                </c:pt>
                <c:pt idx="7">
                  <c:v>5.23</c:v>
                </c:pt>
                <c:pt idx="8">
                  <c:v>5.26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7664"/>
        <c:axId val="208099200"/>
      </c:scatterChart>
      <c:valAx>
        <c:axId val="2080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99200"/>
        <c:crosses val="autoZero"/>
        <c:crossBetween val="midCat"/>
      </c:valAx>
      <c:valAx>
        <c:axId val="2080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9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11</xdr:row>
      <xdr:rowOff>64612</xdr:rowOff>
    </xdr:from>
    <xdr:to>
      <xdr:col>6</xdr:col>
      <xdr:colOff>0</xdr:colOff>
      <xdr:row>19</xdr:row>
      <xdr:rowOff>60959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" y="2693512"/>
          <a:ext cx="3228340" cy="1459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4</xdr:row>
      <xdr:rowOff>88900</xdr:rowOff>
    </xdr:from>
    <xdr:to>
      <xdr:col>18</xdr:col>
      <xdr:colOff>15240</xdr:colOff>
      <xdr:row>19</xdr:row>
      <xdr:rowOff>78740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u.mouser.com/?gclid=EAIaIQobChMInN2FhNuT9wIVzwyLCh0EyQb-EAAYASAAEgLAJPD_Bw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AB67"/>
  <sheetViews>
    <sheetView showGridLines="0" tabSelected="1" zoomScaleNormal="100" workbookViewId="0">
      <selection activeCell="G6" sqref="G6"/>
    </sheetView>
  </sheetViews>
  <sheetFormatPr defaultRowHeight="14.4" x14ac:dyDescent="0.3"/>
  <cols>
    <col min="1" max="1" width="5.5546875" customWidth="1"/>
    <col min="2" max="2" width="8.88671875" customWidth="1"/>
    <col min="3" max="3" width="10.109375" customWidth="1"/>
    <col min="4" max="4" width="11.21875" style="1" customWidth="1"/>
    <col min="5" max="5" width="8.88671875" style="1" customWidth="1"/>
    <col min="6" max="6" width="7.77734375" style="1" customWidth="1"/>
    <col min="7" max="7" width="8.88671875" style="1" customWidth="1"/>
    <col min="8" max="8" width="9.44140625" style="1" customWidth="1"/>
    <col min="9" max="9" width="12.109375" style="1" customWidth="1"/>
    <col min="10" max="10" width="12.6640625" style="1" customWidth="1"/>
    <col min="11" max="12" width="8.88671875" style="1" customWidth="1"/>
    <col min="13" max="13" width="13.6640625" style="1" customWidth="1"/>
    <col min="14" max="14" width="10.5546875" style="1" bestFit="1" customWidth="1"/>
    <col min="15" max="15" width="9.33203125" style="1" bestFit="1" customWidth="1"/>
    <col min="16" max="16" width="12.77734375" style="1" customWidth="1"/>
    <col min="17" max="17" width="9.5546875" style="1" bestFit="1" customWidth="1"/>
    <col min="18" max="18" width="12.33203125" customWidth="1"/>
    <col min="21" max="21" width="7.44140625" bestFit="1" customWidth="1"/>
    <col min="22" max="22" width="11.109375" bestFit="1" customWidth="1"/>
  </cols>
  <sheetData>
    <row r="1" spans="1:28" ht="15" thickBot="1" x14ac:dyDescent="0.35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  <c r="Q1" s="43"/>
      <c r="R1" s="43"/>
      <c r="S1" s="43"/>
      <c r="T1" s="44"/>
      <c r="U1" s="5"/>
      <c r="V1" s="5"/>
      <c r="W1" s="5"/>
      <c r="X1" s="5"/>
      <c r="Y1" s="5"/>
      <c r="Z1" s="5"/>
      <c r="AA1" s="5"/>
      <c r="AB1" s="5"/>
    </row>
    <row r="2" spans="1:28" ht="15" thickBot="1" x14ac:dyDescent="0.35">
      <c r="A2" s="44"/>
      <c r="B2" s="73" t="s">
        <v>0</v>
      </c>
      <c r="C2" s="74"/>
      <c r="D2" s="74"/>
      <c r="E2" s="74"/>
      <c r="F2" s="75"/>
      <c r="G2" s="45"/>
      <c r="H2" s="46"/>
      <c r="I2" s="47"/>
      <c r="J2" s="47"/>
      <c r="K2" s="47"/>
      <c r="L2" s="47"/>
      <c r="M2" s="48"/>
      <c r="N2" s="48"/>
      <c r="O2" s="48"/>
      <c r="P2" s="48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39" customHeight="1" x14ac:dyDescent="0.3">
      <c r="A3" s="5"/>
      <c r="B3" s="38" t="s">
        <v>41</v>
      </c>
      <c r="C3" s="39" t="s">
        <v>36</v>
      </c>
      <c r="D3" s="38" t="s">
        <v>5</v>
      </c>
      <c r="E3" s="39" t="s">
        <v>40</v>
      </c>
      <c r="F3" s="38" t="s">
        <v>34</v>
      </c>
      <c r="G3" s="45"/>
      <c r="H3" s="79" t="s">
        <v>30</v>
      </c>
      <c r="I3" s="79"/>
      <c r="J3" s="47"/>
      <c r="K3" s="47"/>
      <c r="L3" s="47"/>
      <c r="M3" s="46"/>
      <c r="N3" s="46"/>
      <c r="O3" s="46"/>
      <c r="P3" s="46"/>
      <c r="Q3" s="47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" thickBot="1" x14ac:dyDescent="0.35">
      <c r="A4" s="5"/>
      <c r="B4" s="49">
        <v>12.5</v>
      </c>
      <c r="C4" s="50">
        <v>20</v>
      </c>
      <c r="D4" s="51">
        <v>50</v>
      </c>
      <c r="E4" s="52">
        <v>20</v>
      </c>
      <c r="F4" s="51">
        <v>300</v>
      </c>
      <c r="G4" s="45"/>
      <c r="J4" s="53"/>
      <c r="K4" s="47"/>
      <c r="L4" s="47"/>
      <c r="M4" s="47"/>
      <c r="N4" s="47"/>
      <c r="O4" s="47"/>
      <c r="P4" s="47"/>
      <c r="Q4" s="47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3">
      <c r="A5" s="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5"/>
      <c r="Q5" s="47"/>
      <c r="R5" s="5"/>
      <c r="S5" s="54"/>
      <c r="T5" s="54"/>
      <c r="U5" s="54"/>
      <c r="V5" s="54"/>
      <c r="W5" s="5"/>
      <c r="X5" s="5"/>
      <c r="Y5" s="5"/>
      <c r="Z5" s="5"/>
      <c r="AA5" s="5"/>
      <c r="AB5" s="5"/>
    </row>
    <row r="6" spans="1:28" x14ac:dyDescent="0.3">
      <c r="A6" s="5"/>
      <c r="B6" s="55"/>
      <c r="C6" s="46"/>
      <c r="D6" s="46"/>
      <c r="E6" s="46"/>
      <c r="F6" s="46"/>
      <c r="G6" s="46"/>
      <c r="H6" s="46"/>
      <c r="I6" s="46"/>
      <c r="J6" s="47"/>
      <c r="K6" s="46"/>
      <c r="L6" s="46"/>
      <c r="M6" s="46"/>
      <c r="N6" s="46"/>
      <c r="O6" s="46"/>
      <c r="P6" s="44"/>
      <c r="Q6" s="44"/>
      <c r="R6" s="44"/>
      <c r="S6" s="56"/>
      <c r="T6" s="57"/>
      <c r="U6" s="5"/>
      <c r="V6" s="5"/>
      <c r="W6" s="5"/>
      <c r="X6" s="5"/>
      <c r="Y6" s="5"/>
      <c r="Z6" s="5"/>
      <c r="AA6" s="5"/>
      <c r="AB6" s="5"/>
    </row>
    <row r="7" spans="1:28" ht="15" thickBot="1" x14ac:dyDescent="0.35">
      <c r="A7" s="5"/>
      <c r="B7" s="47"/>
      <c r="C7" s="5"/>
      <c r="D7" s="47"/>
      <c r="E7" s="47"/>
      <c r="F7" s="46"/>
      <c r="G7" s="46"/>
      <c r="K7" s="46"/>
      <c r="L7" s="46"/>
      <c r="M7" s="47"/>
      <c r="N7" s="47"/>
      <c r="O7" s="47"/>
      <c r="P7" s="44"/>
      <c r="Q7" s="44"/>
      <c r="R7" s="44"/>
      <c r="S7" s="56"/>
      <c r="T7" s="57"/>
      <c r="U7" s="5"/>
      <c r="V7" s="5"/>
      <c r="W7" s="5"/>
      <c r="X7" s="5"/>
      <c r="Y7" s="5"/>
      <c r="Z7" s="5"/>
      <c r="AA7" s="5"/>
      <c r="AB7" s="5"/>
    </row>
    <row r="8" spans="1:28" ht="15" customHeight="1" thickBot="1" x14ac:dyDescent="0.35">
      <c r="A8" s="5"/>
      <c r="B8" s="76" t="s">
        <v>1</v>
      </c>
      <c r="C8" s="77"/>
      <c r="D8" s="77"/>
      <c r="E8" s="77"/>
      <c r="F8" s="78"/>
      <c r="G8" s="47"/>
      <c r="K8" s="47"/>
      <c r="L8" s="58"/>
      <c r="M8" s="46"/>
      <c r="N8" s="46"/>
      <c r="O8" s="46"/>
      <c r="P8" s="44"/>
      <c r="Q8" s="44"/>
      <c r="R8" s="44"/>
      <c r="S8" s="56"/>
      <c r="T8" s="57"/>
      <c r="U8" s="5"/>
      <c r="V8" s="5"/>
      <c r="W8" s="5"/>
      <c r="X8" s="5"/>
      <c r="Y8" s="5"/>
      <c r="Z8" s="5"/>
      <c r="AA8" s="5"/>
      <c r="AB8" s="5"/>
    </row>
    <row r="9" spans="1:28" ht="38.4" x14ac:dyDescent="0.3">
      <c r="A9" s="5"/>
      <c r="B9" s="67" t="s">
        <v>8</v>
      </c>
      <c r="C9" s="68" t="s">
        <v>35</v>
      </c>
      <c r="D9" s="67" t="s">
        <v>39</v>
      </c>
      <c r="E9" s="70" t="s">
        <v>10</v>
      </c>
      <c r="F9" s="69" t="s">
        <v>38</v>
      </c>
      <c r="G9" s="46"/>
      <c r="H9" s="80" t="str">
        <f>"Diode: "&amp;Diodi!I8</f>
        <v xml:space="preserve">Diode: </v>
      </c>
      <c r="I9" s="80"/>
      <c r="J9" s="80"/>
      <c r="L9" s="46"/>
      <c r="M9" s="46"/>
      <c r="N9" s="46"/>
      <c r="O9" s="46"/>
      <c r="P9" s="44"/>
      <c r="Q9" s="44"/>
      <c r="R9" s="44"/>
      <c r="S9" s="56"/>
      <c r="T9" s="57"/>
      <c r="U9" s="5"/>
      <c r="V9" s="5"/>
      <c r="W9" s="5"/>
      <c r="X9" s="5"/>
      <c r="Y9" s="5"/>
      <c r="Z9" s="5"/>
      <c r="AA9" s="5"/>
      <c r="AB9" s="5"/>
    </row>
    <row r="10" spans="1:28" ht="15" thickBot="1" x14ac:dyDescent="0.35">
      <c r="A10" s="5"/>
      <c r="B10" s="59">
        <f>E4/(F4/1000)</f>
        <v>66.666666666666671</v>
      </c>
      <c r="C10" s="60">
        <f>+'Decadi E12'!D3</f>
        <v>1</v>
      </c>
      <c r="D10" s="71">
        <f>E4*'Decadi E12'!D13</f>
        <v>244</v>
      </c>
      <c r="E10" s="61">
        <f>((((('Decadi E12'!G8/C10)-'Decadi E12'!D13)*0.2637+5.0219))-((('Decadi E12'!F8/C10)-'Decadi E12'!D13)*0.2637+E4))/E4*100</f>
        <v>-65.568705000000008</v>
      </c>
      <c r="F10" s="62">
        <f>(25*E4*(F4/1000))+D4</f>
        <v>200</v>
      </c>
      <c r="G10" s="46"/>
      <c r="H10" s="81" t="str">
        <f>"Resistance: "&amp;C10&amp;" Ω   ± 5%  "&amp;Interface!E14&amp;" 100ppm/°C"</f>
        <v>Resistance: 1 Ω   ± 5%   100ppm/°C</v>
      </c>
      <c r="I10" s="81"/>
      <c r="J10" s="81"/>
      <c r="K10" s="81"/>
      <c r="L10" s="46"/>
      <c r="M10" s="46"/>
      <c r="N10" s="46"/>
      <c r="O10" s="47"/>
      <c r="P10" s="44"/>
      <c r="Q10" s="44"/>
      <c r="R10" s="44"/>
      <c r="S10" s="56"/>
      <c r="T10" s="57"/>
      <c r="U10" s="5"/>
      <c r="V10" s="5"/>
      <c r="W10" s="5"/>
      <c r="X10" s="5"/>
      <c r="Y10" s="5"/>
      <c r="Z10" s="5"/>
      <c r="AA10" s="5"/>
      <c r="AB10" s="5"/>
    </row>
    <row r="11" spans="1:28" x14ac:dyDescent="0.3">
      <c r="A11" s="5"/>
      <c r="B11" s="47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4"/>
      <c r="Q11" s="44"/>
      <c r="R11" s="44"/>
      <c r="S11" s="56"/>
      <c r="T11" s="57"/>
      <c r="U11" s="5"/>
      <c r="V11" s="5"/>
      <c r="W11" s="5"/>
      <c r="X11" s="5"/>
      <c r="Y11" s="5"/>
      <c r="Z11" s="5"/>
      <c r="AA11" s="5"/>
      <c r="AB11" s="5"/>
    </row>
    <row r="12" spans="1:28" x14ac:dyDescent="0.3">
      <c r="A12" s="5"/>
      <c r="B12" s="47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4"/>
      <c r="Q12" s="44"/>
      <c r="R12" s="44"/>
      <c r="S12" s="56"/>
      <c r="T12" s="57"/>
      <c r="U12" s="5"/>
      <c r="V12" s="5"/>
      <c r="W12" s="5"/>
      <c r="X12" s="5"/>
      <c r="Y12" s="5"/>
      <c r="Z12" s="5"/>
      <c r="AA12" s="5"/>
      <c r="AB12" s="5"/>
    </row>
    <row r="13" spans="1:28" ht="14.4" customHeight="1" x14ac:dyDescent="0.3">
      <c r="A13" s="5"/>
      <c r="B13" s="47"/>
      <c r="C13" s="46"/>
      <c r="D13" s="46"/>
      <c r="E13" s="46"/>
      <c r="F13" s="46"/>
      <c r="G13" s="46"/>
      <c r="H13" s="46"/>
      <c r="I13" s="46"/>
      <c r="J13" s="72" t="str">
        <f>IF(E4&gt;3.3,"","ERROR:                                                             The output voltage must be between 3,3V and Vin")&amp;IF(E4&lt;B4,"","ERROR:                                                             The output voltage must be between 3,3V and Vin")</f>
        <v>ERROR:                                                             The output voltage must be between 3,3V and Vin</v>
      </c>
      <c r="K13" s="72"/>
      <c r="L13" s="72"/>
      <c r="M13" s="72"/>
      <c r="N13" s="46" t="s">
        <v>37</v>
      </c>
      <c r="O13" s="46"/>
      <c r="P13" s="44"/>
      <c r="Q13" s="44"/>
      <c r="R13" s="44"/>
      <c r="S13" s="56"/>
      <c r="T13" s="57"/>
      <c r="U13" s="5"/>
      <c r="V13" s="5"/>
      <c r="W13" s="5"/>
      <c r="X13" s="5"/>
      <c r="Y13" s="5"/>
      <c r="Z13" s="5"/>
      <c r="AA13" s="5"/>
      <c r="AB13" s="5"/>
    </row>
    <row r="14" spans="1:28" ht="14.4" customHeight="1" x14ac:dyDescent="0.3">
      <c r="A14" s="5"/>
      <c r="B14" s="47"/>
      <c r="C14" s="46"/>
      <c r="D14" s="46"/>
      <c r="E14" s="46"/>
      <c r="F14" s="46"/>
      <c r="G14" s="46"/>
      <c r="H14" s="46"/>
      <c r="I14" s="46"/>
      <c r="J14" s="72"/>
      <c r="K14" s="72"/>
      <c r="L14" s="72"/>
      <c r="M14" s="72"/>
      <c r="N14" s="46"/>
      <c r="O14" s="46"/>
      <c r="P14" s="44"/>
      <c r="Q14" s="63"/>
      <c r="R14" s="44"/>
      <c r="S14" s="56"/>
      <c r="T14" s="57"/>
      <c r="U14" s="5"/>
      <c r="V14" s="5"/>
      <c r="W14" s="5"/>
      <c r="X14" s="5"/>
      <c r="Y14" s="5"/>
      <c r="Z14" s="5"/>
      <c r="AA14" s="5"/>
      <c r="AB14" s="5"/>
    </row>
    <row r="15" spans="1:28" ht="14.4" customHeight="1" x14ac:dyDescent="0.3">
      <c r="A15" s="5"/>
      <c r="B15" s="47"/>
      <c r="C15" s="46"/>
      <c r="D15" s="46"/>
      <c r="E15" s="46"/>
      <c r="F15" s="46"/>
      <c r="G15" s="46"/>
      <c r="H15" s="46"/>
      <c r="I15" s="46"/>
      <c r="J15" s="72"/>
      <c r="K15" s="72"/>
      <c r="L15" s="72"/>
      <c r="M15" s="72"/>
      <c r="N15" s="46"/>
      <c r="O15" s="46"/>
      <c r="P15" s="44"/>
      <c r="Q15" s="44"/>
      <c r="R15" s="44"/>
      <c r="S15" s="56"/>
      <c r="T15" s="57"/>
      <c r="U15" s="5"/>
      <c r="V15" s="5"/>
      <c r="W15" s="5"/>
      <c r="X15" s="5"/>
      <c r="Y15" s="5"/>
      <c r="Z15" s="5"/>
      <c r="AA15" s="5"/>
      <c r="AB15" s="5"/>
    </row>
    <row r="16" spans="1:28" ht="14.4" customHeight="1" x14ac:dyDescent="0.3">
      <c r="A16" s="5"/>
      <c r="B16" s="47"/>
      <c r="C16" s="46"/>
      <c r="D16" s="46"/>
      <c r="E16" s="46"/>
      <c r="F16" s="46"/>
      <c r="G16" s="46"/>
      <c r="H16" s="46"/>
      <c r="I16" s="46"/>
      <c r="J16" s="72"/>
      <c r="K16" s="72"/>
      <c r="L16" s="72"/>
      <c r="M16" s="72"/>
      <c r="O16" s="48"/>
      <c r="P16" s="44"/>
      <c r="Q16" s="44"/>
      <c r="R16" s="44"/>
      <c r="S16" s="56"/>
      <c r="T16" s="57"/>
      <c r="U16" s="5"/>
      <c r="V16" s="5"/>
      <c r="W16" s="5"/>
      <c r="X16" s="5"/>
      <c r="Y16" s="5"/>
      <c r="Z16" s="5"/>
      <c r="AA16" s="5"/>
      <c r="AB16" s="5"/>
    </row>
    <row r="17" spans="1:28" ht="14.4" customHeight="1" x14ac:dyDescent="0.3">
      <c r="A17" s="5"/>
      <c r="B17" s="47"/>
      <c r="C17" s="46"/>
      <c r="D17" s="46"/>
      <c r="E17" s="46"/>
      <c r="F17" s="46"/>
      <c r="G17" s="46"/>
      <c r="H17" s="46"/>
      <c r="I17" s="46"/>
      <c r="J17" s="72"/>
      <c r="K17" s="72"/>
      <c r="L17" s="72"/>
      <c r="M17" s="72"/>
      <c r="N17" s="66"/>
      <c r="O17" s="66"/>
      <c r="P17" s="66"/>
      <c r="Q17" s="44"/>
      <c r="R17" s="44"/>
      <c r="S17" s="56"/>
      <c r="T17" s="57"/>
      <c r="U17" s="5"/>
      <c r="V17" s="5"/>
      <c r="W17" s="5"/>
      <c r="X17" s="5"/>
      <c r="Y17" s="5"/>
      <c r="Z17" s="5"/>
      <c r="AA17" s="5"/>
      <c r="AB17" s="5"/>
    </row>
    <row r="18" spans="1:28" ht="14.4" customHeight="1" x14ac:dyDescent="0.3">
      <c r="A18" s="64"/>
      <c r="B18" s="64"/>
      <c r="C18" s="65"/>
      <c r="D18" s="65"/>
      <c r="E18" s="46"/>
      <c r="F18" s="46"/>
      <c r="G18" s="46"/>
      <c r="H18" s="46"/>
      <c r="I18" s="46"/>
      <c r="J18" s="72"/>
      <c r="K18" s="72"/>
      <c r="L18" s="72"/>
      <c r="M18" s="72"/>
      <c r="N18" s="48"/>
      <c r="O18" s="48"/>
      <c r="P18" s="44"/>
      <c r="Q18" s="44"/>
      <c r="R18" s="44"/>
      <c r="S18" s="66"/>
      <c r="T18" s="57"/>
      <c r="U18" s="5"/>
      <c r="V18" s="5"/>
      <c r="W18" s="5"/>
      <c r="X18" s="5"/>
      <c r="Y18" s="5"/>
      <c r="Z18" s="5"/>
      <c r="AA18" s="5"/>
      <c r="AB18" s="5"/>
    </row>
    <row r="19" spans="1:28" x14ac:dyDescent="0.3">
      <c r="A19" s="64"/>
      <c r="B19" s="64"/>
      <c r="C19" s="65"/>
      <c r="D19" s="65"/>
      <c r="E19" s="46"/>
      <c r="F19" s="46"/>
      <c r="G19" s="46"/>
      <c r="H19" s="46"/>
      <c r="I19" s="46"/>
      <c r="J19" s="72"/>
      <c r="K19" s="72"/>
      <c r="L19" s="72"/>
      <c r="M19" s="72"/>
      <c r="N19" s="46"/>
      <c r="O19" s="48"/>
      <c r="P19" s="44"/>
      <c r="Q19" s="44"/>
      <c r="R19" s="44"/>
      <c r="S19" s="66"/>
      <c r="T19" s="57"/>
      <c r="U19" s="5"/>
      <c r="V19" s="5"/>
      <c r="W19" s="5"/>
      <c r="X19" s="5"/>
      <c r="Y19" s="5"/>
      <c r="Z19" s="5"/>
      <c r="AA19" s="5"/>
      <c r="AB19" s="5"/>
    </row>
    <row r="20" spans="1:28" x14ac:dyDescent="0.3">
      <c r="A20" s="5"/>
      <c r="B20" s="47"/>
      <c r="C20" s="46"/>
      <c r="D20" s="46"/>
      <c r="E20" s="46"/>
      <c r="F20" s="46"/>
      <c r="G20" s="46"/>
      <c r="H20" s="46"/>
      <c r="I20" s="46"/>
      <c r="J20" s="72"/>
      <c r="K20" s="72"/>
      <c r="L20" s="72"/>
      <c r="M20" s="72"/>
      <c r="N20" s="48"/>
      <c r="O20" s="48"/>
      <c r="P20" s="44"/>
      <c r="Q20" s="44"/>
      <c r="R20" s="44"/>
      <c r="S20" s="66"/>
      <c r="T20" s="57"/>
      <c r="U20" s="5"/>
      <c r="V20" s="5"/>
      <c r="W20" s="5"/>
      <c r="X20" s="5"/>
      <c r="Y20" s="5"/>
      <c r="Z20" s="5"/>
      <c r="AA20" s="5"/>
      <c r="AB20" s="5"/>
    </row>
    <row r="21" spans="1:28" x14ac:dyDescent="0.3">
      <c r="A21" s="5"/>
      <c r="B21" s="47"/>
      <c r="C21" s="65"/>
      <c r="D21" s="65"/>
      <c r="E21" s="65"/>
      <c r="F21" s="65"/>
      <c r="G21" s="65"/>
      <c r="H21" s="65"/>
      <c r="I21" s="65"/>
      <c r="J21" s="65"/>
      <c r="K21" s="48"/>
      <c r="Q21" s="44"/>
      <c r="R21" s="44"/>
      <c r="S21" s="66"/>
      <c r="T21" s="57"/>
      <c r="U21" s="5"/>
      <c r="V21" s="5"/>
      <c r="W21" s="5"/>
      <c r="X21" s="5"/>
      <c r="Y21" s="5"/>
      <c r="Z21" s="5"/>
      <c r="AA21" s="5"/>
      <c r="AB21" s="5"/>
    </row>
    <row r="22" spans="1:28" x14ac:dyDescent="0.3">
      <c r="A22" s="5"/>
      <c r="B22" s="47"/>
      <c r="C22" s="65"/>
      <c r="D22" s="65"/>
      <c r="E22" s="65"/>
      <c r="F22" s="65"/>
      <c r="G22" s="65"/>
      <c r="H22" s="65"/>
      <c r="I22" s="65"/>
      <c r="J22" s="65"/>
      <c r="K22" s="48"/>
      <c r="L22" s="48"/>
      <c r="M22" s="48"/>
      <c r="N22" s="48"/>
      <c r="O22" s="48"/>
      <c r="P22" s="44"/>
      <c r="Q22" s="44"/>
      <c r="R22" s="44"/>
      <c r="S22" s="66"/>
      <c r="T22" s="57"/>
      <c r="U22" s="5"/>
      <c r="V22" s="5"/>
      <c r="W22" s="5"/>
      <c r="X22" s="5"/>
      <c r="Y22" s="5"/>
      <c r="Z22" s="5"/>
      <c r="AA22" s="5"/>
      <c r="AB22" s="5"/>
    </row>
    <row r="23" spans="1:28" x14ac:dyDescent="0.3">
      <c r="A23" s="5"/>
      <c r="B23" s="47"/>
      <c r="C23" s="65"/>
      <c r="D23" s="65"/>
      <c r="E23" s="65"/>
      <c r="F23" s="65"/>
      <c r="G23" s="65"/>
      <c r="H23" s="65"/>
      <c r="I23" s="65"/>
      <c r="J23" s="65"/>
      <c r="K23" s="65"/>
      <c r="L23" s="46"/>
      <c r="M23" s="46"/>
      <c r="N23" s="46"/>
      <c r="O23" s="46"/>
      <c r="P23" s="44"/>
      <c r="Q23" s="44"/>
      <c r="R23" s="44"/>
      <c r="S23" s="66"/>
      <c r="T23" s="57"/>
      <c r="U23" s="5"/>
      <c r="V23" s="5"/>
      <c r="W23" s="5"/>
      <c r="X23" s="5"/>
      <c r="Y23" s="5"/>
      <c r="Z23" s="5"/>
      <c r="AA23" s="5"/>
      <c r="AB23" s="5"/>
    </row>
    <row r="24" spans="1:28" x14ac:dyDescent="0.3">
      <c r="A24" s="5"/>
      <c r="B24" s="47"/>
      <c r="C24" s="65"/>
      <c r="D24" s="65"/>
      <c r="E24" s="65"/>
      <c r="F24" s="65"/>
      <c r="G24" s="65"/>
      <c r="H24" s="65"/>
      <c r="I24" s="65"/>
      <c r="J24" s="65"/>
      <c r="K24" s="65"/>
      <c r="L24" s="46"/>
      <c r="M24" s="46"/>
      <c r="N24" s="46"/>
      <c r="O24" s="46"/>
      <c r="P24" s="44"/>
      <c r="Q24" s="44"/>
      <c r="R24" s="44"/>
      <c r="S24" s="66"/>
      <c r="T24" s="57"/>
      <c r="U24" s="5"/>
      <c r="V24" s="5"/>
      <c r="W24" s="5"/>
      <c r="X24" s="5"/>
      <c r="Y24" s="5"/>
      <c r="Z24" s="5"/>
      <c r="AA24" s="5"/>
      <c r="AB24" s="5"/>
    </row>
    <row r="25" spans="1:28" x14ac:dyDescent="0.3">
      <c r="A25" s="5"/>
      <c r="B25" s="4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4"/>
      <c r="Q25" s="44"/>
      <c r="R25" s="44"/>
      <c r="S25" s="66"/>
      <c r="T25" s="57"/>
      <c r="U25" s="5"/>
      <c r="V25" s="5"/>
      <c r="W25" s="5"/>
      <c r="X25" s="5"/>
      <c r="Y25" s="5"/>
      <c r="Z25" s="5"/>
      <c r="AA25" s="5"/>
      <c r="AB25" s="5"/>
    </row>
    <row r="26" spans="1:28" x14ac:dyDescent="0.3">
      <c r="A26" s="5"/>
      <c r="B26" s="4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4"/>
      <c r="Q26" s="44"/>
      <c r="R26" s="44"/>
      <c r="S26" s="66"/>
      <c r="T26" s="57"/>
      <c r="U26" s="5"/>
      <c r="V26" s="5"/>
      <c r="W26" s="5"/>
      <c r="X26" s="5"/>
      <c r="Y26" s="5"/>
      <c r="Z26" s="5"/>
      <c r="AA26" s="5"/>
      <c r="AB26" s="5"/>
    </row>
    <row r="27" spans="1:28" x14ac:dyDescent="0.3">
      <c r="A27" s="5"/>
      <c r="B27" s="4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4"/>
      <c r="Q27" s="44"/>
      <c r="R27" s="44"/>
      <c r="S27" s="66"/>
      <c r="T27" s="57"/>
      <c r="U27" s="5"/>
      <c r="V27" s="5"/>
      <c r="W27" s="5"/>
      <c r="X27" s="5"/>
      <c r="Y27" s="5"/>
      <c r="Z27" s="5"/>
      <c r="AA27" s="5"/>
      <c r="AB27" s="5"/>
    </row>
    <row r="28" spans="1:28" x14ac:dyDescent="0.3">
      <c r="A28" s="5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4"/>
      <c r="Q28" s="44"/>
      <c r="R28" s="44"/>
      <c r="S28" s="66"/>
      <c r="T28" s="57"/>
      <c r="U28" s="5"/>
      <c r="V28" s="5"/>
      <c r="W28" s="5"/>
      <c r="X28" s="5"/>
      <c r="Y28" s="5"/>
      <c r="Z28" s="5"/>
      <c r="AA28" s="5"/>
      <c r="AB28" s="5"/>
    </row>
    <row r="29" spans="1:28" x14ac:dyDescent="0.3">
      <c r="A29" s="5"/>
      <c r="B29" s="4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4"/>
      <c r="Q29" s="44"/>
      <c r="R29" s="44"/>
      <c r="S29" s="66"/>
      <c r="T29" s="57"/>
      <c r="U29" s="5"/>
      <c r="V29" s="5"/>
      <c r="W29" s="5"/>
      <c r="X29" s="5"/>
      <c r="Y29" s="5"/>
      <c r="Z29" s="5"/>
      <c r="AA29" s="5"/>
      <c r="AB29" s="5"/>
    </row>
    <row r="30" spans="1:28" x14ac:dyDescent="0.3">
      <c r="A30" s="5"/>
      <c r="B30" s="4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4"/>
      <c r="Q30" s="44"/>
      <c r="R30" s="44"/>
      <c r="S30" s="66"/>
      <c r="T30" s="57"/>
      <c r="U30" s="5"/>
      <c r="V30" s="5"/>
      <c r="W30" s="5"/>
      <c r="X30" s="5"/>
      <c r="Y30" s="5"/>
      <c r="Z30" s="5"/>
      <c r="AA30" s="5"/>
      <c r="AB30" s="5"/>
    </row>
    <row r="31" spans="1:28" x14ac:dyDescent="0.3">
      <c r="A31" s="5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4"/>
      <c r="Q31" s="44"/>
      <c r="R31" s="44"/>
      <c r="S31" s="66"/>
      <c r="T31" s="57"/>
      <c r="U31" s="5"/>
      <c r="V31" s="5"/>
      <c r="W31" s="5"/>
      <c r="X31" s="5"/>
      <c r="Y31" s="5"/>
      <c r="Z31" s="5"/>
      <c r="AA31" s="5"/>
      <c r="AB31" s="5"/>
    </row>
    <row r="32" spans="1:28" x14ac:dyDescent="0.3">
      <c r="A32" s="5"/>
      <c r="B32" s="4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4"/>
      <c r="Q32" s="44"/>
      <c r="R32" s="44"/>
      <c r="S32" s="66"/>
      <c r="T32" s="57"/>
      <c r="U32" s="5"/>
      <c r="V32" s="5"/>
      <c r="W32" s="5"/>
      <c r="X32" s="5"/>
      <c r="Y32" s="5"/>
      <c r="Z32" s="5"/>
      <c r="AA32" s="5"/>
      <c r="AB32" s="5"/>
    </row>
    <row r="33" spans="1:28" x14ac:dyDescent="0.3">
      <c r="A33" s="5"/>
      <c r="B33" s="4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4"/>
      <c r="Q33" s="44"/>
      <c r="R33" s="44"/>
      <c r="S33" s="66"/>
      <c r="T33" s="57"/>
      <c r="U33" s="5"/>
      <c r="V33" s="5"/>
      <c r="W33" s="5"/>
      <c r="X33" s="5"/>
      <c r="Y33" s="5"/>
      <c r="Z33" s="5"/>
      <c r="AA33" s="5"/>
      <c r="AB33" s="5"/>
    </row>
    <row r="34" spans="1:28" x14ac:dyDescent="0.3">
      <c r="A34" s="5"/>
      <c r="B34" s="4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4"/>
      <c r="Q34" s="44"/>
      <c r="R34" s="44"/>
      <c r="S34" s="66"/>
      <c r="T34" s="57"/>
      <c r="U34" s="5"/>
      <c r="V34" s="5"/>
      <c r="W34" s="5"/>
      <c r="X34" s="5"/>
      <c r="Y34" s="5"/>
      <c r="Z34" s="5"/>
      <c r="AA34" s="5"/>
      <c r="AB34" s="5"/>
    </row>
    <row r="35" spans="1:28" x14ac:dyDescent="0.3">
      <c r="A35" s="5"/>
      <c r="B35" s="4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4"/>
      <c r="Q35" s="44"/>
      <c r="R35" s="44"/>
      <c r="S35" s="66"/>
      <c r="T35" s="57"/>
      <c r="U35" s="5"/>
      <c r="V35" s="5"/>
      <c r="W35" s="5"/>
      <c r="X35" s="5"/>
      <c r="Y35" s="5"/>
      <c r="Z35" s="5"/>
      <c r="AA35" s="5"/>
      <c r="AB35" s="5"/>
    </row>
    <row r="36" spans="1:28" x14ac:dyDescent="0.3">
      <c r="A36" s="5"/>
      <c r="B36" s="4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4"/>
      <c r="Q36" s="44"/>
      <c r="R36" s="44"/>
      <c r="S36" s="66"/>
      <c r="T36" s="57"/>
      <c r="U36" s="5"/>
      <c r="V36" s="5"/>
      <c r="W36" s="5"/>
      <c r="X36" s="5"/>
      <c r="Y36" s="5"/>
      <c r="Z36" s="5"/>
      <c r="AA36" s="5"/>
      <c r="AB36" s="5"/>
    </row>
    <row r="37" spans="1:28" x14ac:dyDescent="0.3">
      <c r="A37" s="5"/>
      <c r="B37" s="4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4"/>
      <c r="Q37" s="44"/>
      <c r="R37" s="44"/>
      <c r="S37" s="66"/>
      <c r="T37" s="57"/>
      <c r="U37" s="5"/>
      <c r="V37" s="5"/>
      <c r="W37" s="5"/>
      <c r="X37" s="5"/>
      <c r="Y37" s="5"/>
      <c r="Z37" s="5"/>
      <c r="AA37" s="5"/>
      <c r="AB37" s="5"/>
    </row>
    <row r="38" spans="1:28" x14ac:dyDescent="0.3">
      <c r="A38" s="5"/>
      <c r="B38" s="4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4"/>
      <c r="Q38" s="44"/>
      <c r="R38" s="44"/>
      <c r="S38" s="66"/>
      <c r="T38" s="57"/>
      <c r="U38" s="5"/>
      <c r="V38" s="5"/>
      <c r="W38" s="5"/>
      <c r="X38" s="5"/>
      <c r="Y38" s="5"/>
      <c r="Z38" s="5"/>
      <c r="AA38" s="5"/>
      <c r="AB38" s="5"/>
    </row>
    <row r="39" spans="1:28" x14ac:dyDescent="0.3">
      <c r="A39" s="5"/>
      <c r="B39" s="4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4"/>
      <c r="Q39" s="44"/>
      <c r="R39" s="44"/>
      <c r="S39" s="66"/>
      <c r="T39" s="57"/>
      <c r="U39" s="5"/>
      <c r="V39" s="5"/>
      <c r="W39" s="5"/>
      <c r="X39" s="5"/>
      <c r="Y39" s="5"/>
      <c r="Z39" s="5"/>
      <c r="AA39" s="5"/>
      <c r="AB39" s="5"/>
    </row>
    <row r="40" spans="1:28" x14ac:dyDescent="0.3">
      <c r="A40" s="5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4"/>
      <c r="Q40" s="44"/>
      <c r="R40" s="44"/>
      <c r="S40" s="66"/>
      <c r="T40" s="57"/>
      <c r="U40" s="5"/>
      <c r="V40" s="5"/>
      <c r="W40" s="5"/>
      <c r="X40" s="5"/>
      <c r="Y40" s="5"/>
      <c r="Z40" s="5"/>
      <c r="AA40" s="5"/>
      <c r="AB40" s="5"/>
    </row>
    <row r="41" spans="1:28" x14ac:dyDescent="0.3">
      <c r="A41" s="5"/>
      <c r="B41" s="4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4"/>
      <c r="Q41" s="44"/>
      <c r="R41" s="44"/>
      <c r="S41" s="66"/>
      <c r="T41" s="57"/>
      <c r="U41" s="5"/>
      <c r="V41" s="5"/>
      <c r="W41" s="5"/>
      <c r="X41" s="5"/>
      <c r="Y41" s="5"/>
      <c r="Z41" s="5"/>
      <c r="AA41" s="5"/>
      <c r="AB41" s="5"/>
    </row>
    <row r="42" spans="1:28" x14ac:dyDescent="0.3">
      <c r="A42" s="5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4"/>
      <c r="Q42" s="44"/>
      <c r="R42" s="44"/>
      <c r="S42" s="66"/>
      <c r="T42" s="57"/>
      <c r="U42" s="5"/>
      <c r="V42" s="5"/>
      <c r="W42" s="5"/>
      <c r="X42" s="5"/>
      <c r="Y42" s="5"/>
      <c r="Z42" s="5"/>
      <c r="AA42" s="5"/>
      <c r="AB42" s="5"/>
    </row>
    <row r="43" spans="1:28" x14ac:dyDescent="0.3">
      <c r="A43" s="5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4"/>
      <c r="Q43" s="44"/>
      <c r="R43" s="44"/>
      <c r="S43" s="66"/>
      <c r="T43" s="57"/>
      <c r="U43" s="5"/>
      <c r="V43" s="5"/>
      <c r="W43" s="5"/>
      <c r="X43" s="5"/>
      <c r="Y43" s="5"/>
      <c r="Z43" s="5"/>
      <c r="AA43" s="5"/>
      <c r="AB43" s="5"/>
    </row>
    <row r="44" spans="1:28" x14ac:dyDescent="0.3">
      <c r="A44" s="5"/>
      <c r="B44" s="4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4"/>
      <c r="Q44" s="44"/>
      <c r="R44" s="44"/>
      <c r="S44" s="66"/>
      <c r="T44" s="57"/>
      <c r="U44" s="5"/>
      <c r="V44" s="5"/>
      <c r="W44" s="5"/>
      <c r="X44" s="5"/>
      <c r="Y44" s="5"/>
      <c r="Z44" s="5"/>
      <c r="AA44" s="5"/>
      <c r="AB44" s="5"/>
    </row>
    <row r="45" spans="1:28" x14ac:dyDescent="0.3">
      <c r="A45" s="5"/>
      <c r="B45" s="4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4"/>
      <c r="Q45" s="44"/>
      <c r="R45" s="44"/>
      <c r="S45" s="66"/>
      <c r="T45" s="57"/>
      <c r="U45" s="5"/>
      <c r="V45" s="5"/>
      <c r="W45" s="5"/>
      <c r="X45" s="5"/>
      <c r="Y45" s="5"/>
      <c r="Z45" s="5"/>
      <c r="AA45" s="5"/>
      <c r="AB45" s="5"/>
    </row>
    <row r="46" spans="1:28" x14ac:dyDescent="0.3">
      <c r="A46" s="5"/>
      <c r="B46" s="4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4"/>
      <c r="Q46" s="44"/>
      <c r="R46" s="44"/>
      <c r="S46" s="66"/>
      <c r="T46" s="57"/>
      <c r="U46" s="5"/>
      <c r="V46" s="5"/>
      <c r="W46" s="5"/>
      <c r="X46" s="5"/>
      <c r="Y46" s="5"/>
      <c r="Z46" s="5"/>
      <c r="AA46" s="5"/>
      <c r="AB46" s="5"/>
    </row>
    <row r="47" spans="1:28" x14ac:dyDescent="0.3">
      <c r="A47" s="5"/>
      <c r="B47" s="47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4"/>
      <c r="Q47" s="44"/>
      <c r="R47" s="44"/>
      <c r="S47" s="66"/>
      <c r="T47" s="57"/>
      <c r="U47" s="5"/>
      <c r="V47" s="5"/>
      <c r="W47" s="5"/>
      <c r="X47" s="5"/>
      <c r="Y47" s="5"/>
      <c r="Z47" s="5"/>
      <c r="AA47" s="5"/>
      <c r="AB47" s="5"/>
    </row>
    <row r="48" spans="1:28" x14ac:dyDescent="0.3">
      <c r="A48" s="5"/>
      <c r="B48" s="47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4"/>
      <c r="Q48" s="44"/>
      <c r="R48" s="44"/>
      <c r="S48" s="66"/>
      <c r="T48" s="57"/>
      <c r="U48" s="5"/>
      <c r="V48" s="5"/>
      <c r="W48" s="5"/>
      <c r="X48" s="5"/>
      <c r="Y48" s="5"/>
      <c r="Z48" s="5"/>
      <c r="AA48" s="5"/>
      <c r="AB48" s="5"/>
    </row>
    <row r="49" spans="1:28" x14ac:dyDescent="0.3">
      <c r="A49" s="5"/>
      <c r="B49" s="47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4"/>
      <c r="Q49" s="44"/>
      <c r="R49" s="44"/>
      <c r="S49" s="66"/>
      <c r="T49" s="57"/>
      <c r="U49" s="5"/>
      <c r="V49" s="5"/>
      <c r="W49" s="5"/>
      <c r="X49" s="5"/>
      <c r="Y49" s="5"/>
      <c r="Z49" s="5"/>
      <c r="AA49" s="5"/>
      <c r="AB49" s="5"/>
    </row>
    <row r="50" spans="1:28" x14ac:dyDescent="0.3">
      <c r="A50" s="5"/>
      <c r="B50" s="47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4"/>
      <c r="Q50" s="44"/>
      <c r="R50" s="44"/>
      <c r="S50" s="66"/>
      <c r="T50" s="57"/>
      <c r="U50" s="5"/>
      <c r="V50" s="5"/>
      <c r="W50" s="5"/>
      <c r="X50" s="5"/>
      <c r="Y50" s="5"/>
      <c r="Z50" s="5"/>
      <c r="AA50" s="5"/>
      <c r="AB50" s="5"/>
    </row>
    <row r="51" spans="1:28" x14ac:dyDescent="0.3">
      <c r="A51" s="5"/>
      <c r="B51" s="47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4"/>
      <c r="Q51" s="44"/>
      <c r="R51" s="44"/>
      <c r="S51" s="66"/>
      <c r="T51" s="57"/>
      <c r="U51" s="5"/>
      <c r="V51" s="5"/>
      <c r="W51" s="5"/>
      <c r="X51" s="5"/>
      <c r="Y51" s="5"/>
      <c r="Z51" s="5"/>
      <c r="AA51" s="5"/>
      <c r="AB51" s="5"/>
    </row>
    <row r="52" spans="1:28" x14ac:dyDescent="0.3">
      <c r="A52" s="5"/>
      <c r="B52" s="47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4"/>
      <c r="Q52" s="44"/>
      <c r="R52" s="44"/>
      <c r="S52" s="66"/>
      <c r="T52" s="57"/>
      <c r="U52" s="5"/>
      <c r="V52" s="5"/>
      <c r="W52" s="5"/>
      <c r="X52" s="5"/>
      <c r="Y52" s="5"/>
      <c r="Z52" s="5"/>
      <c r="AA52" s="5"/>
      <c r="AB52" s="5"/>
    </row>
    <row r="53" spans="1:28" x14ac:dyDescent="0.3">
      <c r="A53" s="5"/>
      <c r="B53" s="47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4"/>
      <c r="Q53" s="44"/>
      <c r="R53" s="44"/>
      <c r="S53" s="66"/>
      <c r="T53" s="57"/>
      <c r="U53" s="5"/>
      <c r="V53" s="5"/>
      <c r="W53" s="5"/>
      <c r="X53" s="5"/>
      <c r="Y53" s="5"/>
      <c r="Z53" s="5"/>
      <c r="AA53" s="5"/>
      <c r="AB53" s="5"/>
    </row>
    <row r="54" spans="1:28" x14ac:dyDescent="0.3">
      <c r="A54" s="5"/>
      <c r="B54" s="5"/>
      <c r="C54" s="44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4"/>
      <c r="S54" s="44"/>
      <c r="T54" s="44"/>
      <c r="U54" s="5"/>
      <c r="V54" s="5"/>
      <c r="W54" s="5"/>
      <c r="X54" s="5"/>
      <c r="Y54" s="5"/>
      <c r="Z54" s="5"/>
      <c r="AA54" s="5"/>
      <c r="AB54" s="5"/>
    </row>
    <row r="55" spans="1:28" x14ac:dyDescent="0.3">
      <c r="A55" s="5"/>
      <c r="B55" s="5"/>
      <c r="C55" s="44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4"/>
      <c r="S55" s="44"/>
      <c r="T55" s="44"/>
      <c r="U55" s="5"/>
      <c r="V55" s="5"/>
      <c r="W55" s="5"/>
      <c r="X55" s="5"/>
      <c r="Y55" s="5"/>
      <c r="Z55" s="5"/>
      <c r="AA55" s="5"/>
      <c r="AB55" s="5"/>
    </row>
    <row r="56" spans="1:28" x14ac:dyDescent="0.3">
      <c r="A56" s="5"/>
      <c r="B56" s="5"/>
      <c r="C56" s="44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4"/>
      <c r="S56" s="44"/>
      <c r="T56" s="44"/>
      <c r="U56" s="5"/>
      <c r="V56" s="5"/>
      <c r="W56" s="5"/>
      <c r="X56" s="5"/>
      <c r="Y56" s="5"/>
      <c r="Z56" s="5"/>
      <c r="AA56" s="5"/>
      <c r="AB56" s="5"/>
    </row>
    <row r="57" spans="1:28" x14ac:dyDescent="0.3">
      <c r="A57" s="5"/>
      <c r="B57" s="5"/>
      <c r="C57" s="44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4"/>
      <c r="S57" s="44"/>
      <c r="T57" s="44"/>
      <c r="U57" s="5"/>
      <c r="V57" s="5"/>
      <c r="W57" s="5"/>
      <c r="X57" s="5"/>
      <c r="Y57" s="5"/>
      <c r="Z57" s="5"/>
      <c r="AA57" s="5"/>
      <c r="AB57" s="5"/>
    </row>
    <row r="58" spans="1:28" x14ac:dyDescent="0.3">
      <c r="A58" s="5"/>
      <c r="B58" s="5"/>
      <c r="C58" s="44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4"/>
      <c r="S58" s="44"/>
      <c r="T58" s="44"/>
      <c r="U58" s="5"/>
      <c r="V58" s="5"/>
      <c r="W58" s="5"/>
      <c r="X58" s="5"/>
      <c r="Y58" s="5"/>
      <c r="Z58" s="5"/>
      <c r="AA58" s="5"/>
      <c r="AB58" s="5"/>
    </row>
    <row r="59" spans="1:28" x14ac:dyDescent="0.3">
      <c r="A59" s="5"/>
      <c r="B59" s="5"/>
      <c r="C59" s="5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3">
      <c r="A60" s="5"/>
      <c r="B60" s="5"/>
      <c r="C60" s="5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3">
      <c r="A61" s="5"/>
      <c r="B61" s="5"/>
      <c r="C61" s="5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3">
      <c r="A62" s="5"/>
      <c r="B62" s="5"/>
      <c r="C62" s="5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3">
      <c r="A63" s="5"/>
      <c r="B63" s="5"/>
      <c r="C63" s="5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3">
      <c r="A64" s="5"/>
      <c r="B64" s="5"/>
      <c r="C64" s="5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x14ac:dyDescent="0.3">
      <c r="A65" s="5"/>
      <c r="B65" s="5"/>
      <c r="C65" s="5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x14ac:dyDescent="0.3">
      <c r="A66" s="5"/>
      <c r="B66" s="5"/>
      <c r="C66" s="5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x14ac:dyDescent="0.3">
      <c r="A67" s="5"/>
      <c r="B67" s="5"/>
      <c r="C67" s="5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</sheetData>
  <mergeCells count="6">
    <mergeCell ref="J13:M20"/>
    <mergeCell ref="B2:F2"/>
    <mergeCell ref="B8:F8"/>
    <mergeCell ref="H3:I3"/>
    <mergeCell ref="H9:J9"/>
    <mergeCell ref="H10:K10"/>
  </mergeCells>
  <conditionalFormatting sqref="C4">
    <cfRule type="cellIs" dxfId="6" priority="7" operator="between">
      <formula>21</formula>
      <formula>24</formula>
    </cfRule>
    <cfRule type="cellIs" dxfId="5" priority="8" operator="lessThan">
      <formula>21</formula>
    </cfRule>
    <cfRule type="cellIs" dxfId="4" priority="9" operator="greaterThan">
      <formula>24</formula>
    </cfRule>
  </conditionalFormatting>
  <conditionalFormatting sqref="E4">
    <cfRule type="cellIs" dxfId="3" priority="4" operator="lessThan">
      <formula>3.3</formula>
    </cfRule>
    <cfRule type="cellIs" dxfId="2" priority="5" operator="greaterThan">
      <formula>$B$4</formula>
    </cfRule>
  </conditionalFormatting>
  <conditionalFormatting sqref="K22:O22 K21 N18:O18 O16 N17:P17 N20:O20 O19">
    <cfRule type="containsText" dxfId="1" priority="2" operator="containsText" text="ATTENZIONE">
      <formula>NOT(ISERROR(SEARCH("ATTENZIONE",K16)))</formula>
    </cfRule>
  </conditionalFormatting>
  <conditionalFormatting sqref="J13:J20 K13:K20 L13:L20 M13:M20">
    <cfRule type="containsText" dxfId="0" priority="1" operator="containsText" text="ERROR:                                                             The output voltage must be between 3,3V and Vin">
      <formula>NOT(ISERROR(SEARCH("ERROR:                                                             The output voltage must be between 3,3V and Vin",J13)))</formula>
    </cfRule>
  </conditionalFormatting>
  <hyperlinks>
    <hyperlink ref="H3" r:id="rId1" display="Mouser 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J48"/>
  <sheetViews>
    <sheetView zoomScale="120" zoomScaleNormal="120" workbookViewId="0">
      <selection activeCell="E14" sqref="E14"/>
    </sheetView>
  </sheetViews>
  <sheetFormatPr defaultRowHeight="14.4" x14ac:dyDescent="0.3"/>
  <cols>
    <col min="4" max="4" width="9.6640625" bestFit="1" customWidth="1"/>
    <col min="9" max="10" width="8.88671875" style="1"/>
  </cols>
  <sheetData>
    <row r="1" spans="1:10" x14ac:dyDescent="0.3">
      <c r="A1" s="11">
        <v>1</v>
      </c>
      <c r="B1" s="22">
        <f>IF(A1&gt;='Decadi E12'!$C$8,A1,"")</f>
        <v>1</v>
      </c>
    </row>
    <row r="2" spans="1:10" ht="15" thickBot="1" x14ac:dyDescent="0.35">
      <c r="A2" s="11">
        <v>1.2</v>
      </c>
      <c r="B2" s="23">
        <f>IF(A2&gt;='Decadi E12'!$C$8,A2,"")</f>
        <v>1.2</v>
      </c>
      <c r="D2" s="5"/>
    </row>
    <row r="3" spans="1:10" ht="15" thickBot="1" x14ac:dyDescent="0.35">
      <c r="A3" s="11">
        <v>1.5</v>
      </c>
      <c r="B3" s="23">
        <f>IF(A3&gt;='Decadi E12'!$C$8,A3,"")</f>
        <v>1.5</v>
      </c>
      <c r="C3" s="21" t="s">
        <v>7</v>
      </c>
      <c r="D3" s="8">
        <f>MIN(B1:B48)</f>
        <v>1</v>
      </c>
    </row>
    <row r="4" spans="1:10" ht="15" thickBot="1" x14ac:dyDescent="0.35">
      <c r="A4" s="11">
        <v>1.8</v>
      </c>
      <c r="B4" s="23">
        <f>IF(A4&gt;='Decadi E12'!$C$8,A4,"")</f>
        <v>1.8</v>
      </c>
    </row>
    <row r="5" spans="1:10" ht="15" thickBot="1" x14ac:dyDescent="0.35">
      <c r="A5" s="11">
        <v>2.2000000000000002</v>
      </c>
      <c r="B5" s="23">
        <f>IF(A5&gt;='Decadi E12'!$C$8,A5,"")</f>
        <v>2.2000000000000002</v>
      </c>
      <c r="I5" s="29" t="s">
        <v>11</v>
      </c>
      <c r="J5" s="30" t="s">
        <v>12</v>
      </c>
    </row>
    <row r="6" spans="1:10" ht="15" thickBot="1" x14ac:dyDescent="0.35">
      <c r="A6" s="11">
        <v>2.7</v>
      </c>
      <c r="B6" s="23">
        <f>IF(A6&gt;='Decadi E12'!$C$8,A6,"")</f>
        <v>2.7</v>
      </c>
      <c r="I6" s="25">
        <v>0.1</v>
      </c>
      <c r="J6" s="26">
        <v>5.04</v>
      </c>
    </row>
    <row r="7" spans="1:10" ht="34.200000000000003" x14ac:dyDescent="0.3">
      <c r="A7" s="11">
        <v>3.3</v>
      </c>
      <c r="B7" s="23">
        <f>IF(A7&gt;='Decadi E12'!$C$8,A7,"")</f>
        <v>3.3</v>
      </c>
      <c r="C7" s="33" t="s">
        <v>9</v>
      </c>
      <c r="D7" s="6" t="s">
        <v>2</v>
      </c>
      <c r="E7" s="7" t="s">
        <v>3</v>
      </c>
      <c r="F7" s="7" t="s">
        <v>6</v>
      </c>
      <c r="G7" s="7" t="s">
        <v>4</v>
      </c>
      <c r="I7" s="25">
        <v>0.2</v>
      </c>
      <c r="J7" s="26">
        <v>5.09</v>
      </c>
    </row>
    <row r="8" spans="1:10" ht="15" thickBot="1" x14ac:dyDescent="0.35">
      <c r="A8" s="11">
        <v>3.9</v>
      </c>
      <c r="B8" s="23">
        <f>IF(A8&gt;='Decadi E12'!$C$8,A8,"")</f>
        <v>3.9</v>
      </c>
      <c r="C8" s="34">
        <f>((Interface!B4-(Interface!B4*Interface!C4/100))-Interface!E4)/((Interface!F4/1000)+0.02)</f>
        <v>-31.25</v>
      </c>
      <c r="D8" s="10">
        <f>Interface!B4*1.4142</f>
        <v>17.677499999999998</v>
      </c>
      <c r="E8" s="9">
        <f>D8-1.2</f>
        <v>16.477499999999999</v>
      </c>
      <c r="F8" s="9">
        <f>ROUND(D8*(100-Interface!C4)/100,2)</f>
        <v>14.14</v>
      </c>
      <c r="G8" s="4">
        <f>ROUND(D8*(100+Interface!C4)/100,2)</f>
        <v>21.21</v>
      </c>
      <c r="I8" s="25">
        <v>0.3</v>
      </c>
      <c r="J8" s="26">
        <v>5.0940000000000003</v>
      </c>
    </row>
    <row r="9" spans="1:10" x14ac:dyDescent="0.3">
      <c r="A9" s="11">
        <v>4.7</v>
      </c>
      <c r="B9" s="23">
        <f>IF(A9&gt;='Decadi E12'!$C$8,A9,"")</f>
        <v>4.7</v>
      </c>
      <c r="I9" s="25">
        <v>0.4</v>
      </c>
      <c r="J9" s="26">
        <v>5.13</v>
      </c>
    </row>
    <row r="10" spans="1:10" x14ac:dyDescent="0.3">
      <c r="A10" s="11">
        <v>5.6</v>
      </c>
      <c r="B10" s="23">
        <f>IF(A10&gt;='Decadi E12'!$C$8,A10,"")</f>
        <v>5.6</v>
      </c>
      <c r="I10" s="25">
        <v>0.5</v>
      </c>
      <c r="J10" s="26">
        <v>5.15</v>
      </c>
    </row>
    <row r="11" spans="1:10" x14ac:dyDescent="0.3">
      <c r="A11" s="11">
        <v>6.8</v>
      </c>
      <c r="B11" s="23">
        <f>IF(A11&gt;='Decadi E12'!$C$8,A11,"")</f>
        <v>6.8</v>
      </c>
      <c r="I11" s="25">
        <v>0.6</v>
      </c>
      <c r="J11" s="26">
        <v>5.18</v>
      </c>
    </row>
    <row r="12" spans="1:10" ht="15" thickBot="1" x14ac:dyDescent="0.35">
      <c r="A12" s="11">
        <v>8.1999999999999993</v>
      </c>
      <c r="B12" s="23">
        <f>IF(A12&gt;='Decadi E12'!$C$8,A12,"")</f>
        <v>8.1999999999999993</v>
      </c>
      <c r="I12" s="25">
        <v>0.7</v>
      </c>
      <c r="J12" s="26">
        <v>5.21</v>
      </c>
    </row>
    <row r="13" spans="1:10" x14ac:dyDescent="0.3">
      <c r="A13" s="12">
        <v>10</v>
      </c>
      <c r="B13" s="23">
        <f>IF(A13&gt;='Decadi E12'!$C$8,A13,"")</f>
        <v>10</v>
      </c>
      <c r="C13" s="31" t="s">
        <v>13</v>
      </c>
      <c r="D13" s="32">
        <f>(Interface!B4/Interface!C10)-(Interface!F4/1000)</f>
        <v>12.2</v>
      </c>
      <c r="E13" t="s">
        <v>33</v>
      </c>
      <c r="I13" s="25">
        <v>0.8</v>
      </c>
      <c r="J13" s="26">
        <v>5.23</v>
      </c>
    </row>
    <row r="14" spans="1:10" ht="15" thickBot="1" x14ac:dyDescent="0.35">
      <c r="A14" s="13">
        <v>12</v>
      </c>
      <c r="B14" s="23">
        <f>IF(A14&gt;='Decadi E12'!$C$8,A14,"")</f>
        <v>12</v>
      </c>
      <c r="C14" s="35" t="s">
        <v>14</v>
      </c>
      <c r="E14" s="40">
        <f>(Interface!B4*Interface!B4)/Interface!C10</f>
        <v>156.25</v>
      </c>
      <c r="I14" s="27">
        <v>0.9</v>
      </c>
      <c r="J14" s="28">
        <v>5.26</v>
      </c>
    </row>
    <row r="15" spans="1:10" x14ac:dyDescent="0.3">
      <c r="A15" s="13">
        <v>15</v>
      </c>
      <c r="B15" s="23">
        <f>IF(A15&gt;='Decadi E12'!$C$8,A15,"")</f>
        <v>15</v>
      </c>
    </row>
    <row r="16" spans="1:10" x14ac:dyDescent="0.3">
      <c r="A16" s="13">
        <v>18</v>
      </c>
      <c r="B16" s="23">
        <f>IF(A16&gt;='Decadi E12'!$C$8,A16,"")</f>
        <v>18</v>
      </c>
    </row>
    <row r="17" spans="1:9" x14ac:dyDescent="0.3">
      <c r="A17" s="13">
        <v>22</v>
      </c>
      <c r="B17" s="23">
        <f>IF(A17&gt;='Decadi E12'!$C$8,A17,"")</f>
        <v>22</v>
      </c>
    </row>
    <row r="18" spans="1:9" x14ac:dyDescent="0.3">
      <c r="A18" s="13">
        <v>27</v>
      </c>
      <c r="B18" s="23">
        <f>IF(A18&gt;='Decadi E12'!$C$8,A18,"")</f>
        <v>27</v>
      </c>
    </row>
    <row r="19" spans="1:9" x14ac:dyDescent="0.3">
      <c r="A19" s="13">
        <v>33</v>
      </c>
      <c r="B19" s="23">
        <f>IF(A19&gt;='Decadi E12'!$C$8,A19,"")</f>
        <v>33</v>
      </c>
    </row>
    <row r="20" spans="1:9" x14ac:dyDescent="0.3">
      <c r="A20" s="13">
        <v>39</v>
      </c>
      <c r="B20" s="23">
        <f>IF(A20&gt;='Decadi E12'!$C$8,A20,"")</f>
        <v>39</v>
      </c>
    </row>
    <row r="21" spans="1:9" x14ac:dyDescent="0.3">
      <c r="A21" s="13">
        <v>47</v>
      </c>
      <c r="B21" s="23">
        <f>IF(A21&gt;='Decadi E12'!$C$8,A21,"")</f>
        <v>47</v>
      </c>
    </row>
    <row r="22" spans="1:9" x14ac:dyDescent="0.3">
      <c r="A22" s="13">
        <v>56</v>
      </c>
      <c r="B22" s="23">
        <f>IF(A22&gt;='Decadi E12'!$C$8,A22,"")</f>
        <v>56</v>
      </c>
    </row>
    <row r="23" spans="1:9" x14ac:dyDescent="0.3">
      <c r="A23" s="13">
        <v>68</v>
      </c>
      <c r="B23" s="23">
        <f>IF(A23&gt;='Decadi E12'!$C$8,A23,"")</f>
        <v>68</v>
      </c>
    </row>
    <row r="24" spans="1:9" ht="15" thickBot="1" x14ac:dyDescent="0.35">
      <c r="A24" s="14">
        <v>82</v>
      </c>
      <c r="B24" s="23">
        <f>IF(A24&gt;='Decadi E12'!$C$8,A24,"")</f>
        <v>82</v>
      </c>
      <c r="H24" s="3"/>
      <c r="I24" s="3"/>
    </row>
    <row r="25" spans="1:9" x14ac:dyDescent="0.3">
      <c r="A25" s="15">
        <v>100</v>
      </c>
      <c r="B25" s="23">
        <f>IF(A25&gt;='Decadi E12'!$C$8,A25,"")</f>
        <v>100</v>
      </c>
      <c r="H25" s="2"/>
      <c r="I25" s="2"/>
    </row>
    <row r="26" spans="1:9" x14ac:dyDescent="0.3">
      <c r="A26" s="16">
        <v>120</v>
      </c>
      <c r="B26" s="23">
        <f>IF(A26&gt;='Decadi E12'!$C$8,A26,"")</f>
        <v>120</v>
      </c>
      <c r="H26" s="2"/>
      <c r="I26" s="2"/>
    </row>
    <row r="27" spans="1:9" x14ac:dyDescent="0.3">
      <c r="A27" s="16">
        <v>150</v>
      </c>
      <c r="B27" s="23">
        <f>IF(A27&gt;='Decadi E12'!$C$8,A27,"")</f>
        <v>150</v>
      </c>
      <c r="H27" s="2"/>
      <c r="I27" s="2"/>
    </row>
    <row r="28" spans="1:9" x14ac:dyDescent="0.3">
      <c r="A28" s="16">
        <v>180</v>
      </c>
      <c r="B28" s="23">
        <f>IF(A28&gt;='Decadi E12'!$C$8,A28,"")</f>
        <v>180</v>
      </c>
      <c r="H28" s="2"/>
      <c r="I28" s="2"/>
    </row>
    <row r="29" spans="1:9" x14ac:dyDescent="0.3">
      <c r="A29" s="16">
        <v>220</v>
      </c>
      <c r="B29" s="23">
        <f>IF(A29&gt;='Decadi E12'!$C$8,A29,"")</f>
        <v>220</v>
      </c>
      <c r="H29" s="2"/>
      <c r="I29" s="2"/>
    </row>
    <row r="30" spans="1:9" x14ac:dyDescent="0.3">
      <c r="A30" s="16">
        <v>270</v>
      </c>
      <c r="B30" s="23">
        <f>IF(A30&gt;='Decadi E12'!$C$8,A30,"")</f>
        <v>270</v>
      </c>
      <c r="H30" s="2"/>
      <c r="I30" s="2"/>
    </row>
    <row r="31" spans="1:9" x14ac:dyDescent="0.3">
      <c r="A31" s="16">
        <v>330</v>
      </c>
      <c r="B31" s="23">
        <f>IF(A31&gt;='Decadi E12'!$C$8,A31,"")</f>
        <v>330</v>
      </c>
      <c r="H31" s="2"/>
      <c r="I31" s="2"/>
    </row>
    <row r="32" spans="1:9" x14ac:dyDescent="0.3">
      <c r="A32" s="16">
        <v>390</v>
      </c>
      <c r="B32" s="23">
        <f>IF(A32&gt;='Decadi E12'!$C$8,A32,"")</f>
        <v>390</v>
      </c>
      <c r="H32" s="2"/>
      <c r="I32" s="2"/>
    </row>
    <row r="33" spans="1:9" x14ac:dyDescent="0.3">
      <c r="A33" s="16">
        <v>470</v>
      </c>
      <c r="B33" s="23">
        <f>IF(A33&gt;='Decadi E12'!$C$8,A33,"")</f>
        <v>470</v>
      </c>
      <c r="H33" s="2"/>
      <c r="I33" s="2"/>
    </row>
    <row r="34" spans="1:9" x14ac:dyDescent="0.3">
      <c r="A34" s="16">
        <v>560</v>
      </c>
      <c r="B34" s="23">
        <f>IF(A34&gt;='Decadi E12'!$C$8,A34,"")</f>
        <v>560</v>
      </c>
      <c r="H34" s="2"/>
      <c r="I34" s="2"/>
    </row>
    <row r="35" spans="1:9" x14ac:dyDescent="0.3">
      <c r="A35" s="16">
        <v>680</v>
      </c>
      <c r="B35" s="23">
        <f>IF(A35&gt;='Decadi E12'!$C$8,A35,"")</f>
        <v>680</v>
      </c>
      <c r="H35" s="2"/>
      <c r="I35" s="2"/>
    </row>
    <row r="36" spans="1:9" ht="15" thickBot="1" x14ac:dyDescent="0.35">
      <c r="A36" s="17">
        <v>820</v>
      </c>
      <c r="B36" s="23">
        <f>IF(A36&gt;='Decadi E12'!$C$8,A36,"")</f>
        <v>820</v>
      </c>
      <c r="H36" s="2"/>
      <c r="I36" s="2"/>
    </row>
    <row r="37" spans="1:9" x14ac:dyDescent="0.3">
      <c r="A37" s="18">
        <v>1000</v>
      </c>
      <c r="B37" s="23">
        <f>IF(A37&gt;='Decadi E12'!$C$8,A37,"")</f>
        <v>1000</v>
      </c>
    </row>
    <row r="38" spans="1:9" x14ac:dyDescent="0.3">
      <c r="A38" s="19">
        <v>1200</v>
      </c>
      <c r="B38" s="23">
        <f>IF(A38&gt;='Decadi E12'!$C$8,A38,"")</f>
        <v>1200</v>
      </c>
    </row>
    <row r="39" spans="1:9" x14ac:dyDescent="0.3">
      <c r="A39" s="19">
        <v>1500</v>
      </c>
      <c r="B39" s="23">
        <f>IF(A39&gt;='Decadi E12'!$C$8,A39,"")</f>
        <v>1500</v>
      </c>
    </row>
    <row r="40" spans="1:9" x14ac:dyDescent="0.3">
      <c r="A40" s="19">
        <v>1800</v>
      </c>
      <c r="B40" s="23">
        <f>IF(A40&gt;='Decadi E12'!$C$8,A40,"")</f>
        <v>1800</v>
      </c>
    </row>
    <row r="41" spans="1:9" x14ac:dyDescent="0.3">
      <c r="A41" s="19">
        <v>2200</v>
      </c>
      <c r="B41" s="23">
        <f>IF(A41&gt;='Decadi E12'!$C$8,A41,"")</f>
        <v>2200</v>
      </c>
    </row>
    <row r="42" spans="1:9" x14ac:dyDescent="0.3">
      <c r="A42" s="19">
        <v>2700</v>
      </c>
      <c r="B42" s="23">
        <f>IF(A42&gt;='Decadi E12'!$C$8,A42,"")</f>
        <v>2700</v>
      </c>
    </row>
    <row r="43" spans="1:9" x14ac:dyDescent="0.3">
      <c r="A43" s="19">
        <v>3300</v>
      </c>
      <c r="B43" s="23">
        <f>IF(A43&gt;='Decadi E12'!$C$8,A43,"")</f>
        <v>3300</v>
      </c>
    </row>
    <row r="44" spans="1:9" x14ac:dyDescent="0.3">
      <c r="A44" s="19">
        <v>3900</v>
      </c>
      <c r="B44" s="23">
        <f>IF(A44&gt;='Decadi E12'!$C$8,A44,"")</f>
        <v>3900</v>
      </c>
    </row>
    <row r="45" spans="1:9" x14ac:dyDescent="0.3">
      <c r="A45" s="19">
        <v>4700</v>
      </c>
      <c r="B45" s="23">
        <f>IF(A45&gt;='Decadi E12'!$C$8,A45,"")</f>
        <v>4700</v>
      </c>
    </row>
    <row r="46" spans="1:9" x14ac:dyDescent="0.3">
      <c r="A46" s="19">
        <v>5600</v>
      </c>
      <c r="B46" s="23">
        <f>IF(A46&gt;='Decadi E12'!$C$8,A46,"")</f>
        <v>5600</v>
      </c>
    </row>
    <row r="47" spans="1:9" x14ac:dyDescent="0.3">
      <c r="A47" s="19">
        <v>6800</v>
      </c>
      <c r="B47" s="23">
        <f>IF(A47&gt;='Decadi E12'!$C$8,A47,"")</f>
        <v>6800</v>
      </c>
    </row>
    <row r="48" spans="1:9" ht="15" thickBot="1" x14ac:dyDescent="0.35">
      <c r="A48" s="20">
        <v>8200</v>
      </c>
      <c r="B48" s="24">
        <f>IF(A48&gt;='Decadi E12'!$C$8,A48,"")</f>
        <v>8200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I15"/>
  <sheetViews>
    <sheetView workbookViewId="0">
      <selection activeCell="D14" sqref="D14"/>
    </sheetView>
  </sheetViews>
  <sheetFormatPr defaultRowHeight="14.4" x14ac:dyDescent="0.3"/>
  <cols>
    <col min="1" max="1" width="8.88671875" customWidth="1"/>
  </cols>
  <sheetData>
    <row r="1" spans="1:9" x14ac:dyDescent="0.3">
      <c r="A1" s="37">
        <v>3.3</v>
      </c>
      <c r="B1" s="36" t="s">
        <v>15</v>
      </c>
      <c r="D1">
        <f>IF(Interface!E4&gt;=Diodi!A1,1,0)</f>
        <v>1</v>
      </c>
      <c r="E1">
        <f>IF(Interface!E4&lt;=3.4,1,0)</f>
        <v>0</v>
      </c>
      <c r="F1" s="82" t="s">
        <v>32</v>
      </c>
      <c r="G1" t="str">
        <f>IF(D1+E1=2,B1,"")</f>
        <v/>
      </c>
    </row>
    <row r="2" spans="1:9" x14ac:dyDescent="0.3">
      <c r="A2" s="37">
        <v>3.6</v>
      </c>
      <c r="B2" s="36" t="s">
        <v>16</v>
      </c>
      <c r="D2">
        <f>IF(Interface!E4&gt;=3.5,1,0)</f>
        <v>1</v>
      </c>
      <c r="E2">
        <f>IF(Interface!E4&lt;=3.7,1,0)</f>
        <v>0</v>
      </c>
      <c r="F2" s="82"/>
      <c r="G2" t="str">
        <f t="shared" ref="G2:G15" si="0">IF(D2+E2=2,B2,"")</f>
        <v/>
      </c>
    </row>
    <row r="3" spans="1:9" x14ac:dyDescent="0.3">
      <c r="A3" s="37">
        <v>3.9</v>
      </c>
      <c r="B3" s="36" t="s">
        <v>17</v>
      </c>
      <c r="D3">
        <f>IF(Interface!E4&gt;=3.8,1,0)</f>
        <v>1</v>
      </c>
      <c r="E3">
        <f>IF(Interface!E4&lt;=4.2,1,0)</f>
        <v>0</v>
      </c>
      <c r="F3" s="82"/>
      <c r="G3" t="str">
        <f t="shared" si="0"/>
        <v/>
      </c>
    </row>
    <row r="4" spans="1:9" x14ac:dyDescent="0.3">
      <c r="A4" s="37">
        <v>4.3</v>
      </c>
      <c r="B4" s="36" t="s">
        <v>18</v>
      </c>
      <c r="D4">
        <f>IF(Interface!E4&gt;=Diodi!A4,1,0)</f>
        <v>1</v>
      </c>
      <c r="E4">
        <f>IF(Interface!E4&lt;=4.6,1,0)</f>
        <v>0</v>
      </c>
      <c r="F4" s="82"/>
      <c r="G4" t="str">
        <f t="shared" si="0"/>
        <v/>
      </c>
    </row>
    <row r="5" spans="1:9" x14ac:dyDescent="0.3">
      <c r="A5" s="37">
        <v>4.7</v>
      </c>
      <c r="B5" s="36" t="s">
        <v>19</v>
      </c>
      <c r="D5">
        <f>IF(Interface!E4&gt;=Diodi!A5,1,0)</f>
        <v>1</v>
      </c>
      <c r="E5">
        <f>IF(Interface!E4&lt;=4.9,1,0)</f>
        <v>0</v>
      </c>
      <c r="F5" s="82"/>
      <c r="G5" t="str">
        <f t="shared" si="0"/>
        <v/>
      </c>
    </row>
    <row r="6" spans="1:9" x14ac:dyDescent="0.3">
      <c r="A6" s="37">
        <v>5.0999999999999996</v>
      </c>
      <c r="B6" s="36" t="s">
        <v>20</v>
      </c>
      <c r="D6">
        <f>IF(Interface!E4&gt;=5,1,0)</f>
        <v>1</v>
      </c>
      <c r="E6">
        <f>IF(Interface!E4&lt;=5.4,1,0)</f>
        <v>0</v>
      </c>
      <c r="F6" s="82"/>
      <c r="G6" t="str">
        <f t="shared" si="0"/>
        <v/>
      </c>
    </row>
    <row r="7" spans="1:9" x14ac:dyDescent="0.3">
      <c r="A7" s="37">
        <v>5.6</v>
      </c>
      <c r="B7" s="36" t="s">
        <v>21</v>
      </c>
      <c r="D7">
        <f>IF(Interface!E4&gt;=5.5,1,0)</f>
        <v>1</v>
      </c>
      <c r="E7">
        <f>IF(Interface!E4&lt;=5.8,1,0)</f>
        <v>0</v>
      </c>
      <c r="F7" s="82"/>
      <c r="I7" t="s">
        <v>31</v>
      </c>
    </row>
    <row r="8" spans="1:9" x14ac:dyDescent="0.3">
      <c r="A8" s="37">
        <v>6</v>
      </c>
      <c r="B8" s="36" t="s">
        <v>22</v>
      </c>
      <c r="D8">
        <f>IF(Interface!E4&gt;=5.9,1,0)</f>
        <v>1</v>
      </c>
      <c r="E8">
        <f>IF(Interface!E4&lt;=6.1,1,0)</f>
        <v>0</v>
      </c>
      <c r="F8" s="82"/>
      <c r="G8" t="str">
        <f t="shared" si="0"/>
        <v/>
      </c>
      <c r="I8" t="str">
        <f>Diodi!G1&amp;Diodi!G2&amp;Diodi!G3&amp;Diodi!G4&amp;Diodi!G6&amp;Diodi!G7&amp;Diodi!G8&amp;Diodi!G9&amp;Diodi!G10&amp;Diodi!G11&amp;Diodi!G12&amp;Diodi!G13&amp;Diodi!G14&amp;Diodi!G15</f>
        <v/>
      </c>
    </row>
    <row r="9" spans="1:9" x14ac:dyDescent="0.3">
      <c r="A9" s="37">
        <v>6.2</v>
      </c>
      <c r="B9" s="36" t="s">
        <v>23</v>
      </c>
      <c r="D9">
        <f>IF(Interface!E4&gt;=Diodi!A9,1,0)</f>
        <v>1</v>
      </c>
      <c r="E9">
        <f>IF(Interface!E4&lt;=6.5,1,0)</f>
        <v>0</v>
      </c>
      <c r="F9" s="82"/>
      <c r="G9" t="str">
        <f t="shared" si="0"/>
        <v/>
      </c>
    </row>
    <row r="10" spans="1:9" x14ac:dyDescent="0.3">
      <c r="A10" s="37">
        <v>6.8</v>
      </c>
      <c r="B10" s="36" t="s">
        <v>24</v>
      </c>
      <c r="D10">
        <f>IF(Interface!E4&gt;=6.6,1,0)</f>
        <v>1</v>
      </c>
      <c r="E10">
        <f>IF(Interface!E4&lt;=7.2,1,0)</f>
        <v>0</v>
      </c>
      <c r="F10" s="82"/>
      <c r="G10" t="str">
        <f t="shared" si="0"/>
        <v/>
      </c>
    </row>
    <row r="11" spans="1:9" x14ac:dyDescent="0.3">
      <c r="A11" s="37">
        <v>7.5</v>
      </c>
      <c r="B11" s="36" t="s">
        <v>25</v>
      </c>
      <c r="D11">
        <f>IF(Interface!E4&gt;=7.3,1,0)</f>
        <v>1</v>
      </c>
      <c r="E11">
        <f>IF(Interface!E4&lt;=7.9,1,0)</f>
        <v>0</v>
      </c>
      <c r="F11" s="82"/>
      <c r="G11" t="str">
        <f t="shared" si="0"/>
        <v/>
      </c>
    </row>
    <row r="12" spans="1:9" x14ac:dyDescent="0.3">
      <c r="A12" s="37">
        <v>8.1999999999999993</v>
      </c>
      <c r="B12" s="36" t="s">
        <v>26</v>
      </c>
      <c r="D12">
        <f>IF(Interface!E4&gt;=8,1,0)</f>
        <v>1</v>
      </c>
      <c r="E12">
        <f>IF(Interface!E4&lt;=8.5,1,0)</f>
        <v>0</v>
      </c>
      <c r="F12" s="82"/>
      <c r="G12" t="str">
        <f t="shared" si="0"/>
        <v/>
      </c>
    </row>
    <row r="13" spans="1:9" x14ac:dyDescent="0.3">
      <c r="A13" s="37">
        <v>8.6999999999999993</v>
      </c>
      <c r="B13" s="36" t="s">
        <v>27</v>
      </c>
      <c r="D13">
        <f>IF(Interface!E4&gt;=8.7,1,0)</f>
        <v>1</v>
      </c>
      <c r="E13">
        <f>IF(Interface!E4&lt;=9,1,0)</f>
        <v>0</v>
      </c>
      <c r="F13" s="82"/>
      <c r="G13" t="str">
        <f t="shared" si="0"/>
        <v/>
      </c>
    </row>
    <row r="14" spans="1:9" x14ac:dyDescent="0.3">
      <c r="A14" s="37">
        <v>9.1</v>
      </c>
      <c r="B14" s="36" t="s">
        <v>28</v>
      </c>
      <c r="D14">
        <f>IF(Interface!E4&gt;=Diodi!A14,1,0)</f>
        <v>1</v>
      </c>
      <c r="E14">
        <f>IF(Interface!E4&lt;=9.6,1,0)</f>
        <v>0</v>
      </c>
      <c r="F14" s="82"/>
      <c r="G14" t="str">
        <f t="shared" si="0"/>
        <v/>
      </c>
    </row>
    <row r="15" spans="1:9" x14ac:dyDescent="0.3">
      <c r="A15" s="37">
        <v>10</v>
      </c>
      <c r="B15" s="36" t="s">
        <v>29</v>
      </c>
      <c r="D15">
        <f>IF(Interface!E4&gt;=9.7,1,0)</f>
        <v>1</v>
      </c>
      <c r="E15">
        <f>IF(Interface!E4&lt;=12,1,0)</f>
        <v>0</v>
      </c>
      <c r="F15" s="82"/>
      <c r="G15" t="str">
        <f t="shared" si="0"/>
        <v/>
      </c>
    </row>
  </sheetData>
  <mergeCells count="1">
    <mergeCell ref="F1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Interface</vt:lpstr>
      <vt:lpstr>Decadi E12</vt:lpstr>
      <vt:lpstr>Diodi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cp:lastPrinted>2022-02-04T09:34:54Z</cp:lastPrinted>
  <dcterms:created xsi:type="dcterms:W3CDTF">2022-01-28T09:17:49Z</dcterms:created>
  <dcterms:modified xsi:type="dcterms:W3CDTF">2022-04-21T06:51:24Z</dcterms:modified>
</cp:coreProperties>
</file>