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e" sheetId="1" r:id="rId4"/>
    <sheet state="visible" name="Daniele, chiaramente meglio" sheetId="2" r:id="rId5"/>
  </sheets>
  <definedNames/>
  <calcPr/>
</workbook>
</file>

<file path=xl/sharedStrings.xml><?xml version="1.0" encoding="utf-8"?>
<sst xmlns="http://schemas.openxmlformats.org/spreadsheetml/2006/main" count="138" uniqueCount="88">
  <si>
    <t>β1</t>
  </si>
  <si>
    <t>Ti</t>
  </si>
  <si>
    <t>Δx</t>
  </si>
  <si>
    <t>β2</t>
  </si>
  <si>
    <t>Tf</t>
  </si>
  <si>
    <t>n</t>
  </si>
  <si>
    <t>β3</t>
  </si>
  <si>
    <t>β4</t>
  </si>
  <si>
    <t>γ</t>
  </si>
  <si>
    <t>v1 corretta</t>
  </si>
  <si>
    <t>v1</t>
  </si>
  <si>
    <t>v*1</t>
  </si>
  <si>
    <t>v*11</t>
  </si>
  <si>
    <t>v2 corretta</t>
  </si>
  <si>
    <t>v2</t>
  </si>
  <si>
    <t>v*2</t>
  </si>
  <si>
    <t>v*12</t>
  </si>
  <si>
    <t>v3 corretta</t>
  </si>
  <si>
    <t>v3</t>
  </si>
  <si>
    <t>v*3</t>
  </si>
  <si>
    <t>v*13</t>
  </si>
  <si>
    <t>v4 corretta</t>
  </si>
  <si>
    <t>v4</t>
  </si>
  <si>
    <t>v*4</t>
  </si>
  <si>
    <t>v*21</t>
  </si>
  <si>
    <t>v*22</t>
  </si>
  <si>
    <t>ρ1</t>
  </si>
  <si>
    <t>3M1</t>
  </si>
  <si>
    <t>v*23</t>
  </si>
  <si>
    <t>ρ2</t>
  </si>
  <si>
    <t>3M2</t>
  </si>
  <si>
    <t>Mtot</t>
  </si>
  <si>
    <t>v*31</t>
  </si>
  <si>
    <t>ρ3</t>
  </si>
  <si>
    <t>3M3</t>
  </si>
  <si>
    <t>Mtubs</t>
  </si>
  <si>
    <t>v*32</t>
  </si>
  <si>
    <t>ρ4</t>
  </si>
  <si>
    <t>3M4</t>
  </si>
  <si>
    <t>v*33</t>
  </si>
  <si>
    <t>ρf</t>
  </si>
  <si>
    <t>Mf</t>
  </si>
  <si>
    <t>v*41</t>
  </si>
  <si>
    <t>v*42</t>
  </si>
  <si>
    <t>r1</t>
  </si>
  <si>
    <t>d11</t>
  </si>
  <si>
    <t>v*43</t>
  </si>
  <si>
    <t>r2</t>
  </si>
  <si>
    <t>d12</t>
  </si>
  <si>
    <t>r3</t>
  </si>
  <si>
    <t>d13</t>
  </si>
  <si>
    <t>Mtappo</t>
  </si>
  <si>
    <t>r4</t>
  </si>
  <si>
    <t>d21</t>
  </si>
  <si>
    <t>m1</t>
  </si>
  <si>
    <t>Rtubs</t>
  </si>
  <si>
    <t>d22</t>
  </si>
  <si>
    <t>m2</t>
  </si>
  <si>
    <t>Vf</t>
  </si>
  <si>
    <t>d23</t>
  </si>
  <si>
    <t>m3</t>
  </si>
  <si>
    <t>d31</t>
  </si>
  <si>
    <t>m4</t>
  </si>
  <si>
    <t>d32</t>
  </si>
  <si>
    <t>d33</t>
  </si>
  <si>
    <t>d41</t>
  </si>
  <si>
    <t>d42</t>
  </si>
  <si>
    <t>d43</t>
  </si>
  <si>
    <t>t21</t>
  </si>
  <si>
    <t>t22</t>
  </si>
  <si>
    <t>??</t>
  </si>
  <si>
    <t>t23</t>
  </si>
  <si>
    <t>t31</t>
  </si>
  <si>
    <t>t32</t>
  </si>
  <si>
    <t>t1</t>
  </si>
  <si>
    <t>t33</t>
  </si>
  <si>
    <t>t2</t>
  </si>
  <si>
    <t>t41</t>
  </si>
  <si>
    <t>t3</t>
  </si>
  <si>
    <t>t42</t>
  </si>
  <si>
    <t>???</t>
  </si>
  <si>
    <t>t4</t>
  </si>
  <si>
    <t>t43</t>
  </si>
  <si>
    <t>t11</t>
  </si>
  <si>
    <t>t12</t>
  </si>
  <si>
    <t>t13</t>
  </si>
  <si>
    <t>Nella t42 il cronometro e stato fatto partire da 8,66</t>
  </si>
  <si>
    <t>Nella t22 la presa dati presenta un errore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</si>
</sst>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5" max="5" width="2.75"/>
    <col customWidth="1" min="9" max="9" width="2.88"/>
    <col customWidth="1" min="13" max="13" width="2.5"/>
  </cols>
  <sheetData>
    <row r="2">
      <c r="B2" s="1" t="s">
        <v>0</v>
      </c>
      <c r="C2" s="2">
        <f t="shared" ref="C2:C5" si="1">ROUND(2/9 * 9.81*(C12 - $C$16)*G18^2, 4)*10^3</f>
        <v>13.4</v>
      </c>
      <c r="D2" s="2">
        <f t="shared" ref="D2:D5" si="2"> 10^3*ROUND(9.81/(9*PI()) * G12/(2*G18) * H12/G12 + (9.81/18 * ($K$13-$K$14)*(2*G18^2) / $G$23)*(($L$13+$L$14)/($K$13-$K$14) + $H$23/$G$23) + (9.81/(9*PI()) * G12/(2*G18) + 2*(9.81/18 * ($K$13-$K$14)*(2*G18^2) / $G$23))*H18/G18, 4)</f>
        <v>1</v>
      </c>
      <c r="F2" s="3" t="s">
        <v>1</v>
      </c>
      <c r="G2" s="3">
        <v>24.1</v>
      </c>
      <c r="H2" s="3">
        <v>0.05</v>
      </c>
      <c r="J2" s="3" t="s">
        <v>2</v>
      </c>
      <c r="K2" s="3">
        <v>0.06</v>
      </c>
      <c r="L2" s="3">
        <v>0.001</v>
      </c>
    </row>
    <row r="3">
      <c r="B3" s="1" t="s">
        <v>3</v>
      </c>
      <c r="C3" s="2">
        <f t="shared" si="1"/>
        <v>32.6</v>
      </c>
      <c r="D3" s="2">
        <f t="shared" si="2"/>
        <v>1.5</v>
      </c>
      <c r="F3" s="3" t="s">
        <v>4</v>
      </c>
      <c r="G3" s="3">
        <v>24.8</v>
      </c>
      <c r="H3" s="3">
        <v>0.05</v>
      </c>
      <c r="J3" s="3" t="s">
        <v>5</v>
      </c>
      <c r="K3" s="3">
        <v>269.0</v>
      </c>
    </row>
    <row r="4">
      <c r="B4" s="1" t="s">
        <v>6</v>
      </c>
      <c r="C4" s="2">
        <f t="shared" si="1"/>
        <v>15</v>
      </c>
      <c r="D4" s="2">
        <f t="shared" si="2"/>
        <v>1.9</v>
      </c>
    </row>
    <row r="5">
      <c r="B5" s="1" t="s">
        <v>7</v>
      </c>
      <c r="C5" s="2">
        <f t="shared" si="1"/>
        <v>9.5</v>
      </c>
      <c r="D5" s="2">
        <f t="shared" si="2"/>
        <v>2.4</v>
      </c>
      <c r="J5" s="3" t="s">
        <v>8</v>
      </c>
      <c r="K5" s="4">
        <f>K2/K3</f>
        <v>0.0002230483271</v>
      </c>
      <c r="L5" s="4">
        <f>L2/K2 * K5</f>
        <v>0.000003717472119</v>
      </c>
    </row>
    <row r="7">
      <c r="B7" s="3" t="s">
        <v>9</v>
      </c>
      <c r="C7" s="4">
        <f t="shared" ref="C7:C10" si="3">ROUND(G7*(1+2.4*G18/$G$22), 3)*10^3</f>
        <v>23</v>
      </c>
      <c r="D7" s="4">
        <f t="shared" ref="D7:D10" si="4">ROUND((1+2.4*G18/$G$22)*H7 + (G7*2.4/$G$22)*H18 + (G7*2.4/$G$22^2)*$H$22, 3)*10^3</f>
        <v>5</v>
      </c>
      <c r="F7" s="3" t="s">
        <v>10</v>
      </c>
      <c r="G7" s="4">
        <f t="shared" ref="G7:G10" si="5">$K$5*K7</f>
        <v>0.02176951673</v>
      </c>
      <c r="H7" s="4">
        <f t="shared" ref="H7:H10" si="6">G7*($L$5/$K$5 + L7/K7)</f>
        <v>0.0008423791822</v>
      </c>
      <c r="J7" s="3" t="s">
        <v>11</v>
      </c>
      <c r="K7" s="4">
        <f>AVERAGE(O7:O9)</f>
        <v>97.6</v>
      </c>
      <c r="L7" s="4">
        <f>(O7-O8)/2</f>
        <v>2.15</v>
      </c>
      <c r="N7" s="3" t="s">
        <v>12</v>
      </c>
      <c r="O7" s="5">
        <v>100.0</v>
      </c>
    </row>
    <row r="8">
      <c r="B8" s="3" t="s">
        <v>13</v>
      </c>
      <c r="C8" s="4">
        <f t="shared" si="3"/>
        <v>64</v>
      </c>
      <c r="D8" s="4">
        <f t="shared" si="4"/>
        <v>14</v>
      </c>
      <c r="F8" s="3" t="s">
        <v>14</v>
      </c>
      <c r="G8" s="4">
        <f t="shared" si="5"/>
        <v>0.0624535316</v>
      </c>
      <c r="H8" s="4">
        <f t="shared" si="6"/>
        <v>0.001486988848</v>
      </c>
      <c r="J8" s="3" t="s">
        <v>15</v>
      </c>
      <c r="K8" s="4">
        <f>AVERAGE(O10:O12)</f>
        <v>280</v>
      </c>
      <c r="L8" s="4">
        <f>(O11-O10)/2</f>
        <v>2</v>
      </c>
      <c r="N8" s="6" t="s">
        <v>16</v>
      </c>
      <c r="O8" s="5">
        <v>95.7</v>
      </c>
    </row>
    <row r="9">
      <c r="B9" s="3" t="s">
        <v>17</v>
      </c>
      <c r="C9" s="4">
        <f t="shared" si="3"/>
        <v>30</v>
      </c>
      <c r="D9" s="4">
        <f t="shared" si="4"/>
        <v>7</v>
      </c>
      <c r="F9" s="3" t="s">
        <v>18</v>
      </c>
      <c r="G9" s="4">
        <f t="shared" si="5"/>
        <v>0.02914498141</v>
      </c>
      <c r="H9" s="4">
        <f t="shared" si="6"/>
        <v>0.0009318463445</v>
      </c>
      <c r="J9" s="3" t="s">
        <v>19</v>
      </c>
      <c r="K9" s="4">
        <f>AVERAGE(O13:O15)</f>
        <v>130.6666667</v>
      </c>
      <c r="L9" s="4">
        <f>(O13-O15)/2</f>
        <v>2</v>
      </c>
      <c r="N9" s="6" t="s">
        <v>20</v>
      </c>
      <c r="O9" s="5">
        <v>97.1</v>
      </c>
    </row>
    <row r="10">
      <c r="B10" s="3" t="s">
        <v>21</v>
      </c>
      <c r="C10" s="4">
        <f t="shared" si="3"/>
        <v>19</v>
      </c>
      <c r="D10" s="4">
        <f t="shared" si="4"/>
        <v>4</v>
      </c>
      <c r="F10" s="3" t="s">
        <v>22</v>
      </c>
      <c r="G10" s="4">
        <f t="shared" si="5"/>
        <v>0.01882156134</v>
      </c>
      <c r="H10" s="4">
        <f t="shared" si="6"/>
        <v>0.000659417596</v>
      </c>
      <c r="J10" s="3" t="s">
        <v>23</v>
      </c>
      <c r="K10" s="4">
        <f>AVERAGE(O16:O18)</f>
        <v>84.38333333</v>
      </c>
      <c r="L10" s="4">
        <f>(O18-O17)/2</f>
        <v>1.55</v>
      </c>
      <c r="N10" s="6" t="s">
        <v>24</v>
      </c>
      <c r="O10" s="5">
        <v>278.0</v>
      </c>
    </row>
    <row r="11">
      <c r="N11" s="6" t="s">
        <v>25</v>
      </c>
      <c r="O11" s="5">
        <v>282.0</v>
      </c>
    </row>
    <row r="12">
      <c r="B12" s="7" t="s">
        <v>26</v>
      </c>
      <c r="C12" s="4">
        <f t="shared" ref="C12:C15" si="7">G12/(4*PI()*G18^3)</f>
        <v>1819.000647</v>
      </c>
      <c r="D12" s="4">
        <f t="shared" ref="D12:D15" si="8">C12*(H12/G12 + 3*H18/G18)</f>
        <v>57.21121506</v>
      </c>
      <c r="F12" s="3" t="s">
        <v>27</v>
      </c>
      <c r="G12" s="4">
        <f t="shared" ref="G12:G15" si="9">(O21-$O$20)*10^-3</f>
        <v>0.00061</v>
      </c>
      <c r="H12" s="4">
        <f t="shared" ref="H12:H15" si="10">($P$20+P21)*10^-3</f>
        <v>0.00001</v>
      </c>
      <c r="N12" s="6" t="s">
        <v>28</v>
      </c>
      <c r="O12" s="5">
        <v>280.0</v>
      </c>
    </row>
    <row r="13">
      <c r="B13" s="7" t="s">
        <v>29</v>
      </c>
      <c r="C13" s="4">
        <f t="shared" si="7"/>
        <v>7780.908329</v>
      </c>
      <c r="D13" s="4">
        <f t="shared" si="8"/>
        <v>391.4032675</v>
      </c>
      <c r="F13" s="3" t="s">
        <v>30</v>
      </c>
      <c r="G13" s="4">
        <f t="shared" si="9"/>
        <v>0.00033</v>
      </c>
      <c r="H13" s="4">
        <f t="shared" si="10"/>
        <v>0.00001</v>
      </c>
      <c r="J13" s="3" t="s">
        <v>31</v>
      </c>
      <c r="K13" s="3">
        <v>0.536</v>
      </c>
      <c r="L13" s="3">
        <v>5.0E-4</v>
      </c>
      <c r="N13" s="6" t="s">
        <v>32</v>
      </c>
      <c r="O13" s="5">
        <v>132.0</v>
      </c>
    </row>
    <row r="14">
      <c r="B14" s="7" t="s">
        <v>33</v>
      </c>
      <c r="C14" s="4">
        <f t="shared" si="7"/>
        <v>8037.858105</v>
      </c>
      <c r="D14" s="4">
        <f t="shared" si="8"/>
        <v>1045.728028</v>
      </c>
      <c r="F14" s="3" t="s">
        <v>34</v>
      </c>
      <c r="G14" s="4">
        <f t="shared" si="9"/>
        <v>0.0001</v>
      </c>
      <c r="H14" s="4">
        <f t="shared" si="10"/>
        <v>0.00001</v>
      </c>
      <c r="J14" s="3" t="s">
        <v>35</v>
      </c>
      <c r="K14" s="3">
        <v>0.266</v>
      </c>
      <c r="L14" s="3">
        <v>5.0E-4</v>
      </c>
      <c r="N14" s="6" t="s">
        <v>36</v>
      </c>
      <c r="O14" s="5">
        <v>132.0</v>
      </c>
    </row>
    <row r="15">
      <c r="B15" s="7" t="s">
        <v>37</v>
      </c>
      <c r="C15" s="4">
        <f t="shared" si="7"/>
        <v>8121.391923</v>
      </c>
      <c r="D15" s="4">
        <f t="shared" si="8"/>
        <v>1933.337697</v>
      </c>
      <c r="F15" s="3" t="s">
        <v>38</v>
      </c>
      <c r="G15" s="4">
        <f t="shared" si="9"/>
        <v>0.00005</v>
      </c>
      <c r="H15" s="4">
        <f t="shared" si="10"/>
        <v>0.00001</v>
      </c>
      <c r="N15" s="6" t="s">
        <v>39</v>
      </c>
      <c r="O15" s="5">
        <v>128.0</v>
      </c>
    </row>
    <row r="16">
      <c r="B16" s="8" t="s">
        <v>40</v>
      </c>
      <c r="C16" s="4">
        <f>G16/G23</f>
        <v>1129.707113</v>
      </c>
      <c r="D16" s="4">
        <f>C16*(H16/G16 + H23/G23)</f>
        <v>8.910908422</v>
      </c>
      <c r="F16" s="3" t="s">
        <v>41</v>
      </c>
      <c r="G16" s="4">
        <f>K13-K14</f>
        <v>0.27</v>
      </c>
      <c r="H16" s="4">
        <f>L13+L14</f>
        <v>0.001</v>
      </c>
      <c r="N16" s="6" t="s">
        <v>42</v>
      </c>
      <c r="O16" s="5">
        <v>84.25</v>
      </c>
    </row>
    <row r="17">
      <c r="N17" s="6" t="s">
        <v>43</v>
      </c>
      <c r="O17" s="5">
        <v>82.9</v>
      </c>
    </row>
    <row r="18">
      <c r="F18" s="3" t="s">
        <v>44</v>
      </c>
      <c r="G18" s="4">
        <f>AVERAGE(K18:K20)/2 * 10^-3</f>
        <v>0.002988333333</v>
      </c>
      <c r="H18" s="4">
        <f>(K18-K20)/4 * 10^-3</f>
        <v>0.000015</v>
      </c>
      <c r="J18" s="3" t="s">
        <v>45</v>
      </c>
      <c r="K18" s="3">
        <v>6.01</v>
      </c>
      <c r="N18" s="6" t="s">
        <v>46</v>
      </c>
      <c r="O18" s="5">
        <v>86.0</v>
      </c>
    </row>
    <row r="19">
      <c r="F19" s="3" t="s">
        <v>47</v>
      </c>
      <c r="G19" s="4">
        <f>AVERAGE(K21:K23)/2 * 10^-3</f>
        <v>0.0015</v>
      </c>
      <c r="H19" s="4">
        <f>0.01*10^-3</f>
        <v>0.00001</v>
      </c>
      <c r="J19" s="3" t="s">
        <v>48</v>
      </c>
      <c r="K19" s="3">
        <v>5.97</v>
      </c>
    </row>
    <row r="20">
      <c r="F20" s="3" t="s">
        <v>49</v>
      </c>
      <c r="G20" s="4">
        <f>AVERAGE(K24:K26)/2 * 10^-3</f>
        <v>0.0009966666667</v>
      </c>
      <c r="H20" s="4">
        <f t="shared" ref="H20:H21" si="11">H19</f>
        <v>0.00001</v>
      </c>
      <c r="J20" s="3" t="s">
        <v>50</v>
      </c>
      <c r="K20" s="3">
        <v>5.95</v>
      </c>
      <c r="N20" s="3" t="s">
        <v>51</v>
      </c>
      <c r="O20" s="5">
        <v>1.63</v>
      </c>
      <c r="P20" s="5">
        <v>0.005</v>
      </c>
    </row>
    <row r="21">
      <c r="F21" s="3" t="s">
        <v>52</v>
      </c>
      <c r="G21" s="4">
        <f>AVERAGE(K27:K29)/2 * 10^-3</f>
        <v>0.0007883333333</v>
      </c>
      <c r="H21" s="4">
        <f t="shared" si="11"/>
        <v>0.00001</v>
      </c>
      <c r="J21" s="3" t="s">
        <v>53</v>
      </c>
      <c r="K21" s="3">
        <v>3.0</v>
      </c>
      <c r="N21" s="3" t="s">
        <v>54</v>
      </c>
      <c r="O21" s="5">
        <v>2.24</v>
      </c>
      <c r="P21" s="5">
        <v>0.005</v>
      </c>
    </row>
    <row r="22">
      <c r="F22" s="3" t="s">
        <v>55</v>
      </c>
      <c r="G22" s="3">
        <v>0.111</v>
      </c>
      <c r="H22" s="3">
        <v>0.001</v>
      </c>
      <c r="J22" s="3" t="s">
        <v>56</v>
      </c>
      <c r="K22" s="3">
        <v>3.0</v>
      </c>
      <c r="N22" s="3" t="s">
        <v>57</v>
      </c>
      <c r="O22" s="5">
        <v>1.96</v>
      </c>
      <c r="P22" s="5">
        <v>0.005</v>
      </c>
    </row>
    <row r="23">
      <c r="F23" s="3" t="s">
        <v>58</v>
      </c>
      <c r="G23" s="3">
        <v>2.39E-4</v>
      </c>
      <c r="H23" s="3">
        <v>1.0E-6</v>
      </c>
      <c r="J23" s="3" t="s">
        <v>59</v>
      </c>
      <c r="K23" s="3">
        <v>3.0</v>
      </c>
      <c r="N23" s="3" t="s">
        <v>60</v>
      </c>
      <c r="O23" s="5">
        <v>1.73</v>
      </c>
      <c r="P23" s="5">
        <v>0.005</v>
      </c>
    </row>
    <row r="24">
      <c r="J24" s="3" t="s">
        <v>61</v>
      </c>
      <c r="K24" s="3">
        <v>2.0</v>
      </c>
      <c r="N24" s="3" t="s">
        <v>62</v>
      </c>
      <c r="O24" s="5">
        <v>1.68</v>
      </c>
      <c r="P24" s="5">
        <v>0.005</v>
      </c>
    </row>
    <row r="25">
      <c r="J25" s="3" t="s">
        <v>63</v>
      </c>
      <c r="K25" s="3">
        <v>1.99</v>
      </c>
    </row>
    <row r="26">
      <c r="J26" s="3" t="s">
        <v>64</v>
      </c>
      <c r="K26" s="3">
        <v>1.99</v>
      </c>
    </row>
    <row r="27">
      <c r="J27" s="3" t="s">
        <v>65</v>
      </c>
      <c r="K27" s="3">
        <v>1.58</v>
      </c>
    </row>
    <row r="28">
      <c r="J28" s="3" t="s">
        <v>66</v>
      </c>
      <c r="K28" s="3">
        <v>1.57</v>
      </c>
    </row>
    <row r="29">
      <c r="J29" s="3" t="s">
        <v>67</v>
      </c>
      <c r="K29" s="3">
        <v>1.58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5" max="5" width="2.75"/>
    <col customWidth="1" min="9" max="9" width="2.88"/>
    <col customWidth="1" min="13" max="13" width="2.5"/>
  </cols>
  <sheetData>
    <row r="2">
      <c r="B2" s="1" t="s">
        <v>0</v>
      </c>
      <c r="C2" s="2">
        <f t="shared" ref="C2:C5" si="1">ROUND(2/9 * 9.81*(C12 - $C$16)*G18^2, 4)*10^3</f>
        <v>13.4</v>
      </c>
      <c r="D2" s="2">
        <f t="shared" ref="D2:D5" si="2"> 10^3*ROUND(9.81/(9*PI()) * G12/(2*G18) * H12/G12 + (9.81/18 * ($K$13-$K$14)*(2*G18^2) / $G$23)*(($L$13+$L$14)/($K$13-$K$14) + $H$23/$G$23) + (9.81/(9*PI()) * G12/(2*G18) + 2*(9.81/18 * ($K$13-$K$14)*(2*G18^2) / $G$23))*H18/G18, 4)</f>
        <v>1</v>
      </c>
      <c r="F2" s="3" t="s">
        <v>1</v>
      </c>
      <c r="G2" s="3">
        <v>24.1</v>
      </c>
      <c r="H2" s="3">
        <v>0.05</v>
      </c>
      <c r="N2" s="3" t="s">
        <v>68</v>
      </c>
      <c r="O2" s="5">
        <v>2.83</v>
      </c>
    </row>
    <row r="3">
      <c r="B3" s="1" t="s">
        <v>3</v>
      </c>
      <c r="C3" s="2">
        <f t="shared" si="1"/>
        <v>32.6</v>
      </c>
      <c r="D3" s="2">
        <f t="shared" si="2"/>
        <v>1.5</v>
      </c>
      <c r="F3" s="3" t="s">
        <v>4</v>
      </c>
      <c r="G3" s="3">
        <v>24.8</v>
      </c>
      <c r="H3" s="3">
        <v>0.05</v>
      </c>
      <c r="N3" s="3" t="s">
        <v>69</v>
      </c>
      <c r="O3" s="9">
        <f>AVERAGE(O2,O4)</f>
        <v>2.8</v>
      </c>
      <c r="P3" s="3" t="s">
        <v>70</v>
      </c>
    </row>
    <row r="4">
      <c r="B4" s="1" t="s">
        <v>6</v>
      </c>
      <c r="C4" s="2">
        <f t="shared" si="1"/>
        <v>15</v>
      </c>
      <c r="D4" s="2">
        <f t="shared" si="2"/>
        <v>1.9</v>
      </c>
      <c r="N4" s="3" t="s">
        <v>71</v>
      </c>
      <c r="O4" s="5">
        <v>2.77</v>
      </c>
    </row>
    <row r="5">
      <c r="B5" s="1" t="s">
        <v>7</v>
      </c>
      <c r="C5" s="2">
        <f t="shared" si="1"/>
        <v>9.5</v>
      </c>
      <c r="D5" s="2">
        <f t="shared" si="2"/>
        <v>2.4</v>
      </c>
      <c r="J5" s="3" t="s">
        <v>2</v>
      </c>
      <c r="K5" s="3">
        <v>0.188</v>
      </c>
      <c r="L5" s="3">
        <v>0.001</v>
      </c>
      <c r="N5" s="3" t="s">
        <v>72</v>
      </c>
      <c r="O5" s="5">
        <v>5.4</v>
      </c>
    </row>
    <row r="6">
      <c r="N6" s="3" t="s">
        <v>73</v>
      </c>
      <c r="O6" s="5">
        <v>5.65</v>
      </c>
    </row>
    <row r="7">
      <c r="B7" s="3" t="s">
        <v>9</v>
      </c>
      <c r="C7" s="4">
        <f t="shared" ref="C7:C10" si="3">ROUND(G7*(1+2.4*G18/$G$22), 3)*10^3</f>
        <v>25</v>
      </c>
      <c r="D7" s="4">
        <f t="shared" ref="D7:D10" si="4">ROUND((1+2.4*G18/$G$22)*H7 + (G7*2.4/$G$22)*H18 + (G7*2.4/$G$22^2)*$H$22, 3)*10^3</f>
        <v>5</v>
      </c>
      <c r="F7" s="3" t="s">
        <v>10</v>
      </c>
      <c r="G7" s="4">
        <f t="shared" ref="G7:G10" si="5">$K$5/K7</f>
        <v>0.02389830508</v>
      </c>
      <c r="H7" s="4">
        <f t="shared" ref="H7:H10" si="6">G7*($L$5/$K$5 + L7/K7)</f>
        <v>0.000324583453</v>
      </c>
      <c r="J7" s="3" t="s">
        <v>74</v>
      </c>
      <c r="K7" s="4">
        <f>AVERAGE(O11:O13)</f>
        <v>7.866666667</v>
      </c>
      <c r="L7" s="4">
        <f>(O11-O13)/2</f>
        <v>0.065</v>
      </c>
      <c r="N7" s="3" t="s">
        <v>75</v>
      </c>
      <c r="O7" s="5">
        <v>5.91</v>
      </c>
    </row>
    <row r="8">
      <c r="B8" s="3" t="s">
        <v>13</v>
      </c>
      <c r="C8" s="4">
        <f t="shared" si="3"/>
        <v>69</v>
      </c>
      <c r="D8" s="4">
        <f t="shared" si="4"/>
        <v>14</v>
      </c>
      <c r="F8" s="3" t="s">
        <v>14</v>
      </c>
      <c r="G8" s="4">
        <f t="shared" si="5"/>
        <v>0.06714285714</v>
      </c>
      <c r="H8" s="4">
        <f t="shared" si="6"/>
        <v>0.0007168367347</v>
      </c>
      <c r="J8" s="3" t="s">
        <v>76</v>
      </c>
      <c r="K8" s="4">
        <f>AVERAGE(O2:O4)</f>
        <v>2.8</v>
      </c>
      <c r="L8" s="4">
        <f>(O2-O3)/2</f>
        <v>0.015</v>
      </c>
      <c r="N8" s="10" t="s">
        <v>77</v>
      </c>
      <c r="O8" s="5">
        <v>9.69</v>
      </c>
    </row>
    <row r="9">
      <c r="B9" s="3" t="s">
        <v>17</v>
      </c>
      <c r="C9" s="4">
        <f t="shared" si="3"/>
        <v>34</v>
      </c>
      <c r="D9" s="4">
        <f t="shared" si="4"/>
        <v>8</v>
      </c>
      <c r="F9" s="3" t="s">
        <v>18</v>
      </c>
      <c r="G9" s="4">
        <f t="shared" si="5"/>
        <v>0.03325471698</v>
      </c>
      <c r="H9" s="4">
        <f t="shared" si="6"/>
        <v>0.001676878449</v>
      </c>
      <c r="J9" s="3" t="s">
        <v>78</v>
      </c>
      <c r="K9" s="4">
        <f>AVERAGE(O5:O7)</f>
        <v>5.653333333</v>
      </c>
      <c r="L9" s="4">
        <f>(O7-O5)/2</f>
        <v>0.255</v>
      </c>
      <c r="N9" s="10" t="s">
        <v>79</v>
      </c>
      <c r="O9" s="5">
        <v>8.66</v>
      </c>
      <c r="P9" s="3" t="s">
        <v>80</v>
      </c>
    </row>
    <row r="10">
      <c r="B10" s="3" t="s">
        <v>21</v>
      </c>
      <c r="C10" s="4">
        <f t="shared" si="3"/>
        <v>21</v>
      </c>
      <c r="D10" s="4">
        <f t="shared" si="4"/>
        <v>5</v>
      </c>
      <c r="F10" s="3" t="s">
        <v>22</v>
      </c>
      <c r="G10" s="4">
        <f t="shared" si="5"/>
        <v>0.02054644809</v>
      </c>
      <c r="H10" s="4">
        <f t="shared" si="6"/>
        <v>0.001265729045</v>
      </c>
      <c r="J10" s="3" t="s">
        <v>81</v>
      </c>
      <c r="K10" s="4">
        <f>AVERAGE(O8:O10)</f>
        <v>9.15</v>
      </c>
      <c r="L10" s="4">
        <f>(O8-O9)/2</f>
        <v>0.515</v>
      </c>
      <c r="N10" s="10" t="s">
        <v>82</v>
      </c>
      <c r="O10" s="5">
        <f>17.76-O9</f>
        <v>9.1</v>
      </c>
    </row>
    <row r="11">
      <c r="N11" s="10" t="s">
        <v>83</v>
      </c>
      <c r="O11" s="5">
        <v>7.95</v>
      </c>
    </row>
    <row r="12">
      <c r="B12" s="7" t="s">
        <v>26</v>
      </c>
      <c r="C12" s="4">
        <f t="shared" ref="C12:C15" si="7">G12/(4*PI()*G18^3)</f>
        <v>1819.000647</v>
      </c>
      <c r="D12" s="4">
        <f t="shared" ref="D12:D15" si="8">C12*(H12/G12 + 3*H18/G18)</f>
        <v>57.21121506</v>
      </c>
      <c r="F12" s="3" t="s">
        <v>27</v>
      </c>
      <c r="G12" s="4">
        <f t="shared" ref="G12:G15" si="9">(O21-$O$20)*10^-3</f>
        <v>0.00061</v>
      </c>
      <c r="H12" s="4">
        <f t="shared" ref="H12:H15" si="10">($P$20+P21)*10^-3</f>
        <v>0.00001</v>
      </c>
      <c r="N12" s="10" t="s">
        <v>84</v>
      </c>
      <c r="O12" s="5">
        <v>7.83</v>
      </c>
    </row>
    <row r="13">
      <c r="B13" s="7" t="s">
        <v>29</v>
      </c>
      <c r="C13" s="4">
        <f t="shared" si="7"/>
        <v>7780.908329</v>
      </c>
      <c r="D13" s="4">
        <f t="shared" si="8"/>
        <v>391.4032675</v>
      </c>
      <c r="F13" s="3" t="s">
        <v>30</v>
      </c>
      <c r="G13" s="4">
        <f t="shared" si="9"/>
        <v>0.00033</v>
      </c>
      <c r="H13" s="4">
        <f t="shared" si="10"/>
        <v>0.00001</v>
      </c>
      <c r="J13" s="3" t="s">
        <v>31</v>
      </c>
      <c r="K13" s="3">
        <v>0.536</v>
      </c>
      <c r="L13" s="3">
        <v>5.0E-4</v>
      </c>
      <c r="N13" s="10" t="s">
        <v>85</v>
      </c>
      <c r="O13" s="5">
        <v>7.82</v>
      </c>
    </row>
    <row r="14">
      <c r="B14" s="7" t="s">
        <v>33</v>
      </c>
      <c r="C14" s="4">
        <f t="shared" si="7"/>
        <v>8037.858105</v>
      </c>
      <c r="D14" s="4">
        <f t="shared" si="8"/>
        <v>1045.728028</v>
      </c>
      <c r="F14" s="3" t="s">
        <v>34</v>
      </c>
      <c r="G14" s="4">
        <f t="shared" si="9"/>
        <v>0.0001</v>
      </c>
      <c r="H14" s="4">
        <f t="shared" si="10"/>
        <v>0.00001</v>
      </c>
      <c r="J14" s="3" t="s">
        <v>35</v>
      </c>
      <c r="K14" s="3">
        <v>0.266</v>
      </c>
      <c r="L14" s="3">
        <v>5.0E-4</v>
      </c>
      <c r="N14" s="6"/>
      <c r="O14" s="5"/>
    </row>
    <row r="15">
      <c r="B15" s="7" t="s">
        <v>37</v>
      </c>
      <c r="C15" s="4">
        <f t="shared" si="7"/>
        <v>8121.391923</v>
      </c>
      <c r="D15" s="4">
        <f t="shared" si="8"/>
        <v>1933.337697</v>
      </c>
      <c r="F15" s="3" t="s">
        <v>38</v>
      </c>
      <c r="G15" s="4">
        <f t="shared" si="9"/>
        <v>0.00005</v>
      </c>
      <c r="H15" s="4">
        <f t="shared" si="10"/>
        <v>0.00001</v>
      </c>
      <c r="N15" s="10" t="s">
        <v>86</v>
      </c>
      <c r="O15" s="5"/>
    </row>
    <row r="16">
      <c r="B16" s="8" t="s">
        <v>40</v>
      </c>
      <c r="C16" s="4">
        <f>G16/G23</f>
        <v>1129.707113</v>
      </c>
      <c r="D16" s="4">
        <f>C16*(H16/G16 + H23/G23)</f>
        <v>8.910908422</v>
      </c>
      <c r="F16" s="3" t="s">
        <v>41</v>
      </c>
      <c r="G16" s="4">
        <f>K13-K14</f>
        <v>0.27</v>
      </c>
      <c r="H16" s="4">
        <f>L13+L14</f>
        <v>0.001</v>
      </c>
      <c r="N16" s="10" t="s">
        <v>87</v>
      </c>
      <c r="O16" s="5"/>
    </row>
    <row r="17">
      <c r="N17" s="6"/>
      <c r="O17" s="5"/>
    </row>
    <row r="18">
      <c r="F18" s="3" t="s">
        <v>44</v>
      </c>
      <c r="G18" s="4">
        <f>AVERAGE(K18:K20)/2 * 10^-3</f>
        <v>0.002988333333</v>
      </c>
      <c r="H18" s="4">
        <f>(K18-K20)/4 * 10^-3</f>
        <v>0.000015</v>
      </c>
      <c r="J18" s="3" t="s">
        <v>45</v>
      </c>
      <c r="K18" s="3">
        <v>6.01</v>
      </c>
      <c r="N18" s="6"/>
      <c r="O18" s="5"/>
    </row>
    <row r="19">
      <c r="F19" s="3" t="s">
        <v>47</v>
      </c>
      <c r="G19" s="4">
        <f>AVERAGE(K21:K23)/2 * 10^-3</f>
        <v>0.0015</v>
      </c>
      <c r="H19" s="4">
        <f>0.01*10^-3</f>
        <v>0.00001</v>
      </c>
      <c r="J19" s="3" t="s">
        <v>48</v>
      </c>
      <c r="K19" s="3">
        <v>5.97</v>
      </c>
    </row>
    <row r="20">
      <c r="F20" s="3" t="s">
        <v>49</v>
      </c>
      <c r="G20" s="4">
        <f>AVERAGE(K24:K26)/2 * 10^-3</f>
        <v>0.0009966666667</v>
      </c>
      <c r="H20" s="4">
        <f t="shared" ref="H20:H21" si="11">H19</f>
        <v>0.00001</v>
      </c>
      <c r="J20" s="3" t="s">
        <v>50</v>
      </c>
      <c r="K20" s="3">
        <v>5.95</v>
      </c>
      <c r="N20" s="3" t="s">
        <v>51</v>
      </c>
      <c r="O20" s="5">
        <v>1.63</v>
      </c>
      <c r="P20" s="5">
        <v>0.005</v>
      </c>
    </row>
    <row r="21">
      <c r="F21" s="3" t="s">
        <v>52</v>
      </c>
      <c r="G21" s="4">
        <f>AVERAGE(K27:K29)/2 * 10^-3</f>
        <v>0.0007883333333</v>
      </c>
      <c r="H21" s="4">
        <f t="shared" si="11"/>
        <v>0.00001</v>
      </c>
      <c r="J21" s="3" t="s">
        <v>53</v>
      </c>
      <c r="K21" s="3">
        <v>3.0</v>
      </c>
      <c r="N21" s="3" t="s">
        <v>54</v>
      </c>
      <c r="O21" s="5">
        <v>2.24</v>
      </c>
      <c r="P21" s="5">
        <v>0.005</v>
      </c>
    </row>
    <row r="22">
      <c r="F22" s="3" t="s">
        <v>55</v>
      </c>
      <c r="G22" s="3">
        <v>0.111</v>
      </c>
      <c r="H22" s="3">
        <v>0.001</v>
      </c>
      <c r="J22" s="3" t="s">
        <v>56</v>
      </c>
      <c r="K22" s="3">
        <v>3.0</v>
      </c>
      <c r="N22" s="3" t="s">
        <v>57</v>
      </c>
      <c r="O22" s="5">
        <v>1.96</v>
      </c>
      <c r="P22" s="5">
        <v>0.005</v>
      </c>
    </row>
    <row r="23">
      <c r="F23" s="3" t="s">
        <v>58</v>
      </c>
      <c r="G23" s="3">
        <v>2.39E-4</v>
      </c>
      <c r="H23" s="3">
        <v>1.0E-6</v>
      </c>
      <c r="J23" s="3" t="s">
        <v>59</v>
      </c>
      <c r="K23" s="3">
        <v>3.0</v>
      </c>
      <c r="N23" s="3" t="s">
        <v>60</v>
      </c>
      <c r="O23" s="5">
        <v>1.73</v>
      </c>
      <c r="P23" s="5">
        <v>0.005</v>
      </c>
    </row>
    <row r="24">
      <c r="J24" s="3" t="s">
        <v>61</v>
      </c>
      <c r="K24" s="3">
        <v>2.0</v>
      </c>
      <c r="N24" s="3" t="s">
        <v>62</v>
      </c>
      <c r="O24" s="5">
        <v>1.68</v>
      </c>
      <c r="P24" s="5">
        <v>0.005</v>
      </c>
    </row>
    <row r="25">
      <c r="J25" s="3" t="s">
        <v>63</v>
      </c>
      <c r="K25" s="3">
        <v>1.99</v>
      </c>
    </row>
    <row r="26">
      <c r="J26" s="3" t="s">
        <v>64</v>
      </c>
      <c r="K26" s="3">
        <v>1.99</v>
      </c>
    </row>
    <row r="27">
      <c r="J27" s="3" t="s">
        <v>65</v>
      </c>
      <c r="K27" s="3">
        <v>1.58</v>
      </c>
    </row>
    <row r="28">
      <c r="J28" s="3" t="s">
        <v>66</v>
      </c>
      <c r="K28" s="3">
        <v>1.57</v>
      </c>
    </row>
    <row r="29">
      <c r="J29" s="3" t="s">
        <v>67</v>
      </c>
      <c r="K29" s="3">
        <v>1.58</v>
      </c>
    </row>
  </sheetData>
  <drawing r:id="rId1"/>
</worksheet>
</file>